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bookViews>
  <sheets>
    <sheet name="fino" sheetId="1" r:id="rId1"/>
    <sheet name="Sheet2" sheetId="2" r:id="rId2"/>
    <sheet name="Sheet3" sheetId="3" r:id="rId3"/>
  </sheets>
  <calcPr calcId="145621"/>
</workbook>
</file>

<file path=xl/calcChain.xml><?xml version="1.0" encoding="utf-8"?>
<calcChain xmlns="http://schemas.openxmlformats.org/spreadsheetml/2006/main">
  <c r="J5700" i="1" l="1"/>
  <c r="J5699" i="1"/>
  <c r="J5698" i="1"/>
  <c r="J5697" i="1"/>
  <c r="J5696" i="1"/>
  <c r="J5695" i="1"/>
  <c r="J5694" i="1"/>
  <c r="J5693" i="1"/>
  <c r="J5692" i="1"/>
  <c r="J5691" i="1"/>
  <c r="J5690" i="1"/>
  <c r="J5689" i="1"/>
  <c r="J5688" i="1"/>
  <c r="J5687" i="1"/>
  <c r="J5686" i="1"/>
  <c r="J5685" i="1"/>
  <c r="J5684" i="1"/>
  <c r="J5683" i="1"/>
  <c r="J5682" i="1"/>
  <c r="J5681" i="1"/>
  <c r="J5680" i="1"/>
  <c r="J5679" i="1"/>
  <c r="J5678" i="1"/>
  <c r="J5677" i="1"/>
  <c r="J5676" i="1"/>
  <c r="J5675" i="1"/>
  <c r="J5674" i="1"/>
  <c r="J5673" i="1"/>
  <c r="J5672" i="1"/>
  <c r="J5671" i="1"/>
  <c r="J5670" i="1"/>
  <c r="J5669" i="1"/>
  <c r="J5668" i="1"/>
  <c r="J5667" i="1"/>
  <c r="J5666" i="1"/>
  <c r="J5665" i="1"/>
  <c r="J5664" i="1"/>
  <c r="J5663" i="1"/>
  <c r="J5662" i="1"/>
  <c r="J5661" i="1"/>
  <c r="J5660" i="1"/>
  <c r="J5659" i="1"/>
  <c r="J5658" i="1"/>
  <c r="J5657" i="1"/>
  <c r="J5656" i="1"/>
  <c r="J5655" i="1"/>
  <c r="J5654" i="1"/>
  <c r="J5653" i="1"/>
  <c r="J5652" i="1"/>
  <c r="J5651" i="1"/>
  <c r="J5650" i="1"/>
  <c r="J5649" i="1"/>
  <c r="J5648" i="1"/>
  <c r="J5647" i="1"/>
  <c r="J5646" i="1"/>
  <c r="J5645" i="1"/>
  <c r="J5644" i="1"/>
  <c r="J5643" i="1"/>
  <c r="J5642" i="1"/>
  <c r="J5641" i="1"/>
  <c r="J5640" i="1"/>
  <c r="J5639" i="1"/>
  <c r="J5638" i="1"/>
  <c r="J5637" i="1"/>
  <c r="J5636" i="1"/>
  <c r="J5635" i="1"/>
  <c r="J5634" i="1"/>
  <c r="J5633" i="1"/>
  <c r="J5632" i="1"/>
  <c r="J5631" i="1"/>
  <c r="J5630" i="1"/>
  <c r="J5629" i="1"/>
  <c r="J5628" i="1"/>
  <c r="J5627" i="1"/>
  <c r="J5626" i="1"/>
  <c r="J5625" i="1"/>
  <c r="J5624" i="1"/>
  <c r="J5623" i="1"/>
  <c r="J5622" i="1"/>
  <c r="J5621" i="1"/>
  <c r="J5620" i="1"/>
  <c r="J5619" i="1"/>
  <c r="J5618" i="1"/>
  <c r="J5617" i="1"/>
  <c r="J5616" i="1"/>
  <c r="J5615" i="1"/>
  <c r="J5614" i="1"/>
  <c r="J5613" i="1"/>
  <c r="J5612" i="1"/>
  <c r="J5611" i="1"/>
  <c r="J5610" i="1"/>
  <c r="J5609" i="1"/>
  <c r="J5608" i="1"/>
  <c r="J5607" i="1"/>
  <c r="J5606" i="1"/>
  <c r="J5605" i="1"/>
  <c r="J5604" i="1"/>
  <c r="J5603" i="1"/>
  <c r="J5602" i="1"/>
  <c r="J5601" i="1"/>
  <c r="J5600" i="1"/>
  <c r="J5599" i="1"/>
  <c r="J5598" i="1"/>
  <c r="J5597" i="1"/>
  <c r="J5596" i="1"/>
  <c r="J5595" i="1"/>
  <c r="J5594" i="1"/>
  <c r="J5593" i="1"/>
  <c r="J5592" i="1"/>
  <c r="J5591" i="1"/>
  <c r="J5590" i="1"/>
  <c r="J5589" i="1"/>
  <c r="J5588" i="1"/>
  <c r="J5587" i="1"/>
  <c r="J5586" i="1"/>
  <c r="J5585" i="1"/>
  <c r="J5584" i="1"/>
  <c r="J5583" i="1"/>
  <c r="J5582" i="1"/>
  <c r="J5581" i="1"/>
  <c r="J5580" i="1"/>
  <c r="J5579" i="1"/>
  <c r="J5578" i="1"/>
  <c r="J5577" i="1"/>
  <c r="J5576" i="1"/>
  <c r="J5575" i="1"/>
  <c r="J5574" i="1"/>
  <c r="J5573" i="1"/>
  <c r="J5572" i="1"/>
  <c r="J5571" i="1"/>
  <c r="J5570" i="1"/>
  <c r="J5569" i="1"/>
  <c r="J5568" i="1"/>
  <c r="J5567" i="1"/>
  <c r="J5566" i="1"/>
  <c r="J5565" i="1"/>
  <c r="J5564" i="1"/>
  <c r="J5563" i="1"/>
  <c r="J5562" i="1"/>
  <c r="J5561" i="1"/>
  <c r="J5560" i="1"/>
  <c r="J5559" i="1"/>
  <c r="J5558" i="1"/>
  <c r="J5557" i="1"/>
  <c r="J5556" i="1"/>
  <c r="J5555" i="1"/>
  <c r="J5554" i="1"/>
  <c r="J5553" i="1"/>
  <c r="J5552" i="1"/>
  <c r="J5551" i="1"/>
  <c r="J5550" i="1"/>
  <c r="J5549" i="1"/>
  <c r="J5548" i="1"/>
  <c r="J5547" i="1"/>
  <c r="J5546" i="1"/>
  <c r="J5545" i="1"/>
  <c r="J5544" i="1"/>
  <c r="J5543" i="1"/>
  <c r="J5542" i="1"/>
  <c r="J5541" i="1"/>
  <c r="J5540" i="1"/>
  <c r="J5539" i="1"/>
  <c r="J5538" i="1"/>
  <c r="J5537" i="1"/>
  <c r="J5536" i="1"/>
  <c r="J5535" i="1"/>
  <c r="J5534" i="1"/>
  <c r="J5533" i="1"/>
  <c r="J5532" i="1"/>
  <c r="J5531" i="1"/>
  <c r="J5530" i="1"/>
  <c r="J5529" i="1"/>
  <c r="J5528" i="1"/>
  <c r="J5527" i="1"/>
  <c r="J5526" i="1"/>
  <c r="J5525" i="1"/>
  <c r="J5524" i="1"/>
  <c r="J5523" i="1"/>
  <c r="J5522" i="1"/>
  <c r="J5521" i="1"/>
  <c r="J5520" i="1"/>
  <c r="J5519" i="1"/>
  <c r="J5518" i="1"/>
  <c r="J5517" i="1"/>
  <c r="J5516" i="1"/>
  <c r="J5515" i="1"/>
  <c r="J5514" i="1"/>
  <c r="J5513" i="1"/>
  <c r="J5512" i="1"/>
  <c r="J5511" i="1"/>
  <c r="J5510" i="1"/>
  <c r="J5509" i="1"/>
  <c r="J5508" i="1"/>
  <c r="J5507" i="1"/>
  <c r="J5506" i="1"/>
  <c r="J5505" i="1"/>
  <c r="J5504" i="1"/>
  <c r="J5503" i="1"/>
  <c r="J5502" i="1"/>
  <c r="J5501" i="1"/>
  <c r="J5500" i="1"/>
  <c r="J5499" i="1"/>
  <c r="J5498" i="1"/>
  <c r="J5497" i="1"/>
  <c r="J5496" i="1"/>
  <c r="J5495" i="1"/>
  <c r="J5494" i="1"/>
  <c r="J5493" i="1"/>
  <c r="J5492" i="1"/>
  <c r="J5491" i="1"/>
  <c r="J5490" i="1"/>
  <c r="J5489" i="1"/>
  <c r="J5488" i="1"/>
  <c r="J5487" i="1"/>
  <c r="J5486" i="1"/>
  <c r="J5485" i="1"/>
  <c r="J5484" i="1"/>
  <c r="J5483" i="1"/>
  <c r="J5482" i="1"/>
  <c r="J5481" i="1"/>
  <c r="J5480" i="1"/>
  <c r="J5479" i="1"/>
  <c r="J5478" i="1"/>
  <c r="J5477" i="1"/>
  <c r="J5476" i="1"/>
  <c r="J5475" i="1"/>
  <c r="J5474" i="1"/>
  <c r="J5473" i="1"/>
  <c r="J5472" i="1"/>
  <c r="J5471" i="1"/>
  <c r="J5470" i="1"/>
  <c r="J5469" i="1"/>
  <c r="J5468" i="1"/>
  <c r="J5467" i="1"/>
  <c r="J5466" i="1"/>
  <c r="J5465" i="1"/>
  <c r="J5464" i="1"/>
  <c r="J5463" i="1"/>
  <c r="J5462" i="1"/>
  <c r="J5461" i="1"/>
  <c r="J5460" i="1"/>
  <c r="J5459" i="1"/>
  <c r="J5458" i="1"/>
  <c r="J5457" i="1"/>
  <c r="J5456" i="1"/>
  <c r="J5455" i="1"/>
  <c r="J5454" i="1"/>
  <c r="J5453" i="1"/>
  <c r="J5452" i="1"/>
  <c r="J5451" i="1"/>
  <c r="J5450" i="1"/>
  <c r="J5449" i="1"/>
  <c r="J5448" i="1"/>
  <c r="J5447" i="1"/>
  <c r="J5446" i="1"/>
  <c r="J5445" i="1"/>
  <c r="J5444" i="1"/>
  <c r="J5443" i="1"/>
  <c r="J5442" i="1"/>
  <c r="J5441" i="1"/>
  <c r="J5440" i="1"/>
  <c r="J5439" i="1"/>
  <c r="J5438" i="1"/>
  <c r="J5437" i="1"/>
  <c r="J5436" i="1"/>
  <c r="J5435" i="1"/>
  <c r="J5434" i="1"/>
  <c r="J5433" i="1"/>
  <c r="J5432" i="1"/>
  <c r="J5431" i="1"/>
  <c r="J5430" i="1"/>
  <c r="J5429" i="1"/>
  <c r="J5428" i="1"/>
  <c r="J5427" i="1"/>
  <c r="J5426" i="1"/>
  <c r="J5425" i="1"/>
  <c r="J5424" i="1"/>
  <c r="J5423" i="1"/>
  <c r="J5422" i="1"/>
  <c r="J5421" i="1"/>
  <c r="J5420" i="1"/>
  <c r="J5419" i="1"/>
  <c r="J5418" i="1"/>
  <c r="J5417" i="1"/>
  <c r="J5416" i="1"/>
  <c r="J5415" i="1"/>
  <c r="J5414" i="1"/>
  <c r="J5413" i="1"/>
  <c r="J5412" i="1"/>
  <c r="J5411" i="1"/>
  <c r="J5410" i="1"/>
  <c r="J5409" i="1"/>
  <c r="J5408" i="1"/>
  <c r="J5407" i="1"/>
  <c r="J5406" i="1"/>
  <c r="J5405" i="1"/>
  <c r="J5404" i="1"/>
  <c r="J5403" i="1"/>
  <c r="J5402" i="1"/>
  <c r="J5401" i="1"/>
  <c r="J5400" i="1"/>
  <c r="J5399" i="1"/>
  <c r="J5398" i="1"/>
  <c r="J5397" i="1"/>
  <c r="J5396" i="1"/>
  <c r="J5395" i="1"/>
  <c r="J5394" i="1"/>
  <c r="J5393" i="1"/>
  <c r="J5392" i="1"/>
  <c r="J5391" i="1"/>
  <c r="J5390" i="1"/>
  <c r="J5389" i="1"/>
  <c r="J5388" i="1"/>
  <c r="J5387" i="1"/>
  <c r="J5386" i="1"/>
  <c r="J5385" i="1"/>
  <c r="J5384" i="1"/>
  <c r="J5383" i="1"/>
  <c r="J5382" i="1"/>
  <c r="J5381" i="1"/>
  <c r="J5380" i="1"/>
  <c r="J5379" i="1"/>
  <c r="J5378" i="1"/>
  <c r="J5377" i="1"/>
  <c r="J5376" i="1"/>
  <c r="J5375" i="1"/>
  <c r="J5374" i="1"/>
  <c r="J5373" i="1"/>
  <c r="J5372" i="1"/>
  <c r="J5371" i="1"/>
  <c r="J5370" i="1"/>
  <c r="J5369" i="1"/>
  <c r="J5368" i="1"/>
  <c r="J5367" i="1"/>
  <c r="J5366" i="1"/>
  <c r="J5365" i="1"/>
  <c r="J5364" i="1"/>
  <c r="J5363" i="1"/>
  <c r="J5362" i="1"/>
  <c r="J5361" i="1"/>
  <c r="J5360" i="1"/>
  <c r="J5359" i="1"/>
  <c r="J5358" i="1"/>
  <c r="J5357" i="1"/>
  <c r="J5356" i="1"/>
  <c r="J5355" i="1"/>
  <c r="J5354" i="1"/>
  <c r="J5353" i="1"/>
  <c r="J5352" i="1"/>
  <c r="J5351" i="1"/>
  <c r="J5350" i="1"/>
  <c r="J5349" i="1"/>
  <c r="J5348" i="1"/>
  <c r="J5347" i="1"/>
  <c r="J5346" i="1"/>
  <c r="J5345" i="1"/>
  <c r="J5344" i="1"/>
  <c r="J5343" i="1"/>
  <c r="J5342" i="1"/>
  <c r="J5341" i="1"/>
  <c r="J5340" i="1"/>
  <c r="J5339" i="1"/>
  <c r="J5338" i="1"/>
  <c r="J5337" i="1"/>
  <c r="J5336" i="1"/>
  <c r="J5335" i="1"/>
  <c r="J5334" i="1"/>
  <c r="J5333" i="1"/>
  <c r="J5332" i="1"/>
  <c r="J5331" i="1"/>
  <c r="J5330" i="1"/>
  <c r="J5329" i="1"/>
  <c r="J5328" i="1"/>
  <c r="J5327" i="1"/>
  <c r="J5326" i="1"/>
  <c r="J5325" i="1"/>
  <c r="J5324" i="1"/>
  <c r="J5323" i="1"/>
  <c r="J5322" i="1"/>
  <c r="J5321" i="1"/>
  <c r="J5320" i="1"/>
  <c r="J5319" i="1"/>
  <c r="J5318" i="1"/>
  <c r="J5317" i="1"/>
  <c r="J5316" i="1"/>
  <c r="J5315" i="1"/>
  <c r="J5314" i="1"/>
  <c r="J5313" i="1"/>
  <c r="J5312" i="1"/>
  <c r="J5311" i="1"/>
  <c r="J5310" i="1"/>
  <c r="J5309" i="1"/>
  <c r="J5308" i="1"/>
  <c r="J5307" i="1"/>
  <c r="J5306" i="1"/>
  <c r="J5305" i="1"/>
  <c r="J5304" i="1"/>
  <c r="J5303" i="1"/>
  <c r="J5302" i="1"/>
  <c r="J5301" i="1"/>
  <c r="J5300" i="1"/>
  <c r="J5299" i="1"/>
  <c r="J5298" i="1"/>
  <c r="J5297" i="1"/>
  <c r="J5296" i="1"/>
  <c r="J5295" i="1"/>
  <c r="J5294" i="1"/>
  <c r="J5293" i="1"/>
  <c r="J5292" i="1"/>
  <c r="J5291" i="1"/>
  <c r="J5290" i="1"/>
  <c r="J5289" i="1"/>
  <c r="J5288" i="1"/>
  <c r="J5287" i="1"/>
  <c r="J5286" i="1"/>
  <c r="J5285" i="1"/>
  <c r="J5284" i="1"/>
  <c r="J5283" i="1"/>
  <c r="J5282" i="1"/>
  <c r="J5281" i="1"/>
  <c r="J5280" i="1"/>
  <c r="J5279" i="1"/>
  <c r="J5278" i="1"/>
  <c r="J5277" i="1"/>
  <c r="J5276" i="1"/>
  <c r="J5275" i="1"/>
  <c r="J5274" i="1"/>
  <c r="J5273" i="1"/>
  <c r="J5272" i="1"/>
  <c r="J5271" i="1"/>
  <c r="J5270" i="1"/>
  <c r="J5269" i="1"/>
  <c r="J5268" i="1"/>
  <c r="J5267" i="1"/>
  <c r="J5266" i="1"/>
  <c r="J5265" i="1"/>
  <c r="J5264" i="1"/>
  <c r="J5263" i="1"/>
  <c r="J5262" i="1"/>
  <c r="J5261" i="1"/>
  <c r="J5260" i="1"/>
  <c r="J5259" i="1"/>
  <c r="J5258" i="1"/>
  <c r="J5257" i="1"/>
  <c r="J5256" i="1"/>
  <c r="J5255" i="1"/>
  <c r="J5254" i="1"/>
  <c r="J5253" i="1"/>
  <c r="J5252" i="1"/>
  <c r="J5251" i="1"/>
  <c r="J5250" i="1"/>
  <c r="J5249" i="1"/>
  <c r="J5248" i="1"/>
  <c r="J5247" i="1"/>
  <c r="J5246" i="1"/>
  <c r="J5245" i="1"/>
  <c r="J5244" i="1"/>
  <c r="J5243" i="1"/>
  <c r="J5242" i="1"/>
  <c r="J5241" i="1"/>
  <c r="J5240" i="1"/>
  <c r="J5239" i="1"/>
  <c r="J5238" i="1"/>
  <c r="J5237" i="1"/>
  <c r="J5236" i="1"/>
  <c r="J5235" i="1"/>
  <c r="J5234" i="1"/>
  <c r="J5233" i="1"/>
  <c r="J5232" i="1"/>
  <c r="J5231" i="1"/>
  <c r="J5230" i="1"/>
  <c r="J5229" i="1"/>
  <c r="J5228" i="1"/>
  <c r="J5227" i="1"/>
  <c r="J5226" i="1"/>
  <c r="J5225" i="1"/>
  <c r="J5224" i="1"/>
  <c r="J5223" i="1"/>
  <c r="J5222" i="1"/>
  <c r="J5221" i="1"/>
  <c r="J5220" i="1"/>
  <c r="J5219" i="1"/>
  <c r="J5218" i="1"/>
  <c r="J5217" i="1"/>
  <c r="J5216" i="1"/>
  <c r="J5215" i="1"/>
  <c r="J5214" i="1"/>
  <c r="J5213" i="1"/>
  <c r="J5212" i="1"/>
  <c r="J5211" i="1"/>
  <c r="J5210" i="1"/>
  <c r="J5209" i="1"/>
  <c r="J5208" i="1"/>
  <c r="J5207" i="1"/>
  <c r="J5206" i="1"/>
  <c r="J5205" i="1"/>
  <c r="J5204" i="1"/>
  <c r="J5203" i="1"/>
  <c r="J5202" i="1"/>
  <c r="J5201" i="1"/>
  <c r="J5200" i="1"/>
  <c r="J5199" i="1"/>
  <c r="J5198" i="1"/>
  <c r="J5197" i="1"/>
  <c r="J5196" i="1"/>
  <c r="J5195" i="1"/>
  <c r="J5194" i="1"/>
  <c r="J5193" i="1"/>
  <c r="J5192" i="1"/>
  <c r="J5191" i="1"/>
  <c r="J5190" i="1"/>
  <c r="J5189" i="1"/>
  <c r="J5188" i="1"/>
  <c r="J5187" i="1"/>
  <c r="J5186" i="1"/>
  <c r="J5185" i="1"/>
  <c r="J5184" i="1"/>
  <c r="J5183" i="1"/>
  <c r="J5182" i="1"/>
  <c r="J5181" i="1"/>
  <c r="J5180" i="1"/>
  <c r="J5179" i="1"/>
  <c r="J5178" i="1"/>
  <c r="J5177" i="1"/>
  <c r="J5176" i="1"/>
  <c r="J5175" i="1"/>
  <c r="J5174" i="1"/>
  <c r="J5173" i="1"/>
  <c r="J5172" i="1"/>
  <c r="J5171" i="1"/>
  <c r="J5170" i="1"/>
  <c r="J5169" i="1"/>
  <c r="J5168" i="1"/>
  <c r="J5167" i="1"/>
  <c r="J5166" i="1"/>
  <c r="J5165" i="1"/>
  <c r="J5164" i="1"/>
  <c r="J5163" i="1"/>
  <c r="J5162" i="1"/>
  <c r="J5161" i="1"/>
  <c r="J5160" i="1"/>
  <c r="J5159" i="1"/>
  <c r="J5158" i="1"/>
  <c r="J5157" i="1"/>
  <c r="J5156" i="1"/>
  <c r="J5155" i="1"/>
  <c r="J5154" i="1"/>
  <c r="J5153" i="1"/>
  <c r="J5152" i="1"/>
  <c r="J5151" i="1"/>
  <c r="J5150" i="1"/>
  <c r="J5149" i="1"/>
  <c r="J5148" i="1"/>
  <c r="J5147" i="1"/>
  <c r="J5146" i="1"/>
  <c r="J5145" i="1"/>
  <c r="J5144" i="1"/>
  <c r="J5143" i="1"/>
  <c r="J5142" i="1"/>
  <c r="J5141" i="1"/>
  <c r="J5140" i="1"/>
  <c r="J5139" i="1"/>
  <c r="J5138" i="1"/>
  <c r="J5137" i="1"/>
  <c r="J5136" i="1"/>
  <c r="J5135" i="1"/>
  <c r="J5134" i="1"/>
  <c r="J5133" i="1"/>
  <c r="J5132" i="1"/>
  <c r="J5131" i="1"/>
  <c r="J5130" i="1"/>
  <c r="J5129" i="1"/>
  <c r="J5128" i="1"/>
  <c r="J5127" i="1"/>
  <c r="J5126" i="1"/>
  <c r="J5125" i="1"/>
  <c r="J5124" i="1"/>
  <c r="J5123" i="1"/>
  <c r="J5122" i="1"/>
  <c r="J5121" i="1"/>
  <c r="J5120" i="1"/>
  <c r="J5119" i="1"/>
  <c r="J5118" i="1"/>
  <c r="J5117" i="1"/>
  <c r="J5116" i="1"/>
  <c r="J5115" i="1"/>
  <c r="J5114" i="1"/>
  <c r="J5113" i="1"/>
  <c r="J5112" i="1"/>
  <c r="J5111" i="1"/>
  <c r="J5110" i="1"/>
  <c r="J5109" i="1"/>
  <c r="J5108" i="1"/>
  <c r="J5107" i="1"/>
  <c r="J5106" i="1"/>
  <c r="J5105" i="1"/>
  <c r="J5104" i="1"/>
  <c r="J5103" i="1"/>
  <c r="J5102" i="1"/>
  <c r="J5101" i="1"/>
  <c r="J5100" i="1"/>
  <c r="J5099" i="1"/>
  <c r="J5098" i="1"/>
  <c r="J5097" i="1"/>
  <c r="J5096" i="1"/>
  <c r="J5095" i="1"/>
  <c r="J5094" i="1"/>
  <c r="J5093" i="1"/>
  <c r="J5092" i="1"/>
  <c r="J5091" i="1"/>
  <c r="J5090" i="1"/>
  <c r="J5089" i="1"/>
  <c r="J5088" i="1"/>
  <c r="J5087" i="1"/>
  <c r="J5086" i="1"/>
  <c r="J5085" i="1"/>
  <c r="J5084" i="1"/>
  <c r="J5083" i="1"/>
  <c r="J5082" i="1"/>
  <c r="J5081" i="1"/>
  <c r="J5080" i="1"/>
  <c r="J5079" i="1"/>
  <c r="J5078" i="1"/>
  <c r="J5077" i="1"/>
  <c r="J5076" i="1"/>
  <c r="J5075" i="1"/>
  <c r="J5074" i="1"/>
  <c r="J5073" i="1"/>
  <c r="J5072" i="1"/>
  <c r="J5071" i="1"/>
  <c r="J5070" i="1"/>
  <c r="J5069" i="1"/>
  <c r="J5068" i="1"/>
  <c r="J5067" i="1"/>
  <c r="J5066" i="1"/>
  <c r="J5065" i="1"/>
  <c r="J5064" i="1"/>
  <c r="J5063" i="1"/>
  <c r="J5062" i="1"/>
  <c r="J5061" i="1"/>
  <c r="J5060" i="1"/>
  <c r="J5059" i="1"/>
  <c r="J5058" i="1"/>
  <c r="J5057" i="1"/>
  <c r="J5056" i="1"/>
  <c r="J5055" i="1"/>
  <c r="J5054" i="1"/>
  <c r="J5053" i="1"/>
  <c r="J5052" i="1"/>
  <c r="J5051" i="1"/>
  <c r="J5050" i="1"/>
  <c r="J5049" i="1"/>
  <c r="J5048" i="1"/>
  <c r="J5047" i="1"/>
  <c r="J5046" i="1"/>
  <c r="J5045" i="1"/>
  <c r="J5044" i="1"/>
  <c r="J5043" i="1"/>
  <c r="J5042" i="1"/>
  <c r="J5041" i="1"/>
  <c r="J5040" i="1"/>
  <c r="J5039" i="1"/>
  <c r="J5038" i="1"/>
  <c r="J5037" i="1"/>
  <c r="J5036" i="1"/>
  <c r="J5035" i="1"/>
  <c r="J5034" i="1"/>
  <c r="J5033" i="1"/>
  <c r="J5032" i="1"/>
  <c r="J5031" i="1"/>
  <c r="J5030" i="1"/>
  <c r="J5029" i="1"/>
  <c r="J5028" i="1"/>
  <c r="J5027" i="1"/>
  <c r="J5026" i="1"/>
  <c r="J5025" i="1"/>
  <c r="J5024" i="1"/>
  <c r="J5023" i="1"/>
  <c r="J5022" i="1"/>
  <c r="J5021" i="1"/>
  <c r="J5020" i="1"/>
  <c r="J5019" i="1"/>
  <c r="J5018" i="1"/>
  <c r="J5017" i="1"/>
  <c r="J5016" i="1"/>
  <c r="J5015" i="1"/>
  <c r="J5014" i="1"/>
  <c r="J5013" i="1"/>
  <c r="J5012" i="1"/>
  <c r="J5011" i="1"/>
  <c r="J5010" i="1"/>
  <c r="J5009" i="1"/>
  <c r="J5008" i="1"/>
  <c r="J5007" i="1"/>
  <c r="J5006" i="1"/>
  <c r="J5005" i="1"/>
  <c r="J5004" i="1"/>
  <c r="J5003" i="1"/>
  <c r="J5002" i="1"/>
  <c r="J5001" i="1"/>
  <c r="J5000" i="1"/>
  <c r="J4999" i="1"/>
  <c r="J4998" i="1"/>
  <c r="J4997" i="1"/>
  <c r="J4996" i="1"/>
  <c r="J4995" i="1"/>
  <c r="J4994" i="1"/>
  <c r="J4993" i="1"/>
  <c r="J4992" i="1"/>
  <c r="J4991" i="1"/>
  <c r="J4990" i="1"/>
  <c r="J4989" i="1"/>
  <c r="J4988" i="1"/>
  <c r="J4987" i="1"/>
  <c r="J4986" i="1"/>
  <c r="J4985" i="1"/>
  <c r="J4984" i="1"/>
  <c r="J4983" i="1"/>
  <c r="J4982" i="1"/>
  <c r="J4981" i="1"/>
  <c r="J4980" i="1"/>
  <c r="J4979" i="1"/>
  <c r="J4978" i="1"/>
  <c r="J4977" i="1"/>
  <c r="J4976" i="1"/>
  <c r="J4975" i="1"/>
  <c r="J4974" i="1"/>
  <c r="J4973" i="1"/>
  <c r="J4972" i="1"/>
  <c r="J4971" i="1"/>
  <c r="J4970" i="1"/>
  <c r="J4969" i="1"/>
  <c r="J4968" i="1"/>
  <c r="J4967" i="1"/>
  <c r="J4966" i="1"/>
  <c r="J4965" i="1"/>
  <c r="J4964" i="1"/>
  <c r="J4963" i="1"/>
  <c r="J4962" i="1"/>
  <c r="J4961" i="1"/>
  <c r="J4960" i="1"/>
  <c r="J4959" i="1"/>
  <c r="J4958" i="1"/>
  <c r="J4957" i="1"/>
  <c r="J4956" i="1"/>
  <c r="J4955" i="1"/>
  <c r="J4954" i="1"/>
  <c r="J4953" i="1"/>
  <c r="J4952" i="1"/>
  <c r="J4951" i="1"/>
  <c r="J4950" i="1"/>
  <c r="J4949" i="1"/>
  <c r="J4948" i="1"/>
  <c r="J4947" i="1"/>
  <c r="J4946" i="1"/>
  <c r="J4945" i="1"/>
  <c r="J4944" i="1"/>
  <c r="J4943" i="1"/>
  <c r="J4942" i="1"/>
  <c r="J4941" i="1"/>
  <c r="J4940" i="1"/>
  <c r="J4939" i="1"/>
  <c r="J4938" i="1"/>
  <c r="J4937" i="1"/>
  <c r="J4936" i="1"/>
  <c r="J4935" i="1"/>
  <c r="J4934" i="1"/>
  <c r="J4933" i="1"/>
  <c r="J4932" i="1"/>
  <c r="J4931" i="1"/>
  <c r="J4930" i="1"/>
  <c r="J4929" i="1"/>
  <c r="J4928" i="1"/>
  <c r="J4927" i="1"/>
  <c r="J4926" i="1"/>
  <c r="J4925" i="1"/>
  <c r="J4924" i="1"/>
  <c r="J4923" i="1"/>
  <c r="J4922" i="1"/>
  <c r="J4921" i="1"/>
  <c r="J4920" i="1"/>
  <c r="J4919" i="1"/>
  <c r="J4918" i="1"/>
  <c r="J4917" i="1"/>
  <c r="J4916" i="1"/>
  <c r="J4915" i="1"/>
  <c r="J4914" i="1"/>
  <c r="J4913" i="1"/>
  <c r="J4912" i="1"/>
  <c r="J4911" i="1"/>
  <c r="J4910" i="1"/>
  <c r="J4909" i="1"/>
  <c r="J4908" i="1"/>
  <c r="J4907" i="1"/>
  <c r="J4906" i="1"/>
  <c r="J4905" i="1"/>
  <c r="J4904" i="1"/>
  <c r="J4903" i="1"/>
  <c r="J4902" i="1"/>
  <c r="J4901" i="1"/>
  <c r="J4900" i="1"/>
  <c r="J4899" i="1"/>
  <c r="J4898" i="1"/>
  <c r="J4897" i="1"/>
  <c r="J4896" i="1"/>
  <c r="J4895" i="1"/>
  <c r="J4894" i="1"/>
  <c r="J4893" i="1"/>
  <c r="J4892" i="1"/>
  <c r="J4891" i="1"/>
  <c r="J4890" i="1"/>
  <c r="J4889" i="1"/>
  <c r="J4888" i="1"/>
  <c r="J4887" i="1"/>
  <c r="J4886" i="1"/>
  <c r="J4885" i="1"/>
  <c r="J4884" i="1"/>
  <c r="J4883" i="1"/>
  <c r="J4882" i="1"/>
  <c r="J4881" i="1"/>
  <c r="J4880" i="1"/>
  <c r="J4879" i="1"/>
  <c r="J4878" i="1"/>
  <c r="J4877" i="1"/>
  <c r="J4876" i="1"/>
  <c r="J4875" i="1"/>
  <c r="J4874" i="1"/>
  <c r="J4873" i="1"/>
  <c r="J4872" i="1"/>
  <c r="J4871" i="1"/>
  <c r="J4870" i="1"/>
  <c r="J4869" i="1"/>
  <c r="J4868" i="1"/>
  <c r="J4867" i="1"/>
  <c r="J4866" i="1"/>
  <c r="J4865" i="1"/>
  <c r="J4864" i="1"/>
  <c r="J4863" i="1"/>
  <c r="J4862" i="1"/>
  <c r="J4861" i="1"/>
  <c r="J4860" i="1"/>
  <c r="J4859" i="1"/>
  <c r="J4858" i="1"/>
  <c r="J4857" i="1"/>
  <c r="J4856" i="1"/>
  <c r="J4855" i="1"/>
  <c r="J4854" i="1"/>
  <c r="J4853" i="1"/>
  <c r="J4852" i="1"/>
  <c r="J4851" i="1"/>
  <c r="J4850" i="1"/>
  <c r="J4849" i="1"/>
  <c r="J4848" i="1"/>
  <c r="J4847" i="1"/>
  <c r="J4846" i="1"/>
  <c r="J4845" i="1"/>
  <c r="J4844" i="1"/>
  <c r="J4843" i="1"/>
  <c r="J4842" i="1"/>
  <c r="J4841" i="1"/>
  <c r="J4840" i="1"/>
  <c r="J4839" i="1"/>
  <c r="J4838" i="1"/>
  <c r="J4837" i="1"/>
  <c r="J4836" i="1"/>
  <c r="J4835" i="1"/>
  <c r="J4834" i="1"/>
  <c r="J4833" i="1"/>
  <c r="J4832" i="1"/>
  <c r="J4831" i="1"/>
  <c r="J4830" i="1"/>
  <c r="J4829" i="1"/>
  <c r="J4828" i="1"/>
  <c r="J4827" i="1"/>
  <c r="J4826" i="1"/>
  <c r="J4825" i="1"/>
  <c r="J4824" i="1"/>
  <c r="J4823" i="1"/>
  <c r="J4822" i="1"/>
  <c r="J4821" i="1"/>
  <c r="J4820" i="1"/>
  <c r="J4819" i="1"/>
  <c r="J4818" i="1"/>
  <c r="J4817" i="1"/>
  <c r="J4816" i="1"/>
  <c r="J4815" i="1"/>
  <c r="J4814" i="1"/>
  <c r="J4813" i="1"/>
  <c r="J4812" i="1"/>
  <c r="J4811" i="1"/>
  <c r="J4810" i="1"/>
  <c r="J4809" i="1"/>
  <c r="J4808" i="1"/>
  <c r="J4807" i="1"/>
  <c r="J4806" i="1"/>
  <c r="J4805" i="1"/>
  <c r="J4804" i="1"/>
  <c r="J4803" i="1"/>
  <c r="J4802" i="1"/>
  <c r="J4801" i="1"/>
  <c r="J4800" i="1"/>
  <c r="J4799" i="1"/>
  <c r="J4798" i="1"/>
  <c r="J4797" i="1"/>
  <c r="J4796" i="1"/>
  <c r="J4795" i="1"/>
  <c r="J4794" i="1"/>
  <c r="J4793" i="1"/>
  <c r="J4792" i="1"/>
  <c r="J4791" i="1"/>
  <c r="J4790" i="1"/>
  <c r="J4789" i="1"/>
  <c r="J4788" i="1"/>
  <c r="J4787" i="1"/>
  <c r="J4786" i="1"/>
  <c r="J4785" i="1"/>
  <c r="J4784" i="1"/>
  <c r="J4783" i="1"/>
  <c r="J4782" i="1"/>
  <c r="J4781" i="1"/>
  <c r="J4780" i="1"/>
  <c r="J4779" i="1"/>
  <c r="J4778" i="1"/>
  <c r="J4777" i="1"/>
  <c r="J4776" i="1"/>
  <c r="J4775" i="1"/>
  <c r="J4774" i="1"/>
  <c r="J4773" i="1"/>
  <c r="J4772" i="1"/>
  <c r="J4771" i="1"/>
  <c r="J4770" i="1"/>
  <c r="J4769" i="1"/>
  <c r="J4768" i="1"/>
  <c r="J4767" i="1"/>
  <c r="J4766" i="1"/>
  <c r="J4765" i="1"/>
  <c r="J4764" i="1"/>
  <c r="J4763" i="1"/>
  <c r="J4762" i="1"/>
  <c r="J4761" i="1"/>
  <c r="J4760" i="1"/>
  <c r="J4759" i="1"/>
  <c r="J4758" i="1"/>
  <c r="J4757" i="1"/>
  <c r="J4756" i="1"/>
  <c r="J4755" i="1"/>
  <c r="J4754" i="1"/>
  <c r="J4753" i="1"/>
  <c r="J4752" i="1"/>
  <c r="J4751" i="1"/>
  <c r="J4750" i="1"/>
  <c r="J4749" i="1"/>
  <c r="J4748" i="1"/>
  <c r="J4747" i="1"/>
  <c r="J4746" i="1"/>
  <c r="J4745" i="1"/>
  <c r="J4744" i="1"/>
  <c r="J4743" i="1"/>
  <c r="J4742" i="1"/>
  <c r="J4741" i="1"/>
  <c r="J4740" i="1"/>
  <c r="J4739" i="1"/>
  <c r="J4738" i="1"/>
  <c r="J4737" i="1"/>
  <c r="J4736" i="1"/>
  <c r="J4735" i="1"/>
  <c r="J4734" i="1"/>
  <c r="J4733" i="1"/>
  <c r="J4732" i="1"/>
  <c r="J4731" i="1"/>
  <c r="J4730" i="1"/>
  <c r="J4729" i="1"/>
  <c r="J4728" i="1"/>
  <c r="J4727" i="1"/>
  <c r="J4726" i="1"/>
  <c r="J4725" i="1"/>
  <c r="J4724" i="1"/>
  <c r="J4723" i="1"/>
  <c r="J4722" i="1"/>
  <c r="J4721" i="1"/>
  <c r="J4720" i="1"/>
  <c r="J4719" i="1"/>
  <c r="J4718" i="1"/>
  <c r="J4717" i="1"/>
  <c r="J4716" i="1"/>
  <c r="J4715" i="1"/>
  <c r="J4714" i="1"/>
  <c r="J4713" i="1"/>
  <c r="J4712" i="1"/>
  <c r="J4711" i="1"/>
  <c r="J4710" i="1"/>
  <c r="J4709" i="1"/>
  <c r="J4708" i="1"/>
  <c r="J4707" i="1"/>
  <c r="J4706" i="1"/>
  <c r="J4705" i="1"/>
  <c r="J4704" i="1"/>
  <c r="J4703" i="1"/>
  <c r="J4702" i="1"/>
  <c r="J4701" i="1"/>
  <c r="J4700" i="1"/>
  <c r="J4699" i="1"/>
  <c r="J4698" i="1"/>
  <c r="J4697" i="1"/>
  <c r="J4696" i="1"/>
  <c r="J4695" i="1"/>
  <c r="J4694" i="1"/>
  <c r="J4693" i="1"/>
  <c r="J4692" i="1"/>
  <c r="J4691" i="1"/>
  <c r="J4690" i="1"/>
  <c r="J4689" i="1"/>
  <c r="J4688" i="1"/>
  <c r="J4687" i="1"/>
  <c r="J4686" i="1"/>
  <c r="J4685" i="1"/>
  <c r="J4684" i="1"/>
  <c r="J4683" i="1"/>
  <c r="J4682" i="1"/>
  <c r="J4681" i="1"/>
  <c r="J4680" i="1"/>
  <c r="J4679" i="1"/>
  <c r="J4678" i="1"/>
  <c r="J4677" i="1"/>
  <c r="J4676" i="1"/>
  <c r="J4675" i="1"/>
  <c r="J4674" i="1"/>
  <c r="J4673" i="1"/>
  <c r="J4672" i="1"/>
  <c r="J4671" i="1"/>
  <c r="J4670" i="1"/>
  <c r="J4669" i="1"/>
  <c r="J4668" i="1"/>
  <c r="J4667" i="1"/>
  <c r="J4666" i="1"/>
  <c r="J4665" i="1"/>
  <c r="J4664" i="1"/>
  <c r="J4663" i="1"/>
  <c r="J4662" i="1"/>
  <c r="J4661" i="1"/>
  <c r="J4660" i="1"/>
  <c r="J4659" i="1"/>
  <c r="J4658" i="1"/>
  <c r="J4657" i="1"/>
  <c r="J4656" i="1"/>
  <c r="J4655" i="1"/>
  <c r="J4654" i="1"/>
  <c r="J4653" i="1"/>
  <c r="J4652" i="1"/>
  <c r="J4651" i="1"/>
  <c r="J4650" i="1"/>
  <c r="J4649" i="1"/>
  <c r="J4648" i="1"/>
  <c r="J4647" i="1"/>
  <c r="J4646" i="1"/>
  <c r="J4645" i="1"/>
  <c r="J4644" i="1"/>
  <c r="J4643" i="1"/>
  <c r="J4642" i="1"/>
  <c r="J4641" i="1"/>
  <c r="J4640" i="1"/>
  <c r="J4639" i="1"/>
  <c r="J4638" i="1"/>
  <c r="J4637" i="1"/>
  <c r="J4636" i="1"/>
  <c r="J4635" i="1"/>
  <c r="J4634" i="1"/>
  <c r="J4633" i="1"/>
  <c r="J4632" i="1"/>
  <c r="J4631" i="1"/>
  <c r="J4630" i="1"/>
  <c r="J4629" i="1"/>
  <c r="J4628" i="1"/>
  <c r="J4627" i="1"/>
  <c r="J4626" i="1"/>
  <c r="J4625" i="1"/>
  <c r="J4624" i="1"/>
  <c r="J4623" i="1"/>
  <c r="J4622" i="1"/>
  <c r="J4621" i="1"/>
  <c r="J4620" i="1"/>
  <c r="J4619" i="1"/>
  <c r="J4618" i="1"/>
  <c r="J4617" i="1"/>
  <c r="J4616" i="1"/>
  <c r="J4615" i="1"/>
  <c r="J4614" i="1"/>
  <c r="J4613" i="1"/>
  <c r="J4612" i="1"/>
  <c r="J4611" i="1"/>
  <c r="J4610" i="1"/>
  <c r="J4609" i="1"/>
  <c r="J4608" i="1"/>
  <c r="J4607" i="1"/>
  <c r="J4606" i="1"/>
  <c r="J4605" i="1"/>
  <c r="J4604" i="1"/>
  <c r="J4603" i="1"/>
  <c r="J4602" i="1"/>
  <c r="J4601" i="1"/>
  <c r="J4600" i="1"/>
  <c r="J4599" i="1"/>
  <c r="J4598" i="1"/>
  <c r="J4597" i="1"/>
  <c r="J4596" i="1"/>
  <c r="J4595" i="1"/>
  <c r="J4594" i="1"/>
  <c r="J4593" i="1"/>
  <c r="J4592" i="1"/>
  <c r="J4591" i="1"/>
  <c r="J4590" i="1"/>
  <c r="J4589" i="1"/>
  <c r="J4588" i="1"/>
  <c r="J4587" i="1"/>
  <c r="J4586" i="1"/>
  <c r="J4585" i="1"/>
  <c r="J4584" i="1"/>
  <c r="J4583" i="1"/>
  <c r="J4582" i="1"/>
  <c r="J4581" i="1"/>
  <c r="J4580" i="1"/>
  <c r="J4579" i="1"/>
  <c r="J4578" i="1"/>
  <c r="J4577" i="1"/>
  <c r="J4576" i="1"/>
  <c r="J4575" i="1"/>
  <c r="J4574" i="1"/>
  <c r="J4573" i="1"/>
  <c r="J4572" i="1"/>
  <c r="J4571" i="1"/>
  <c r="J4570" i="1"/>
  <c r="J4569" i="1"/>
  <c r="J4568" i="1"/>
  <c r="J4567" i="1"/>
  <c r="J4566" i="1"/>
  <c r="J4565" i="1"/>
  <c r="J4564" i="1"/>
  <c r="J4563" i="1"/>
  <c r="J4562" i="1"/>
  <c r="J4561" i="1"/>
  <c r="J4560" i="1"/>
  <c r="J4559" i="1"/>
  <c r="J4558" i="1"/>
  <c r="J4557" i="1"/>
  <c r="J4556" i="1"/>
  <c r="J4555" i="1"/>
  <c r="J4554" i="1"/>
  <c r="J4553" i="1"/>
  <c r="J4552" i="1"/>
  <c r="J4551" i="1"/>
  <c r="J4550" i="1"/>
  <c r="J4549" i="1"/>
  <c r="J4548" i="1"/>
  <c r="J4547" i="1"/>
  <c r="J4546" i="1"/>
  <c r="J4545" i="1"/>
  <c r="J4544" i="1"/>
  <c r="J4543" i="1"/>
  <c r="J4542" i="1"/>
  <c r="J4541" i="1"/>
  <c r="J4540" i="1"/>
  <c r="J4539" i="1"/>
  <c r="J4538" i="1"/>
  <c r="J4537" i="1"/>
  <c r="J4536" i="1"/>
  <c r="J4535" i="1"/>
  <c r="J4534" i="1"/>
  <c r="J4533" i="1"/>
  <c r="J4532" i="1"/>
  <c r="J4531" i="1"/>
  <c r="J4530" i="1"/>
  <c r="J4529" i="1"/>
  <c r="J4528" i="1"/>
  <c r="J4527" i="1"/>
  <c r="J4526" i="1"/>
  <c r="J4525" i="1"/>
  <c r="J4524" i="1"/>
  <c r="J4523" i="1"/>
  <c r="J4522" i="1"/>
  <c r="J4521" i="1"/>
  <c r="J4520" i="1"/>
  <c r="J4519" i="1"/>
  <c r="J4518" i="1"/>
  <c r="J4517" i="1"/>
  <c r="J4516" i="1"/>
  <c r="J4515" i="1"/>
  <c r="J4514" i="1"/>
  <c r="J4513" i="1"/>
  <c r="J4512" i="1"/>
  <c r="J4511" i="1"/>
  <c r="J4510" i="1"/>
  <c r="J4509" i="1"/>
  <c r="J4508" i="1"/>
  <c r="J4507" i="1"/>
  <c r="J4506" i="1"/>
  <c r="J4505" i="1"/>
  <c r="J4504" i="1"/>
  <c r="J4503" i="1"/>
  <c r="J4502" i="1"/>
  <c r="J4501" i="1"/>
  <c r="J4500" i="1"/>
  <c r="J4499" i="1"/>
  <c r="J4498" i="1"/>
  <c r="J4497" i="1"/>
  <c r="J4496" i="1"/>
  <c r="J4495" i="1"/>
  <c r="J4494" i="1"/>
  <c r="J4493" i="1"/>
  <c r="J4492" i="1"/>
  <c r="J4491" i="1"/>
  <c r="J4490" i="1"/>
  <c r="J4489" i="1"/>
  <c r="J4488" i="1"/>
  <c r="J4487" i="1"/>
  <c r="J4486" i="1"/>
  <c r="J4485" i="1"/>
  <c r="J4484" i="1"/>
  <c r="J4483" i="1"/>
  <c r="J4482" i="1"/>
  <c r="J4481" i="1"/>
  <c r="J4480" i="1"/>
  <c r="J4479" i="1"/>
  <c r="J4478" i="1"/>
  <c r="J4477" i="1"/>
  <c r="J4476" i="1"/>
  <c r="J4475" i="1"/>
  <c r="J4474" i="1"/>
  <c r="J4473" i="1"/>
  <c r="J4472" i="1"/>
  <c r="J4471" i="1"/>
  <c r="J4470" i="1"/>
  <c r="J4469" i="1"/>
  <c r="J4468" i="1"/>
  <c r="J4467" i="1"/>
  <c r="J4466" i="1"/>
  <c r="J4465" i="1"/>
  <c r="J4464" i="1"/>
  <c r="J4463" i="1"/>
  <c r="J4462" i="1"/>
  <c r="J4461" i="1"/>
  <c r="J4460" i="1"/>
  <c r="J4459" i="1"/>
  <c r="J4458" i="1"/>
  <c r="J4457" i="1"/>
  <c r="J4456" i="1"/>
  <c r="J4455" i="1"/>
  <c r="J4454" i="1"/>
  <c r="J4453" i="1"/>
  <c r="J4452" i="1"/>
  <c r="J4451" i="1"/>
  <c r="J4450" i="1"/>
  <c r="J4449" i="1"/>
  <c r="J4448" i="1"/>
  <c r="J4447" i="1"/>
  <c r="J4446" i="1"/>
  <c r="J4445" i="1"/>
  <c r="J4444" i="1"/>
  <c r="J4443" i="1"/>
  <c r="J4442" i="1"/>
  <c r="J4441" i="1"/>
  <c r="J4440" i="1"/>
  <c r="J4439" i="1"/>
  <c r="J4438" i="1"/>
  <c r="J4437" i="1"/>
  <c r="J4436" i="1"/>
  <c r="J4435" i="1"/>
  <c r="J4434" i="1"/>
  <c r="J4433" i="1"/>
  <c r="J4432" i="1"/>
  <c r="J4431" i="1"/>
  <c r="J4430" i="1"/>
  <c r="J4429" i="1"/>
  <c r="J4428" i="1"/>
  <c r="J4427" i="1"/>
  <c r="J4426" i="1"/>
  <c r="J4425" i="1"/>
  <c r="J4424" i="1"/>
  <c r="J4423" i="1"/>
  <c r="J4422" i="1"/>
  <c r="J4421" i="1"/>
  <c r="J4420" i="1"/>
  <c r="J4419" i="1"/>
  <c r="J4418" i="1"/>
  <c r="J4417" i="1"/>
  <c r="J4416" i="1"/>
  <c r="J4415" i="1"/>
  <c r="J4414" i="1"/>
  <c r="J4413" i="1"/>
  <c r="J4412" i="1"/>
  <c r="J4411" i="1"/>
  <c r="J4410" i="1"/>
  <c r="J4409" i="1"/>
  <c r="J4408" i="1"/>
  <c r="J4407" i="1"/>
  <c r="J4406" i="1"/>
  <c r="J4405" i="1"/>
  <c r="J4404" i="1"/>
  <c r="J4403" i="1"/>
  <c r="J4402" i="1"/>
  <c r="J4401" i="1"/>
  <c r="J4400" i="1"/>
  <c r="J4399" i="1"/>
  <c r="J4398" i="1"/>
  <c r="J4397" i="1"/>
  <c r="J4396" i="1"/>
  <c r="J4395" i="1"/>
  <c r="J4394" i="1"/>
  <c r="J4393" i="1"/>
  <c r="J4392" i="1"/>
  <c r="J4391" i="1"/>
  <c r="J4390" i="1"/>
  <c r="J4389" i="1"/>
  <c r="J4388" i="1"/>
  <c r="J4387" i="1"/>
  <c r="J4386" i="1"/>
  <c r="J4385" i="1"/>
  <c r="J4384" i="1"/>
  <c r="J4383" i="1"/>
  <c r="J4382" i="1"/>
  <c r="J4381" i="1"/>
  <c r="J4380" i="1"/>
  <c r="J4379" i="1"/>
  <c r="J4378" i="1"/>
  <c r="J4377" i="1"/>
  <c r="J4376" i="1"/>
  <c r="J4375" i="1"/>
  <c r="J4374" i="1"/>
  <c r="J4373" i="1"/>
  <c r="J4372" i="1"/>
  <c r="J4371" i="1"/>
  <c r="J4370" i="1"/>
  <c r="J4369" i="1"/>
  <c r="J4368" i="1"/>
  <c r="J4367" i="1"/>
  <c r="J4366" i="1"/>
  <c r="J4365" i="1"/>
  <c r="J4364" i="1"/>
  <c r="J4363" i="1"/>
  <c r="J4362" i="1"/>
  <c r="J4361" i="1"/>
  <c r="J4360" i="1"/>
  <c r="J4359" i="1"/>
  <c r="J4358" i="1"/>
  <c r="J4357" i="1"/>
  <c r="J4356" i="1"/>
  <c r="J4355" i="1"/>
  <c r="J4354" i="1"/>
  <c r="J4353" i="1"/>
  <c r="J4352" i="1"/>
  <c r="J4351" i="1"/>
  <c r="J4350" i="1"/>
  <c r="J4349" i="1"/>
  <c r="J4348" i="1"/>
  <c r="J4347" i="1"/>
  <c r="J4346" i="1"/>
  <c r="J4345" i="1"/>
  <c r="J4344" i="1"/>
  <c r="J4343" i="1"/>
  <c r="J4342" i="1"/>
  <c r="J4341" i="1"/>
  <c r="J4340" i="1"/>
  <c r="J4339" i="1"/>
  <c r="J4338" i="1"/>
  <c r="J4337" i="1"/>
  <c r="J4336" i="1"/>
  <c r="J4335" i="1"/>
  <c r="J4334" i="1"/>
  <c r="J4333" i="1"/>
  <c r="J4332" i="1"/>
  <c r="J4331" i="1"/>
  <c r="J4330" i="1"/>
  <c r="J4329" i="1"/>
  <c r="J4328" i="1"/>
  <c r="J4327" i="1"/>
  <c r="J4326" i="1"/>
  <c r="J4325" i="1"/>
  <c r="J4324" i="1"/>
  <c r="J4323" i="1"/>
  <c r="J4322" i="1"/>
  <c r="J4321" i="1"/>
  <c r="J4320" i="1"/>
  <c r="J4319" i="1"/>
  <c r="J4318" i="1"/>
  <c r="J4317" i="1"/>
  <c r="J4316" i="1"/>
  <c r="J4315" i="1"/>
  <c r="J4314" i="1"/>
  <c r="J4313" i="1"/>
  <c r="J4312" i="1"/>
  <c r="J4311" i="1"/>
  <c r="J4310" i="1"/>
  <c r="J4309" i="1"/>
  <c r="J4308" i="1"/>
  <c r="J4307" i="1"/>
  <c r="J4306" i="1"/>
  <c r="J4305" i="1"/>
  <c r="J4304" i="1"/>
  <c r="J4303" i="1"/>
  <c r="J4302" i="1"/>
  <c r="J4301" i="1"/>
  <c r="J4300" i="1"/>
  <c r="J4299" i="1"/>
  <c r="J4298" i="1"/>
  <c r="J4297" i="1"/>
  <c r="J4296" i="1"/>
  <c r="J4295" i="1"/>
  <c r="J4294" i="1"/>
  <c r="J4293" i="1"/>
  <c r="J4292" i="1"/>
  <c r="J4291" i="1"/>
  <c r="J4290" i="1"/>
  <c r="J4289" i="1"/>
  <c r="J4288" i="1"/>
  <c r="J4287" i="1"/>
  <c r="J4286" i="1"/>
  <c r="J4285" i="1"/>
  <c r="J4284" i="1"/>
  <c r="J4283" i="1"/>
  <c r="J4282" i="1"/>
  <c r="J4281" i="1"/>
  <c r="J4280" i="1"/>
  <c r="J4279" i="1"/>
  <c r="J4278" i="1"/>
  <c r="J4277" i="1"/>
  <c r="J4276" i="1"/>
  <c r="J4275" i="1"/>
  <c r="J4274" i="1"/>
  <c r="J4273" i="1"/>
  <c r="J4272" i="1"/>
  <c r="J4271" i="1"/>
  <c r="J4270" i="1"/>
  <c r="J4269" i="1"/>
  <c r="J4268" i="1"/>
  <c r="J4267" i="1"/>
  <c r="J4266" i="1"/>
  <c r="J4265" i="1"/>
  <c r="J4264" i="1"/>
  <c r="J4263" i="1"/>
  <c r="J4262" i="1"/>
  <c r="J4261" i="1"/>
  <c r="J4260" i="1"/>
  <c r="J4259" i="1"/>
  <c r="J4258" i="1"/>
  <c r="J4257" i="1"/>
  <c r="J4256" i="1"/>
  <c r="J4255" i="1"/>
  <c r="J4254" i="1"/>
  <c r="J4253" i="1"/>
  <c r="J4252" i="1"/>
  <c r="J4251" i="1"/>
  <c r="J4250" i="1"/>
  <c r="J4249" i="1"/>
  <c r="J4248" i="1"/>
  <c r="J4247" i="1"/>
  <c r="J4246" i="1"/>
  <c r="J4245" i="1"/>
  <c r="J4244" i="1"/>
  <c r="J4243" i="1"/>
  <c r="J4242" i="1"/>
  <c r="J4241" i="1"/>
  <c r="J4240" i="1"/>
  <c r="J4239" i="1"/>
  <c r="J4238" i="1"/>
  <c r="J4237" i="1"/>
  <c r="J4236" i="1"/>
  <c r="J4235" i="1"/>
  <c r="J4234" i="1"/>
  <c r="J4233" i="1"/>
  <c r="J4232" i="1"/>
  <c r="J4231" i="1"/>
  <c r="J4230" i="1"/>
  <c r="J4229" i="1"/>
  <c r="J4228" i="1"/>
  <c r="J4227" i="1"/>
  <c r="J4226" i="1"/>
  <c r="J4225" i="1"/>
  <c r="J4224" i="1"/>
  <c r="J4223" i="1"/>
  <c r="J4222" i="1"/>
  <c r="J4221" i="1"/>
  <c r="J4220" i="1"/>
  <c r="J4219" i="1"/>
  <c r="J4218" i="1"/>
  <c r="J4217" i="1"/>
  <c r="J4216" i="1"/>
  <c r="J4215" i="1"/>
  <c r="J4214" i="1"/>
  <c r="J4213" i="1"/>
  <c r="J4212" i="1"/>
  <c r="J4211" i="1"/>
  <c r="J4210" i="1"/>
  <c r="J4209" i="1"/>
  <c r="J4208" i="1"/>
  <c r="J4207" i="1"/>
  <c r="J4206" i="1"/>
  <c r="J4205" i="1"/>
  <c r="J4204" i="1"/>
  <c r="J4203" i="1"/>
  <c r="J4202" i="1"/>
  <c r="J4201" i="1"/>
  <c r="J4200" i="1"/>
  <c r="J4199" i="1"/>
  <c r="J4198" i="1"/>
  <c r="J4197" i="1"/>
  <c r="J4196" i="1"/>
  <c r="J4195" i="1"/>
  <c r="J4194" i="1"/>
  <c r="J4193" i="1"/>
  <c r="J4192" i="1"/>
  <c r="J4191" i="1"/>
  <c r="J4190" i="1"/>
  <c r="J4189" i="1"/>
  <c r="J4188" i="1"/>
  <c r="J4187" i="1"/>
  <c r="J4186" i="1"/>
  <c r="J4185" i="1"/>
  <c r="J4184" i="1"/>
  <c r="J4183" i="1"/>
  <c r="J4182" i="1"/>
  <c r="J4181" i="1"/>
  <c r="J4180" i="1"/>
  <c r="J4179" i="1"/>
  <c r="J4178" i="1"/>
  <c r="J4177" i="1"/>
  <c r="J4176" i="1"/>
  <c r="J4175" i="1"/>
  <c r="J4174" i="1"/>
  <c r="J4173" i="1"/>
  <c r="J4172" i="1"/>
  <c r="J4171" i="1"/>
  <c r="J4170" i="1"/>
  <c r="J4169" i="1"/>
  <c r="J4168" i="1"/>
  <c r="J4167" i="1"/>
  <c r="J4166" i="1"/>
  <c r="J4165" i="1"/>
  <c r="J4164" i="1"/>
  <c r="J4163" i="1"/>
  <c r="J4162" i="1"/>
  <c r="J4161" i="1"/>
  <c r="J4160" i="1"/>
  <c r="J4159" i="1"/>
  <c r="J4158" i="1"/>
  <c r="J4157" i="1"/>
  <c r="J4156" i="1"/>
  <c r="J4155" i="1"/>
  <c r="J4154" i="1"/>
  <c r="J4153" i="1"/>
  <c r="J4152" i="1"/>
  <c r="J4151" i="1"/>
  <c r="J4150" i="1"/>
  <c r="J4149" i="1"/>
  <c r="J4148" i="1"/>
  <c r="J4147" i="1"/>
  <c r="J4146" i="1"/>
  <c r="J4145" i="1"/>
  <c r="J4144" i="1"/>
  <c r="J4143" i="1"/>
  <c r="J4142" i="1"/>
  <c r="J4141" i="1"/>
  <c r="J4140" i="1"/>
  <c r="J4139" i="1"/>
  <c r="J4138" i="1"/>
  <c r="J4137" i="1"/>
  <c r="J4136" i="1"/>
  <c r="J4135" i="1"/>
  <c r="J4134" i="1"/>
  <c r="J4133" i="1"/>
  <c r="J4132" i="1"/>
  <c r="J4131" i="1"/>
  <c r="J4130" i="1"/>
  <c r="J4129" i="1"/>
  <c r="J4128" i="1"/>
  <c r="J4127" i="1"/>
  <c r="J4126" i="1"/>
  <c r="J4125" i="1"/>
  <c r="J4124" i="1"/>
  <c r="J4123" i="1"/>
  <c r="J4122" i="1"/>
  <c r="J4121" i="1"/>
  <c r="J4120" i="1"/>
  <c r="J4119" i="1"/>
  <c r="J4118" i="1"/>
  <c r="J4117" i="1"/>
  <c r="J4116" i="1"/>
  <c r="J4115" i="1"/>
  <c r="J4114" i="1"/>
  <c r="J4113" i="1"/>
  <c r="J4112" i="1"/>
  <c r="J4111" i="1"/>
  <c r="J4110" i="1"/>
  <c r="J4109" i="1"/>
  <c r="J4108" i="1"/>
  <c r="J4107" i="1"/>
  <c r="J4106" i="1"/>
  <c r="J4105" i="1"/>
  <c r="J4104" i="1"/>
  <c r="J4103" i="1"/>
  <c r="J4102" i="1"/>
  <c r="J4101" i="1"/>
  <c r="J4100" i="1"/>
  <c r="J4099" i="1"/>
  <c r="J4098" i="1"/>
  <c r="J4097" i="1"/>
  <c r="J4096" i="1"/>
  <c r="J4095" i="1"/>
  <c r="J4094" i="1"/>
  <c r="J4093" i="1"/>
  <c r="J4092" i="1"/>
  <c r="J4091" i="1"/>
  <c r="J4090" i="1"/>
  <c r="J4089" i="1"/>
  <c r="J4088" i="1"/>
  <c r="J4087" i="1"/>
  <c r="J4086" i="1"/>
  <c r="J4085" i="1"/>
  <c r="J4084" i="1"/>
  <c r="J4083" i="1"/>
  <c r="J4082" i="1"/>
  <c r="J4081" i="1"/>
  <c r="J4080" i="1"/>
  <c r="J4079" i="1"/>
  <c r="J4078" i="1"/>
  <c r="J4077" i="1"/>
  <c r="J4076" i="1"/>
  <c r="J4075" i="1"/>
  <c r="J4074" i="1"/>
  <c r="J4073" i="1"/>
  <c r="J4072" i="1"/>
  <c r="J4071" i="1"/>
  <c r="J4070" i="1"/>
  <c r="J4069" i="1"/>
  <c r="J4068" i="1"/>
  <c r="J4067" i="1"/>
  <c r="J4066" i="1"/>
  <c r="J4065" i="1"/>
  <c r="J4064" i="1"/>
  <c r="J4063" i="1"/>
  <c r="J4062" i="1"/>
  <c r="J4061" i="1"/>
  <c r="J4060" i="1"/>
  <c r="J4059" i="1"/>
  <c r="J4058" i="1"/>
  <c r="J4057" i="1"/>
  <c r="J4056" i="1"/>
  <c r="J4055" i="1"/>
  <c r="J4054" i="1"/>
  <c r="J4053" i="1"/>
  <c r="J4052" i="1"/>
  <c r="J4051" i="1"/>
  <c r="J4050" i="1"/>
  <c r="J4049" i="1"/>
  <c r="J4048" i="1"/>
  <c r="J4047" i="1"/>
  <c r="J4046" i="1"/>
  <c r="J4045" i="1"/>
  <c r="J4044" i="1"/>
  <c r="J4043" i="1"/>
  <c r="J4042" i="1"/>
  <c r="J4041" i="1"/>
  <c r="J4040" i="1"/>
  <c r="J4039" i="1"/>
  <c r="J4038" i="1"/>
  <c r="J4037" i="1"/>
  <c r="J4036" i="1"/>
  <c r="J4035" i="1"/>
  <c r="J4034" i="1"/>
  <c r="J4033" i="1"/>
  <c r="J4032" i="1"/>
  <c r="J4031" i="1"/>
  <c r="J4030" i="1"/>
  <c r="J4029" i="1"/>
  <c r="J4028" i="1"/>
  <c r="J4027" i="1"/>
  <c r="J4026" i="1"/>
  <c r="J4025" i="1"/>
  <c r="J4024" i="1"/>
  <c r="J4023" i="1"/>
  <c r="J4022" i="1"/>
  <c r="J4021" i="1"/>
  <c r="J4020" i="1"/>
  <c r="J4019" i="1"/>
  <c r="J4018" i="1"/>
  <c r="J4017" i="1"/>
  <c r="J4016" i="1"/>
  <c r="J4015" i="1"/>
  <c r="J4014" i="1"/>
  <c r="J4013" i="1"/>
  <c r="J4012" i="1"/>
  <c r="J4011" i="1"/>
  <c r="J4010" i="1"/>
  <c r="J4009" i="1"/>
  <c r="J4008" i="1"/>
  <c r="J4007" i="1"/>
  <c r="J4006" i="1"/>
  <c r="J4005" i="1"/>
  <c r="J4004" i="1"/>
  <c r="J4003" i="1"/>
  <c r="J4002" i="1"/>
  <c r="J4001" i="1"/>
  <c r="J4000" i="1"/>
  <c r="J3999" i="1"/>
  <c r="J3998" i="1"/>
  <c r="J3997" i="1"/>
  <c r="J3996" i="1"/>
  <c r="J3995" i="1"/>
  <c r="J3994" i="1"/>
  <c r="J3993" i="1"/>
  <c r="J3992" i="1"/>
  <c r="J3991" i="1"/>
  <c r="J3990" i="1"/>
  <c r="J3989" i="1"/>
  <c r="J3988" i="1"/>
  <c r="J3987" i="1"/>
  <c r="J3986" i="1"/>
  <c r="J3985" i="1"/>
  <c r="J3984" i="1"/>
  <c r="J3983" i="1"/>
  <c r="J3982" i="1"/>
  <c r="J3981" i="1"/>
  <c r="J3980" i="1"/>
  <c r="J3979" i="1"/>
  <c r="J3978" i="1"/>
  <c r="J3977" i="1"/>
  <c r="J3976" i="1"/>
  <c r="J3975" i="1"/>
  <c r="J3974" i="1"/>
  <c r="J3973" i="1"/>
  <c r="J3972" i="1"/>
  <c r="J3971" i="1"/>
  <c r="J3970" i="1"/>
  <c r="J3969" i="1"/>
  <c r="J3968" i="1"/>
  <c r="J3967" i="1"/>
  <c r="J3966" i="1"/>
  <c r="J3965" i="1"/>
  <c r="J3964" i="1"/>
  <c r="J3963" i="1"/>
  <c r="J3962" i="1"/>
  <c r="J3961" i="1"/>
  <c r="J3960" i="1"/>
  <c r="J3959" i="1"/>
  <c r="J3958" i="1"/>
  <c r="J3957" i="1"/>
  <c r="J3956" i="1"/>
  <c r="J3955" i="1"/>
  <c r="J3954" i="1"/>
  <c r="J3953" i="1"/>
  <c r="J3952" i="1"/>
  <c r="J3951" i="1"/>
  <c r="J3950" i="1"/>
  <c r="J3949" i="1"/>
  <c r="J3948" i="1"/>
  <c r="J3947" i="1"/>
  <c r="J3946" i="1"/>
  <c r="J3945" i="1"/>
  <c r="J3944" i="1"/>
  <c r="J3943" i="1"/>
  <c r="J3942" i="1"/>
  <c r="J3941" i="1"/>
  <c r="J3940" i="1"/>
  <c r="J3939" i="1"/>
  <c r="J3938" i="1"/>
  <c r="J3937" i="1"/>
  <c r="J3936" i="1"/>
  <c r="J3935" i="1"/>
  <c r="J3934" i="1"/>
  <c r="J3933" i="1"/>
  <c r="J3932" i="1"/>
  <c r="J3931" i="1"/>
  <c r="J3930" i="1"/>
  <c r="J3929" i="1"/>
  <c r="J3928" i="1"/>
  <c r="J3927" i="1"/>
  <c r="J3926" i="1"/>
  <c r="J3925" i="1"/>
  <c r="J3924" i="1"/>
  <c r="J3923" i="1"/>
  <c r="J3922" i="1"/>
  <c r="J3921" i="1"/>
  <c r="J3920" i="1"/>
  <c r="J3919" i="1"/>
  <c r="J3918" i="1"/>
  <c r="J3917" i="1"/>
  <c r="J3916" i="1"/>
  <c r="J3915" i="1"/>
  <c r="J3914" i="1"/>
  <c r="J3913" i="1"/>
  <c r="J3912" i="1"/>
  <c r="J3911" i="1"/>
  <c r="J3910" i="1"/>
  <c r="J3909" i="1"/>
  <c r="J3908" i="1"/>
  <c r="J3907" i="1"/>
  <c r="J3906" i="1"/>
  <c r="J3905" i="1"/>
  <c r="J3904" i="1"/>
  <c r="J3903" i="1"/>
  <c r="J3902" i="1"/>
  <c r="J3901" i="1"/>
  <c r="J3900" i="1"/>
  <c r="J3899" i="1"/>
  <c r="J3898" i="1"/>
  <c r="J3897" i="1"/>
  <c r="J3896" i="1"/>
  <c r="J3895" i="1"/>
  <c r="J3894" i="1"/>
  <c r="J3893" i="1"/>
  <c r="J3892" i="1"/>
  <c r="J3891" i="1"/>
  <c r="J3890" i="1"/>
  <c r="J3889" i="1"/>
  <c r="J3888" i="1"/>
  <c r="J3887" i="1"/>
  <c r="J3886" i="1"/>
  <c r="J3885" i="1"/>
  <c r="J3884" i="1"/>
  <c r="J3883" i="1"/>
  <c r="J3882" i="1"/>
  <c r="J3881" i="1"/>
  <c r="J3880" i="1"/>
  <c r="J3879" i="1"/>
  <c r="J3878" i="1"/>
  <c r="J3877" i="1"/>
  <c r="J3876" i="1"/>
  <c r="J3875" i="1"/>
  <c r="J3874" i="1"/>
  <c r="J3873" i="1"/>
  <c r="J3872" i="1"/>
  <c r="J3871" i="1"/>
  <c r="J3870" i="1"/>
  <c r="J3869" i="1"/>
  <c r="J3868" i="1"/>
  <c r="J3867" i="1"/>
  <c r="J3866" i="1"/>
  <c r="J3865" i="1"/>
  <c r="J3864" i="1"/>
  <c r="J3863" i="1"/>
  <c r="J3862" i="1"/>
  <c r="J3861" i="1"/>
  <c r="J3860" i="1"/>
  <c r="J3859" i="1"/>
  <c r="J3858" i="1"/>
  <c r="J3857" i="1"/>
  <c r="J3856" i="1"/>
  <c r="J3855" i="1"/>
  <c r="J3854" i="1"/>
  <c r="J3853" i="1"/>
  <c r="J3852" i="1"/>
  <c r="J3851" i="1"/>
  <c r="J3850" i="1"/>
  <c r="J3849" i="1"/>
  <c r="J3848" i="1"/>
  <c r="J3847" i="1"/>
  <c r="J3846" i="1"/>
  <c r="J3845" i="1"/>
  <c r="J3844" i="1"/>
  <c r="J3843" i="1"/>
  <c r="J3842" i="1"/>
  <c r="J3841" i="1"/>
  <c r="J3840" i="1"/>
  <c r="J3839" i="1"/>
  <c r="J3838" i="1"/>
  <c r="J3837" i="1"/>
  <c r="J3836" i="1"/>
  <c r="J3835" i="1"/>
  <c r="J3834" i="1"/>
  <c r="J3833" i="1"/>
  <c r="J3832" i="1"/>
  <c r="J3831" i="1"/>
  <c r="J3830" i="1"/>
  <c r="J3829" i="1"/>
  <c r="J3828" i="1"/>
  <c r="J3827" i="1"/>
  <c r="J3826" i="1"/>
  <c r="J3825" i="1"/>
  <c r="J3824" i="1"/>
  <c r="J3823" i="1"/>
  <c r="J3822" i="1"/>
  <c r="J3821" i="1"/>
  <c r="J3820" i="1"/>
  <c r="J3819" i="1"/>
  <c r="J3818" i="1"/>
  <c r="J3817" i="1"/>
  <c r="J3816" i="1"/>
  <c r="J3815" i="1"/>
  <c r="J3814" i="1"/>
  <c r="J3813" i="1"/>
  <c r="J3812" i="1"/>
  <c r="J3811" i="1"/>
  <c r="J3810" i="1"/>
  <c r="J3809" i="1"/>
  <c r="J3808" i="1"/>
  <c r="J3807" i="1"/>
  <c r="J3806" i="1"/>
  <c r="J3805" i="1"/>
  <c r="J3804" i="1"/>
  <c r="J3803" i="1"/>
  <c r="J3802" i="1"/>
  <c r="J3801" i="1"/>
  <c r="J3800" i="1"/>
  <c r="J3799" i="1"/>
  <c r="J3798" i="1"/>
  <c r="J3797" i="1"/>
  <c r="J3796" i="1"/>
  <c r="J3795" i="1"/>
  <c r="J3794" i="1"/>
  <c r="J3793" i="1"/>
  <c r="J3792" i="1"/>
  <c r="J3791" i="1"/>
  <c r="J3790" i="1"/>
  <c r="J3789" i="1"/>
  <c r="J3788" i="1"/>
  <c r="J3787" i="1"/>
  <c r="J3786" i="1"/>
  <c r="J3785" i="1"/>
  <c r="J3784" i="1"/>
  <c r="J3783" i="1"/>
  <c r="J3782" i="1"/>
  <c r="J3781" i="1"/>
  <c r="J3780" i="1"/>
  <c r="J3779" i="1"/>
  <c r="J3778" i="1"/>
  <c r="J3777" i="1"/>
  <c r="J3776" i="1"/>
  <c r="J3775" i="1"/>
  <c r="J3774" i="1"/>
  <c r="J3773" i="1"/>
  <c r="J3772" i="1"/>
  <c r="J3771" i="1"/>
  <c r="J3770" i="1"/>
  <c r="J3769" i="1"/>
  <c r="J3768" i="1"/>
  <c r="J3767" i="1"/>
  <c r="J3766" i="1"/>
  <c r="J3765" i="1"/>
  <c r="J3764" i="1"/>
  <c r="J3763" i="1"/>
  <c r="J3762" i="1"/>
  <c r="J3761" i="1"/>
  <c r="J3760" i="1"/>
  <c r="J3759" i="1"/>
  <c r="J3758" i="1"/>
  <c r="J3757" i="1"/>
  <c r="J3756" i="1"/>
  <c r="J3755" i="1"/>
  <c r="J3754" i="1"/>
  <c r="J3753" i="1"/>
  <c r="J3752" i="1"/>
  <c r="J3751" i="1"/>
  <c r="J3750" i="1"/>
  <c r="J3749" i="1"/>
  <c r="J3748" i="1"/>
  <c r="J3747" i="1"/>
  <c r="J3746" i="1"/>
  <c r="J3745" i="1"/>
  <c r="J3744" i="1"/>
  <c r="J3743" i="1"/>
  <c r="J3742" i="1"/>
  <c r="J3741" i="1"/>
  <c r="J3740" i="1"/>
  <c r="J3739" i="1"/>
  <c r="J3738" i="1"/>
  <c r="J3737" i="1"/>
  <c r="J3736" i="1"/>
  <c r="J3735" i="1"/>
  <c r="J3734" i="1"/>
  <c r="J3733" i="1"/>
  <c r="J3732" i="1"/>
  <c r="J3731" i="1"/>
  <c r="J3730" i="1"/>
  <c r="J3729" i="1"/>
  <c r="J3728" i="1"/>
  <c r="J3727" i="1"/>
  <c r="J3726" i="1"/>
  <c r="J3725" i="1"/>
  <c r="J3724" i="1"/>
  <c r="J3723" i="1"/>
  <c r="J3722" i="1"/>
  <c r="J3721" i="1"/>
  <c r="J3720" i="1"/>
  <c r="J3719" i="1"/>
  <c r="J3718" i="1"/>
  <c r="J3717" i="1"/>
  <c r="J3716" i="1"/>
  <c r="J3715" i="1"/>
  <c r="J3714" i="1"/>
  <c r="J3713" i="1"/>
  <c r="J3712" i="1"/>
  <c r="J3711" i="1"/>
  <c r="J3710" i="1"/>
  <c r="J3709" i="1"/>
  <c r="J3708" i="1"/>
  <c r="J3707" i="1"/>
  <c r="J3706" i="1"/>
  <c r="J3705" i="1"/>
  <c r="J3704" i="1"/>
  <c r="J3703" i="1"/>
  <c r="J3702" i="1"/>
  <c r="J3701" i="1"/>
  <c r="J3700" i="1"/>
  <c r="J3699" i="1"/>
  <c r="J3698" i="1"/>
  <c r="J3697" i="1"/>
  <c r="J3696" i="1"/>
  <c r="J3695" i="1"/>
  <c r="J3694" i="1"/>
  <c r="J3693" i="1"/>
  <c r="J3692" i="1"/>
  <c r="J3691" i="1"/>
  <c r="J3690" i="1"/>
  <c r="J3689" i="1"/>
  <c r="J3688" i="1"/>
  <c r="J3687" i="1"/>
  <c r="J3686" i="1"/>
  <c r="J3685" i="1"/>
  <c r="J3684" i="1"/>
  <c r="J3683" i="1"/>
  <c r="J3682" i="1"/>
  <c r="J3681" i="1"/>
  <c r="J3680" i="1"/>
  <c r="J3679" i="1"/>
  <c r="J3678" i="1"/>
  <c r="J3677" i="1"/>
  <c r="J3676" i="1"/>
  <c r="J3675" i="1"/>
  <c r="J3674" i="1"/>
  <c r="J3673" i="1"/>
  <c r="J3672" i="1"/>
  <c r="J3671" i="1"/>
  <c r="J3670" i="1"/>
  <c r="J3669" i="1"/>
  <c r="J3668" i="1"/>
  <c r="J3667" i="1"/>
  <c r="J3666" i="1"/>
  <c r="J3665" i="1"/>
  <c r="J3664" i="1"/>
  <c r="J3663" i="1"/>
  <c r="J3662" i="1"/>
  <c r="J3661" i="1"/>
  <c r="J3660" i="1"/>
  <c r="J3659" i="1"/>
  <c r="J3658" i="1"/>
  <c r="J3657" i="1"/>
  <c r="J3656" i="1"/>
  <c r="J3655" i="1"/>
  <c r="J3654" i="1"/>
  <c r="J3653" i="1"/>
  <c r="J3652" i="1"/>
  <c r="J3651" i="1"/>
  <c r="J3650" i="1"/>
  <c r="J3649" i="1"/>
  <c r="J3648" i="1"/>
  <c r="J3647" i="1"/>
  <c r="J3646" i="1"/>
  <c r="J3645" i="1"/>
  <c r="J3644" i="1"/>
  <c r="J3643" i="1"/>
  <c r="J3642" i="1"/>
  <c r="J3641" i="1"/>
  <c r="J3640" i="1"/>
  <c r="J3639" i="1"/>
  <c r="J3638" i="1"/>
  <c r="J3637" i="1"/>
  <c r="J3636" i="1"/>
  <c r="J3635" i="1"/>
  <c r="J3634" i="1"/>
  <c r="J3633" i="1"/>
  <c r="J3632" i="1"/>
  <c r="J3631" i="1"/>
  <c r="J3630" i="1"/>
  <c r="J3629" i="1"/>
  <c r="J3628" i="1"/>
  <c r="J3627" i="1"/>
  <c r="J3626" i="1"/>
  <c r="J3625" i="1"/>
  <c r="J3624" i="1"/>
  <c r="J3623" i="1"/>
  <c r="J3622" i="1"/>
  <c r="J3621" i="1"/>
  <c r="J3620" i="1"/>
  <c r="J3619" i="1"/>
  <c r="J3618" i="1"/>
  <c r="J3617" i="1"/>
  <c r="J3616" i="1"/>
  <c r="J3615" i="1"/>
  <c r="J3614" i="1"/>
  <c r="J3613" i="1"/>
  <c r="J3612" i="1"/>
  <c r="J3611" i="1"/>
  <c r="J3610" i="1"/>
  <c r="J3609" i="1"/>
  <c r="J3608" i="1"/>
  <c r="J3607" i="1"/>
  <c r="J3606" i="1"/>
  <c r="J3605" i="1"/>
  <c r="J3604" i="1"/>
  <c r="J3603" i="1"/>
  <c r="J3602" i="1"/>
  <c r="J3601" i="1"/>
  <c r="J3600" i="1"/>
  <c r="J3599" i="1"/>
  <c r="J3598" i="1"/>
  <c r="J3597" i="1"/>
  <c r="J3596" i="1"/>
  <c r="J3595" i="1"/>
  <c r="J3594" i="1"/>
  <c r="J3593" i="1"/>
  <c r="J3592" i="1"/>
  <c r="J3591" i="1"/>
  <c r="J3590" i="1"/>
  <c r="J3589" i="1"/>
  <c r="J3588" i="1"/>
  <c r="J3587" i="1"/>
  <c r="J3586" i="1"/>
  <c r="J3585" i="1"/>
  <c r="J3584" i="1"/>
  <c r="J3583" i="1"/>
  <c r="J3582" i="1"/>
  <c r="J3581" i="1"/>
  <c r="J3580" i="1"/>
  <c r="J3579" i="1"/>
  <c r="J3578" i="1"/>
  <c r="J3577" i="1"/>
  <c r="J3576" i="1"/>
  <c r="J3575" i="1"/>
  <c r="J3574" i="1"/>
  <c r="J3573" i="1"/>
  <c r="J3572" i="1"/>
  <c r="J3571" i="1"/>
  <c r="J3570" i="1"/>
  <c r="J3569" i="1"/>
  <c r="J3568" i="1"/>
  <c r="J3567" i="1"/>
  <c r="J3566" i="1"/>
  <c r="J3565" i="1"/>
  <c r="J3564" i="1"/>
  <c r="J3563" i="1"/>
  <c r="J3562" i="1"/>
  <c r="J3561" i="1"/>
  <c r="J3560" i="1"/>
  <c r="J3559" i="1"/>
  <c r="J3558" i="1"/>
  <c r="J3557" i="1"/>
  <c r="J3556" i="1"/>
  <c r="J3555" i="1"/>
  <c r="J3554" i="1"/>
  <c r="J3553" i="1"/>
  <c r="J3552" i="1"/>
  <c r="J3551" i="1"/>
  <c r="J3550" i="1"/>
  <c r="J3549" i="1"/>
  <c r="J3548" i="1"/>
  <c r="J3547" i="1"/>
  <c r="J3546" i="1"/>
  <c r="J3545" i="1"/>
  <c r="J3544" i="1"/>
  <c r="J3543" i="1"/>
  <c r="J3542" i="1"/>
  <c r="J3541" i="1"/>
  <c r="J3540" i="1"/>
  <c r="J3539" i="1"/>
  <c r="J3538" i="1"/>
  <c r="J3537" i="1"/>
  <c r="J3536" i="1"/>
  <c r="J3535" i="1"/>
  <c r="J3534" i="1"/>
  <c r="J3533" i="1"/>
  <c r="J3532" i="1"/>
  <c r="J3531" i="1"/>
  <c r="J3530" i="1"/>
  <c r="J3529" i="1"/>
  <c r="J3528" i="1"/>
  <c r="J3527" i="1"/>
  <c r="J3526" i="1"/>
  <c r="J3525" i="1"/>
  <c r="J3524" i="1"/>
  <c r="J3523" i="1"/>
  <c r="J3522" i="1"/>
  <c r="J3521" i="1"/>
  <c r="J3520" i="1"/>
  <c r="J3519" i="1"/>
  <c r="J3518" i="1"/>
  <c r="J3517" i="1"/>
  <c r="J3516" i="1"/>
  <c r="J3515" i="1"/>
  <c r="J3514" i="1"/>
  <c r="J3513" i="1"/>
  <c r="J3512" i="1"/>
  <c r="J3511" i="1"/>
  <c r="J3510" i="1"/>
  <c r="J3509" i="1"/>
  <c r="J3508" i="1"/>
  <c r="J3507" i="1"/>
  <c r="J3506" i="1"/>
  <c r="J3505" i="1"/>
  <c r="J3504" i="1"/>
  <c r="J3503" i="1"/>
  <c r="J3502" i="1"/>
  <c r="J3501" i="1"/>
  <c r="J3500" i="1"/>
  <c r="J3499" i="1"/>
  <c r="J3498" i="1"/>
  <c r="J3497" i="1"/>
  <c r="J3496" i="1"/>
  <c r="J3495" i="1"/>
  <c r="J3494" i="1"/>
  <c r="J3493" i="1"/>
  <c r="J3492" i="1"/>
  <c r="J3491" i="1"/>
  <c r="J3490" i="1"/>
  <c r="J3489" i="1"/>
  <c r="J3488" i="1"/>
  <c r="J3487" i="1"/>
  <c r="J3486" i="1"/>
  <c r="J3485" i="1"/>
  <c r="J3484" i="1"/>
  <c r="J3483" i="1"/>
  <c r="J3482" i="1"/>
  <c r="J3481" i="1"/>
  <c r="J3480" i="1"/>
  <c r="J3479" i="1"/>
  <c r="J3478" i="1"/>
  <c r="J3477" i="1"/>
  <c r="J3476" i="1"/>
  <c r="J3475" i="1"/>
  <c r="J3474" i="1"/>
  <c r="J3473" i="1"/>
  <c r="J3472" i="1"/>
  <c r="J3471" i="1"/>
  <c r="J3470" i="1"/>
  <c r="J3469" i="1"/>
  <c r="J3468" i="1"/>
  <c r="J3467" i="1"/>
  <c r="J3466" i="1"/>
  <c r="J3465" i="1"/>
  <c r="J3464" i="1"/>
  <c r="J3463" i="1"/>
  <c r="J3462" i="1"/>
  <c r="J3461" i="1"/>
  <c r="J3460" i="1"/>
  <c r="J3459" i="1"/>
  <c r="J3458" i="1"/>
  <c r="J3457" i="1"/>
  <c r="J3456" i="1"/>
  <c r="J3455" i="1"/>
  <c r="J3454" i="1"/>
  <c r="J3453" i="1"/>
  <c r="J3452" i="1"/>
  <c r="J3451" i="1"/>
  <c r="J3450" i="1"/>
  <c r="J3449" i="1"/>
  <c r="J3448" i="1"/>
  <c r="J3447" i="1"/>
  <c r="J3446" i="1"/>
  <c r="J3445" i="1"/>
  <c r="J3444" i="1"/>
  <c r="J3443" i="1"/>
  <c r="J3442" i="1"/>
  <c r="J3441" i="1"/>
  <c r="J3440" i="1"/>
  <c r="J3439" i="1"/>
  <c r="J3438" i="1"/>
  <c r="J3437" i="1"/>
  <c r="J3436" i="1"/>
  <c r="J3435" i="1"/>
  <c r="J3434" i="1"/>
  <c r="J3433" i="1"/>
  <c r="J3432" i="1"/>
  <c r="J3431" i="1"/>
  <c r="J3430" i="1"/>
  <c r="J3429" i="1"/>
  <c r="J3428" i="1"/>
  <c r="J3427" i="1"/>
  <c r="J3426" i="1"/>
  <c r="J3425" i="1"/>
  <c r="J3424" i="1"/>
  <c r="J3423" i="1"/>
  <c r="J3422" i="1"/>
  <c r="J3421" i="1"/>
  <c r="J3420" i="1"/>
  <c r="J3419" i="1"/>
  <c r="J3418" i="1"/>
  <c r="J3417" i="1"/>
  <c r="J3416" i="1"/>
  <c r="J3415" i="1"/>
  <c r="J3414" i="1"/>
  <c r="J3413" i="1"/>
  <c r="J3412" i="1"/>
  <c r="J3411" i="1"/>
  <c r="J3410" i="1"/>
  <c r="J3409" i="1"/>
  <c r="J3408" i="1"/>
  <c r="J3407" i="1"/>
  <c r="J3406" i="1"/>
  <c r="J3405" i="1"/>
  <c r="J3404" i="1"/>
  <c r="J3403" i="1"/>
  <c r="J3402" i="1"/>
  <c r="J3401" i="1"/>
  <c r="J3400" i="1"/>
  <c r="J3399" i="1"/>
  <c r="J3398" i="1"/>
  <c r="J3397" i="1"/>
  <c r="J3396" i="1"/>
  <c r="J3395" i="1"/>
  <c r="J3394" i="1"/>
  <c r="J3393" i="1"/>
  <c r="J3392" i="1"/>
  <c r="J3391" i="1"/>
  <c r="J3390" i="1"/>
  <c r="J3389" i="1"/>
  <c r="J3388" i="1"/>
  <c r="J3387" i="1"/>
  <c r="J3386" i="1"/>
  <c r="J3385" i="1"/>
  <c r="J3384" i="1"/>
  <c r="J3383" i="1"/>
  <c r="J3382" i="1"/>
  <c r="J3381" i="1"/>
  <c r="J3380" i="1"/>
  <c r="J3379" i="1"/>
  <c r="J3378" i="1"/>
  <c r="J3377" i="1"/>
  <c r="J3376" i="1"/>
  <c r="J3375" i="1"/>
  <c r="J3374" i="1"/>
  <c r="J3373" i="1"/>
  <c r="J3372" i="1"/>
  <c r="J3371" i="1"/>
  <c r="J3370" i="1"/>
  <c r="J3369" i="1"/>
  <c r="J3368" i="1"/>
  <c r="J3367" i="1"/>
  <c r="J3366" i="1"/>
  <c r="J3365" i="1"/>
  <c r="J3364" i="1"/>
  <c r="J3363" i="1"/>
  <c r="J3362" i="1"/>
  <c r="J3361" i="1"/>
  <c r="J3360" i="1"/>
  <c r="J3359" i="1"/>
  <c r="J3358" i="1"/>
  <c r="J3357" i="1"/>
  <c r="J3356" i="1"/>
  <c r="J3355" i="1"/>
  <c r="J3354" i="1"/>
  <c r="J3353" i="1"/>
  <c r="J3352" i="1"/>
  <c r="J3351" i="1"/>
  <c r="J3350" i="1"/>
  <c r="J3349" i="1"/>
  <c r="J3348" i="1"/>
  <c r="J3347" i="1"/>
  <c r="J3346" i="1"/>
  <c r="J3345" i="1"/>
  <c r="J3344" i="1"/>
  <c r="J3343" i="1"/>
  <c r="J3342" i="1"/>
  <c r="J3341" i="1"/>
  <c r="J3340" i="1"/>
  <c r="J3339" i="1"/>
  <c r="J3338" i="1"/>
  <c r="J3337" i="1"/>
  <c r="J3336" i="1"/>
  <c r="J3335" i="1"/>
  <c r="J3334" i="1"/>
  <c r="J3333" i="1"/>
  <c r="J3332" i="1"/>
  <c r="J3331" i="1"/>
  <c r="J3330" i="1"/>
  <c r="J3329" i="1"/>
  <c r="J3328" i="1"/>
  <c r="J3327" i="1"/>
  <c r="J3326" i="1"/>
  <c r="J3325" i="1"/>
  <c r="J3324" i="1"/>
  <c r="J3323" i="1"/>
  <c r="J3322" i="1"/>
  <c r="J3321" i="1"/>
  <c r="J3320" i="1"/>
  <c r="J3319" i="1"/>
  <c r="J3318" i="1"/>
  <c r="J3317" i="1"/>
  <c r="J3316" i="1"/>
  <c r="J3315" i="1"/>
  <c r="J3314" i="1"/>
  <c r="J3313" i="1"/>
  <c r="J3312" i="1"/>
  <c r="J3311" i="1"/>
  <c r="J3310" i="1"/>
  <c r="J3309" i="1"/>
  <c r="J3308" i="1"/>
  <c r="J3307" i="1"/>
  <c r="J3306" i="1"/>
  <c r="J3305" i="1"/>
  <c r="J3304" i="1"/>
  <c r="J3303" i="1"/>
  <c r="J3302" i="1"/>
  <c r="J3301" i="1"/>
  <c r="J3300" i="1"/>
  <c r="J3299" i="1"/>
  <c r="J3298" i="1"/>
  <c r="J3297" i="1"/>
  <c r="J3296" i="1"/>
  <c r="J3295" i="1"/>
  <c r="J3294" i="1"/>
  <c r="J3293" i="1"/>
  <c r="J3292" i="1"/>
  <c r="J3291" i="1"/>
  <c r="J3290" i="1"/>
  <c r="J3289" i="1"/>
  <c r="J3288" i="1"/>
  <c r="J3287" i="1"/>
  <c r="J3286" i="1"/>
  <c r="J3285" i="1"/>
  <c r="J3284" i="1"/>
  <c r="J3283" i="1"/>
  <c r="J3282" i="1"/>
  <c r="J3281" i="1"/>
  <c r="J3280" i="1"/>
  <c r="J3279" i="1"/>
  <c r="J3278" i="1"/>
  <c r="J3277" i="1"/>
  <c r="J3276" i="1"/>
  <c r="J3275" i="1"/>
  <c r="J3274" i="1"/>
  <c r="J3273" i="1"/>
  <c r="J3272" i="1"/>
  <c r="J3271" i="1"/>
  <c r="J3270" i="1"/>
  <c r="J3269" i="1"/>
  <c r="J3268" i="1"/>
  <c r="J3267" i="1"/>
  <c r="J3266" i="1"/>
  <c r="J3265" i="1"/>
  <c r="J3264" i="1"/>
  <c r="J3263" i="1"/>
  <c r="J3262" i="1"/>
  <c r="J3261" i="1"/>
  <c r="J3260" i="1"/>
  <c r="J3259" i="1"/>
  <c r="J3258" i="1"/>
  <c r="J3257" i="1"/>
  <c r="J3256" i="1"/>
  <c r="J3255" i="1"/>
  <c r="J3254" i="1"/>
  <c r="J3253" i="1"/>
  <c r="J3252" i="1"/>
  <c r="J3251" i="1"/>
  <c r="J3250" i="1"/>
  <c r="J3249" i="1"/>
  <c r="J3248" i="1"/>
  <c r="J3247" i="1"/>
  <c r="J3246" i="1"/>
  <c r="J3245" i="1"/>
  <c r="J3244" i="1"/>
  <c r="J3243" i="1"/>
  <c r="J3242" i="1"/>
  <c r="J3241" i="1"/>
  <c r="J3240" i="1"/>
  <c r="J3239" i="1"/>
  <c r="J3238" i="1"/>
  <c r="J3237" i="1"/>
  <c r="J3236" i="1"/>
  <c r="J3235" i="1"/>
  <c r="J3234" i="1"/>
  <c r="J3233" i="1"/>
  <c r="J3232" i="1"/>
  <c r="J3231" i="1"/>
  <c r="J3230" i="1"/>
  <c r="J3229" i="1"/>
  <c r="J3228" i="1"/>
  <c r="J3227" i="1"/>
  <c r="J3226" i="1"/>
  <c r="J3225" i="1"/>
  <c r="J3224" i="1"/>
  <c r="J3223" i="1"/>
  <c r="J3222" i="1"/>
  <c r="J3221" i="1"/>
  <c r="J3220" i="1"/>
  <c r="J3219" i="1"/>
  <c r="J3218" i="1"/>
  <c r="J3217" i="1"/>
  <c r="J3216" i="1"/>
  <c r="J3215" i="1"/>
  <c r="J3214" i="1"/>
  <c r="J3213" i="1"/>
  <c r="J3212" i="1"/>
  <c r="J3211" i="1"/>
  <c r="J3210" i="1"/>
  <c r="J3209" i="1"/>
  <c r="J3208" i="1"/>
  <c r="J3207" i="1"/>
  <c r="J3206" i="1"/>
  <c r="J3205" i="1"/>
  <c r="J3204" i="1"/>
  <c r="J3203" i="1"/>
  <c r="J3202" i="1"/>
  <c r="J3201" i="1"/>
  <c r="J3200" i="1"/>
  <c r="J3199" i="1"/>
  <c r="J3198" i="1"/>
  <c r="J3197" i="1"/>
  <c r="J3196" i="1"/>
  <c r="J3195" i="1"/>
  <c r="J3194" i="1"/>
  <c r="J3193" i="1"/>
  <c r="J3192" i="1"/>
  <c r="J3191" i="1"/>
  <c r="J3190" i="1"/>
  <c r="J3189" i="1"/>
  <c r="J3188" i="1"/>
  <c r="J3187" i="1"/>
  <c r="J3186" i="1"/>
  <c r="J3185" i="1"/>
  <c r="J3184" i="1"/>
  <c r="J3183" i="1"/>
  <c r="J3182" i="1"/>
  <c r="J3181" i="1"/>
  <c r="J3180" i="1"/>
  <c r="J3179" i="1"/>
  <c r="J3178" i="1"/>
  <c r="J3177" i="1"/>
  <c r="J3176" i="1"/>
  <c r="J3175" i="1"/>
  <c r="J3174" i="1"/>
  <c r="J3173" i="1"/>
  <c r="J3172" i="1"/>
  <c r="J3171" i="1"/>
  <c r="J3170" i="1"/>
  <c r="J3169" i="1"/>
  <c r="J3168" i="1"/>
  <c r="J3167" i="1"/>
  <c r="J3166" i="1"/>
  <c r="J3165" i="1"/>
  <c r="J3164" i="1"/>
  <c r="J3163" i="1"/>
  <c r="J3162" i="1"/>
  <c r="J3161" i="1"/>
  <c r="J3160" i="1"/>
  <c r="J3159" i="1"/>
  <c r="J3158" i="1"/>
  <c r="J3157" i="1"/>
  <c r="J3156" i="1"/>
  <c r="J3155" i="1"/>
  <c r="J3154" i="1"/>
  <c r="J3153" i="1"/>
  <c r="J3152" i="1"/>
  <c r="J3151" i="1"/>
  <c r="J3150" i="1"/>
  <c r="J3149" i="1"/>
  <c r="J3148" i="1"/>
  <c r="J3147" i="1"/>
  <c r="J3146" i="1"/>
  <c r="J3145" i="1"/>
  <c r="J3144" i="1"/>
  <c r="J3143" i="1"/>
  <c r="J3142" i="1"/>
  <c r="J3141" i="1"/>
  <c r="J3140" i="1"/>
  <c r="J3139" i="1"/>
  <c r="J3138" i="1"/>
  <c r="J3137" i="1"/>
  <c r="J3136" i="1"/>
  <c r="J3135" i="1"/>
  <c r="J3134" i="1"/>
  <c r="J3133" i="1"/>
  <c r="J3132" i="1"/>
  <c r="J3131" i="1"/>
  <c r="J3130" i="1"/>
  <c r="J3129" i="1"/>
  <c r="J3128" i="1"/>
  <c r="J3127" i="1"/>
  <c r="J3126" i="1"/>
  <c r="J3125" i="1"/>
  <c r="J3124" i="1"/>
  <c r="J3123" i="1"/>
  <c r="J3122" i="1"/>
  <c r="J3121" i="1"/>
  <c r="J3120" i="1"/>
  <c r="J3119" i="1"/>
  <c r="J3118" i="1"/>
  <c r="J3117" i="1"/>
  <c r="J3116" i="1"/>
  <c r="J3115" i="1"/>
  <c r="J3114" i="1"/>
  <c r="J3113" i="1"/>
  <c r="J3112" i="1"/>
  <c r="J3111" i="1"/>
  <c r="J3110" i="1"/>
  <c r="J3109" i="1"/>
  <c r="J3108" i="1"/>
  <c r="J3107" i="1"/>
  <c r="J3106" i="1"/>
  <c r="J3105" i="1"/>
  <c r="J3104" i="1"/>
  <c r="J3103" i="1"/>
  <c r="J3102" i="1"/>
  <c r="J3101" i="1"/>
  <c r="J3100" i="1"/>
  <c r="J3099" i="1"/>
  <c r="J3098" i="1"/>
  <c r="J3097" i="1"/>
  <c r="J3096" i="1"/>
  <c r="J3095" i="1"/>
  <c r="J3094" i="1"/>
  <c r="J3093" i="1"/>
  <c r="J3092" i="1"/>
  <c r="J3091" i="1"/>
  <c r="J3090" i="1"/>
  <c r="J3089" i="1"/>
  <c r="J3088" i="1"/>
  <c r="J3087" i="1"/>
  <c r="J3086" i="1"/>
  <c r="J3085" i="1"/>
  <c r="J3084" i="1"/>
  <c r="J3083" i="1"/>
  <c r="J3082" i="1"/>
  <c r="J3081" i="1"/>
  <c r="J3080" i="1"/>
  <c r="J3079" i="1"/>
  <c r="J3078" i="1"/>
  <c r="J3077" i="1"/>
  <c r="J3076" i="1"/>
  <c r="J3075" i="1"/>
  <c r="J3074" i="1"/>
  <c r="J3073" i="1"/>
  <c r="J3072" i="1"/>
  <c r="J3071" i="1"/>
  <c r="J3070" i="1"/>
  <c r="J3069" i="1"/>
  <c r="J3068" i="1"/>
  <c r="J3067" i="1"/>
  <c r="J3066" i="1"/>
  <c r="J3065" i="1"/>
  <c r="J3064" i="1"/>
  <c r="J3063" i="1"/>
  <c r="J3062" i="1"/>
  <c r="J3061" i="1"/>
  <c r="J3060" i="1"/>
  <c r="J3059" i="1"/>
  <c r="J3058" i="1"/>
  <c r="J3057" i="1"/>
  <c r="J3056" i="1"/>
  <c r="J3055" i="1"/>
  <c r="J3054" i="1"/>
  <c r="J3053" i="1"/>
  <c r="J3052" i="1"/>
  <c r="J3051" i="1"/>
  <c r="J3050" i="1"/>
  <c r="J3049" i="1"/>
  <c r="J3048" i="1"/>
  <c r="J3047" i="1"/>
  <c r="J3046" i="1"/>
  <c r="J3045" i="1"/>
  <c r="J3044" i="1"/>
  <c r="J3043" i="1"/>
  <c r="J3042" i="1"/>
  <c r="J3041" i="1"/>
  <c r="J3040" i="1"/>
  <c r="J3039" i="1"/>
  <c r="J3038" i="1"/>
  <c r="J3037" i="1"/>
  <c r="J3036" i="1"/>
  <c r="J3035" i="1"/>
  <c r="J3034" i="1"/>
  <c r="J3033" i="1"/>
  <c r="J3032" i="1"/>
  <c r="J3031" i="1"/>
  <c r="J3030" i="1"/>
  <c r="J3029" i="1"/>
  <c r="J3028" i="1"/>
  <c r="J3027" i="1"/>
  <c r="J3026" i="1"/>
  <c r="J3025" i="1"/>
  <c r="J3024" i="1"/>
  <c r="J3023" i="1"/>
  <c r="J3022" i="1"/>
  <c r="J3021" i="1"/>
  <c r="J3020" i="1"/>
  <c r="J3019" i="1"/>
  <c r="J3018" i="1"/>
  <c r="J3017" i="1"/>
  <c r="J3016" i="1"/>
  <c r="J3015" i="1"/>
  <c r="J3014" i="1"/>
  <c r="J3013" i="1"/>
  <c r="J3012" i="1"/>
  <c r="J3011" i="1"/>
  <c r="J3010" i="1"/>
  <c r="J3009" i="1"/>
  <c r="J3008" i="1"/>
  <c r="J3007" i="1"/>
  <c r="J3006" i="1"/>
  <c r="J3005" i="1"/>
  <c r="J3004" i="1"/>
  <c r="J3003" i="1"/>
  <c r="J3002" i="1"/>
  <c r="J3001" i="1"/>
  <c r="J3000" i="1"/>
  <c r="J2999" i="1"/>
  <c r="J2998" i="1"/>
  <c r="J2997" i="1"/>
  <c r="J2996" i="1"/>
  <c r="J2995" i="1"/>
  <c r="J2994" i="1"/>
  <c r="J2993" i="1"/>
  <c r="J2992" i="1"/>
  <c r="J2991" i="1"/>
  <c r="J2990" i="1"/>
  <c r="J2989" i="1"/>
  <c r="J2988" i="1"/>
  <c r="J2987" i="1"/>
  <c r="J2986" i="1"/>
  <c r="J2985" i="1"/>
  <c r="J2984" i="1"/>
  <c r="J2983" i="1"/>
  <c r="J2982" i="1"/>
  <c r="J2981" i="1"/>
  <c r="J2980" i="1"/>
  <c r="J2979" i="1"/>
  <c r="J2978" i="1"/>
  <c r="J2977" i="1"/>
  <c r="J2976" i="1"/>
  <c r="J2975" i="1"/>
  <c r="J2974" i="1"/>
  <c r="J2973" i="1"/>
  <c r="J2972" i="1"/>
  <c r="J2971" i="1"/>
  <c r="J2970" i="1"/>
  <c r="J2969" i="1"/>
  <c r="J2968" i="1"/>
  <c r="J2967" i="1"/>
  <c r="J2966" i="1"/>
  <c r="J2965" i="1"/>
  <c r="J2964" i="1"/>
  <c r="J2963" i="1"/>
  <c r="J2962" i="1"/>
  <c r="J2961" i="1"/>
  <c r="J2960" i="1"/>
  <c r="J2959" i="1"/>
  <c r="J2958" i="1"/>
  <c r="J2957" i="1"/>
  <c r="J2956" i="1"/>
  <c r="J2955" i="1"/>
  <c r="J2954" i="1"/>
  <c r="J2953" i="1"/>
  <c r="J2952" i="1"/>
  <c r="J2951" i="1"/>
  <c r="J2950" i="1"/>
  <c r="J2949" i="1"/>
  <c r="J2948" i="1"/>
  <c r="J2947" i="1"/>
  <c r="J2946" i="1"/>
  <c r="J2945" i="1"/>
  <c r="J2944" i="1"/>
  <c r="J2943" i="1"/>
  <c r="J2942" i="1"/>
  <c r="J2941" i="1"/>
  <c r="J2940" i="1"/>
  <c r="J2939" i="1"/>
  <c r="J2938" i="1"/>
  <c r="J2937" i="1"/>
  <c r="J2936" i="1"/>
  <c r="J2935" i="1"/>
  <c r="J2934" i="1"/>
  <c r="J2933" i="1"/>
  <c r="J2932" i="1"/>
  <c r="J2931" i="1"/>
  <c r="J2930" i="1"/>
  <c r="J2929" i="1"/>
  <c r="J2928" i="1"/>
  <c r="J2927" i="1"/>
  <c r="J2926" i="1"/>
  <c r="J2925" i="1"/>
  <c r="J2924" i="1"/>
  <c r="J2923" i="1"/>
  <c r="J2922" i="1"/>
  <c r="J2921" i="1"/>
  <c r="J2920" i="1"/>
  <c r="J2919" i="1"/>
  <c r="J2918" i="1"/>
  <c r="J2917" i="1"/>
  <c r="J2916" i="1"/>
  <c r="J2915" i="1"/>
  <c r="J2914" i="1"/>
  <c r="J2913" i="1"/>
  <c r="J2912" i="1"/>
  <c r="J2911" i="1"/>
  <c r="J2910" i="1"/>
  <c r="J2909" i="1"/>
  <c r="J2908" i="1"/>
  <c r="J2907" i="1"/>
  <c r="J2906" i="1"/>
  <c r="J2905" i="1"/>
  <c r="J2904" i="1"/>
  <c r="J2903" i="1"/>
  <c r="J2902" i="1"/>
  <c r="J2901" i="1"/>
  <c r="J2900" i="1"/>
  <c r="J2899" i="1"/>
  <c r="J2898" i="1"/>
  <c r="J2897" i="1"/>
  <c r="J2896" i="1"/>
  <c r="J2895" i="1"/>
  <c r="J2894" i="1"/>
  <c r="J2893" i="1"/>
  <c r="J2892" i="1"/>
  <c r="J2891" i="1"/>
  <c r="J2890" i="1"/>
  <c r="J2889" i="1"/>
  <c r="J2888" i="1"/>
  <c r="J2887" i="1"/>
  <c r="J2886" i="1"/>
  <c r="J2885" i="1"/>
  <c r="J2884" i="1"/>
  <c r="J2883" i="1"/>
  <c r="J2882" i="1"/>
  <c r="J2881" i="1"/>
  <c r="J2880" i="1"/>
  <c r="J2879" i="1"/>
  <c r="J2878" i="1"/>
  <c r="J2877" i="1"/>
  <c r="J2876" i="1"/>
  <c r="J2875" i="1"/>
  <c r="J2874" i="1"/>
  <c r="J2873" i="1"/>
  <c r="J2872" i="1"/>
  <c r="J2871" i="1"/>
  <c r="J2870" i="1"/>
  <c r="J2869" i="1"/>
  <c r="J2868" i="1"/>
  <c r="J2867" i="1"/>
  <c r="J2866" i="1"/>
  <c r="J2865" i="1"/>
  <c r="J2864" i="1"/>
  <c r="J2863" i="1"/>
  <c r="J2862" i="1"/>
  <c r="J2861" i="1"/>
  <c r="J2860" i="1"/>
  <c r="J2859" i="1"/>
  <c r="J2858" i="1"/>
  <c r="J2857" i="1"/>
  <c r="J2856" i="1"/>
  <c r="J2855" i="1"/>
  <c r="J2854" i="1"/>
  <c r="J2853" i="1"/>
  <c r="J2852" i="1"/>
  <c r="J2851" i="1"/>
  <c r="J2850" i="1"/>
  <c r="J2849" i="1"/>
  <c r="J2848" i="1"/>
  <c r="J2847" i="1"/>
  <c r="J2846" i="1"/>
  <c r="J2845" i="1"/>
  <c r="J2844" i="1"/>
  <c r="J2843" i="1"/>
  <c r="J2842" i="1"/>
  <c r="J2841" i="1"/>
  <c r="J2840" i="1"/>
  <c r="J2839" i="1"/>
  <c r="J2838" i="1"/>
  <c r="J2837" i="1"/>
  <c r="J2836" i="1"/>
  <c r="J2835" i="1"/>
  <c r="J2834" i="1"/>
  <c r="J2833" i="1"/>
  <c r="J2832" i="1"/>
  <c r="J2831" i="1"/>
  <c r="J2830" i="1"/>
  <c r="J2829" i="1"/>
  <c r="J2828" i="1"/>
  <c r="J2827" i="1"/>
  <c r="J2826" i="1"/>
  <c r="J2825" i="1"/>
  <c r="J2824" i="1"/>
  <c r="J2823" i="1"/>
  <c r="J2822" i="1"/>
  <c r="J2821" i="1"/>
  <c r="J2820" i="1"/>
  <c r="J2819" i="1"/>
  <c r="J2818" i="1"/>
  <c r="J2817" i="1"/>
  <c r="J2816" i="1"/>
  <c r="J2815" i="1"/>
  <c r="J2814" i="1"/>
  <c r="J2813" i="1"/>
  <c r="J2812" i="1"/>
  <c r="J2811" i="1"/>
  <c r="J2810" i="1"/>
  <c r="J2809" i="1"/>
  <c r="J2808" i="1"/>
  <c r="J2807" i="1"/>
  <c r="J2806" i="1"/>
  <c r="J2805" i="1"/>
  <c r="J2804" i="1"/>
  <c r="J2803" i="1"/>
  <c r="J2802" i="1"/>
  <c r="J2801" i="1"/>
  <c r="J2800" i="1"/>
  <c r="J2799" i="1"/>
  <c r="J2798" i="1"/>
  <c r="J2797" i="1"/>
  <c r="J2796" i="1"/>
  <c r="J2795" i="1"/>
  <c r="J2794" i="1"/>
  <c r="J2793" i="1"/>
  <c r="J2792" i="1"/>
  <c r="J2791" i="1"/>
  <c r="J2790" i="1"/>
  <c r="J2789" i="1"/>
  <c r="J2788" i="1"/>
  <c r="J2787" i="1"/>
  <c r="J2786" i="1"/>
  <c r="J2785" i="1"/>
  <c r="J2784" i="1"/>
  <c r="J2783" i="1"/>
  <c r="J2782" i="1"/>
  <c r="J2781" i="1"/>
  <c r="J2780" i="1"/>
  <c r="J2779" i="1"/>
  <c r="J2778" i="1"/>
  <c r="J2777" i="1"/>
  <c r="J2776" i="1"/>
  <c r="J2775" i="1"/>
  <c r="J2774" i="1"/>
  <c r="J2773" i="1"/>
  <c r="J2772" i="1"/>
  <c r="J2771" i="1"/>
  <c r="J2770" i="1"/>
  <c r="J2769" i="1"/>
  <c r="J2768" i="1"/>
  <c r="J2767" i="1"/>
  <c r="J2766" i="1"/>
  <c r="J2765" i="1"/>
  <c r="J2764" i="1"/>
  <c r="J2763" i="1"/>
  <c r="J2762" i="1"/>
  <c r="J2761" i="1"/>
  <c r="J2760" i="1"/>
  <c r="J2759" i="1"/>
  <c r="J2758" i="1"/>
  <c r="J2757" i="1"/>
  <c r="J2756" i="1"/>
  <c r="J2755" i="1"/>
  <c r="J2754" i="1"/>
  <c r="J2753" i="1"/>
  <c r="J2752" i="1"/>
  <c r="J2751" i="1"/>
  <c r="J2750" i="1"/>
  <c r="J2749" i="1"/>
  <c r="J2748" i="1"/>
  <c r="J2747" i="1"/>
  <c r="J2746" i="1"/>
  <c r="J2745" i="1"/>
  <c r="J2744" i="1"/>
  <c r="J2743" i="1"/>
  <c r="J2742" i="1"/>
  <c r="J2741" i="1"/>
  <c r="J2740" i="1"/>
  <c r="J2739" i="1"/>
  <c r="J2738" i="1"/>
  <c r="J2737" i="1"/>
  <c r="J2736" i="1"/>
  <c r="J2735" i="1"/>
  <c r="J2734" i="1"/>
  <c r="J2733" i="1"/>
  <c r="J2732" i="1"/>
  <c r="J2731" i="1"/>
  <c r="J2730" i="1"/>
  <c r="J2729" i="1"/>
  <c r="J2728" i="1"/>
  <c r="J2727" i="1"/>
  <c r="J2726" i="1"/>
  <c r="J2725" i="1"/>
  <c r="J2724" i="1"/>
  <c r="J2723" i="1"/>
  <c r="J2722" i="1"/>
  <c r="J2721" i="1"/>
  <c r="J2720" i="1"/>
  <c r="J2719" i="1"/>
  <c r="J2718" i="1"/>
  <c r="J2717" i="1"/>
  <c r="J2716" i="1"/>
  <c r="J2715" i="1"/>
  <c r="J2714" i="1"/>
  <c r="J2713" i="1"/>
  <c r="J2712" i="1"/>
  <c r="J2711" i="1"/>
  <c r="J2710" i="1"/>
  <c r="J2709" i="1"/>
  <c r="J2708" i="1"/>
  <c r="J2707" i="1"/>
  <c r="J2706" i="1"/>
  <c r="J2705" i="1"/>
  <c r="J2704" i="1"/>
  <c r="J2703" i="1"/>
  <c r="J2702" i="1"/>
  <c r="J2701" i="1"/>
  <c r="J2700" i="1"/>
  <c r="J2699" i="1"/>
  <c r="J2698" i="1"/>
  <c r="J2697" i="1"/>
  <c r="J2696" i="1"/>
  <c r="J2695" i="1"/>
  <c r="J2694" i="1"/>
  <c r="J2693" i="1"/>
  <c r="J2692" i="1"/>
  <c r="J2691" i="1"/>
  <c r="J2690" i="1"/>
  <c r="J2689" i="1"/>
  <c r="J2688" i="1"/>
  <c r="J2687" i="1"/>
  <c r="J2686" i="1"/>
  <c r="J2685" i="1"/>
  <c r="J2684" i="1"/>
  <c r="J2683" i="1"/>
  <c r="J2682" i="1"/>
  <c r="J2681" i="1"/>
  <c r="J2680" i="1"/>
  <c r="J2679" i="1"/>
  <c r="J2678" i="1"/>
  <c r="J2677" i="1"/>
  <c r="J2676" i="1"/>
  <c r="J2675" i="1"/>
  <c r="J2674" i="1"/>
  <c r="J2673" i="1"/>
  <c r="J2672" i="1"/>
  <c r="J2671" i="1"/>
  <c r="J2670" i="1"/>
  <c r="J2669" i="1"/>
  <c r="J2668" i="1"/>
  <c r="J2667" i="1"/>
  <c r="J2666" i="1"/>
  <c r="J2665" i="1"/>
  <c r="J2664" i="1"/>
  <c r="J2663" i="1"/>
  <c r="J2662" i="1"/>
  <c r="J2661" i="1"/>
  <c r="J2660" i="1"/>
  <c r="J2659" i="1"/>
  <c r="J2658" i="1"/>
  <c r="J2657" i="1"/>
  <c r="J2656" i="1"/>
  <c r="J2655" i="1"/>
  <c r="J2654" i="1"/>
  <c r="J2653" i="1"/>
  <c r="J2652" i="1"/>
  <c r="J2651" i="1"/>
  <c r="J2650" i="1"/>
  <c r="J2649" i="1"/>
  <c r="J2648" i="1"/>
  <c r="J2647" i="1"/>
  <c r="J2646" i="1"/>
  <c r="J2645" i="1"/>
  <c r="J2644" i="1"/>
  <c r="J2643" i="1"/>
  <c r="J2642" i="1"/>
  <c r="J2641" i="1"/>
  <c r="J2640" i="1"/>
  <c r="J2639" i="1"/>
  <c r="J2638" i="1"/>
  <c r="J2637" i="1"/>
  <c r="J2636" i="1"/>
  <c r="J2635" i="1"/>
  <c r="J2634" i="1"/>
  <c r="J2633" i="1"/>
  <c r="J2632" i="1"/>
  <c r="J2631" i="1"/>
  <c r="J2630" i="1"/>
  <c r="J2629" i="1"/>
  <c r="J2628" i="1"/>
  <c r="J2627" i="1"/>
  <c r="J2626" i="1"/>
  <c r="J2625" i="1"/>
  <c r="J2624" i="1"/>
  <c r="J2623" i="1"/>
  <c r="J2622" i="1"/>
  <c r="J2621" i="1"/>
  <c r="J2620" i="1"/>
  <c r="J2619" i="1"/>
  <c r="J2618" i="1"/>
  <c r="J2617" i="1"/>
  <c r="J2616" i="1"/>
  <c r="J2615" i="1"/>
  <c r="J2614" i="1"/>
  <c r="J2613" i="1"/>
  <c r="J2612" i="1"/>
  <c r="J2611" i="1"/>
  <c r="J2610" i="1"/>
  <c r="J2609" i="1"/>
  <c r="J2608" i="1"/>
  <c r="J2607" i="1"/>
  <c r="J2606" i="1"/>
  <c r="J2605" i="1"/>
  <c r="J2604" i="1"/>
  <c r="J2603" i="1"/>
  <c r="J2602" i="1"/>
  <c r="J2601" i="1"/>
  <c r="J2600" i="1"/>
  <c r="J2599" i="1"/>
  <c r="J2598" i="1"/>
  <c r="J2597" i="1"/>
  <c r="J2596" i="1"/>
  <c r="J2595" i="1"/>
  <c r="J2594" i="1"/>
  <c r="J2593" i="1"/>
  <c r="J2592" i="1"/>
  <c r="J2591" i="1"/>
  <c r="J2590" i="1"/>
  <c r="J2589" i="1"/>
  <c r="J2588" i="1"/>
  <c r="J2587" i="1"/>
  <c r="J2586" i="1"/>
  <c r="J2585" i="1"/>
  <c r="J2584" i="1"/>
  <c r="J2583" i="1"/>
  <c r="J2582" i="1"/>
  <c r="J2581" i="1"/>
  <c r="J2580" i="1"/>
  <c r="J2579" i="1"/>
  <c r="J2578" i="1"/>
  <c r="J2577" i="1"/>
  <c r="J2576" i="1"/>
  <c r="J2575" i="1"/>
  <c r="J2574" i="1"/>
  <c r="J2573" i="1"/>
  <c r="J2572" i="1"/>
  <c r="J2571" i="1"/>
  <c r="J2570" i="1"/>
  <c r="J2569" i="1"/>
  <c r="J2568" i="1"/>
  <c r="J2567" i="1"/>
  <c r="J2566" i="1"/>
  <c r="J2565" i="1"/>
  <c r="J2564" i="1"/>
  <c r="J2563" i="1"/>
  <c r="J2562" i="1"/>
  <c r="J2561" i="1"/>
  <c r="J2560" i="1"/>
  <c r="J2559" i="1"/>
  <c r="J2558" i="1"/>
  <c r="J2557" i="1"/>
  <c r="J2556" i="1"/>
  <c r="J2555" i="1"/>
  <c r="J2554" i="1"/>
  <c r="J2553" i="1"/>
  <c r="J2552" i="1"/>
  <c r="J2551" i="1"/>
  <c r="J2550" i="1"/>
  <c r="J2549" i="1"/>
  <c r="J2548" i="1"/>
  <c r="J2547" i="1"/>
  <c r="J2546" i="1"/>
  <c r="J2545" i="1"/>
  <c r="J2544" i="1"/>
  <c r="J2543" i="1"/>
  <c r="J2542" i="1"/>
  <c r="J2541" i="1"/>
  <c r="J2540" i="1"/>
  <c r="J2539" i="1"/>
  <c r="J2538" i="1"/>
  <c r="J2537" i="1"/>
  <c r="J2536" i="1"/>
  <c r="J2535" i="1"/>
  <c r="J2534" i="1"/>
  <c r="J2533" i="1"/>
  <c r="J2532" i="1"/>
  <c r="J2531" i="1"/>
  <c r="J2530" i="1"/>
  <c r="J2529" i="1"/>
  <c r="J2528" i="1"/>
  <c r="J2527" i="1"/>
  <c r="J2526" i="1"/>
  <c r="J2525" i="1"/>
  <c r="J2524" i="1"/>
  <c r="J2523" i="1"/>
  <c r="J2522" i="1"/>
  <c r="J2521" i="1"/>
  <c r="J2520" i="1"/>
  <c r="J2519" i="1"/>
  <c r="J2518" i="1"/>
  <c r="J2517" i="1"/>
  <c r="J2516" i="1"/>
  <c r="J2515" i="1"/>
  <c r="J2514" i="1"/>
  <c r="J2513" i="1"/>
  <c r="J2512" i="1"/>
  <c r="J2511" i="1"/>
  <c r="J2510" i="1"/>
  <c r="J2509" i="1"/>
  <c r="J2508" i="1"/>
  <c r="J2507" i="1"/>
  <c r="J2506" i="1"/>
  <c r="J2505" i="1"/>
  <c r="J2504" i="1"/>
  <c r="J2503" i="1"/>
  <c r="J2502" i="1"/>
  <c r="J2501" i="1"/>
  <c r="J2500" i="1"/>
  <c r="J2499" i="1"/>
  <c r="J2498" i="1"/>
  <c r="J2497" i="1"/>
  <c r="J2496" i="1"/>
  <c r="J2495" i="1"/>
  <c r="J2494" i="1"/>
  <c r="J2493" i="1"/>
  <c r="J2492" i="1"/>
  <c r="J2491" i="1"/>
  <c r="J2490" i="1"/>
  <c r="J2489" i="1"/>
  <c r="J2488" i="1"/>
  <c r="J2487" i="1"/>
  <c r="J2486" i="1"/>
  <c r="J2485" i="1"/>
  <c r="J2484" i="1"/>
  <c r="J2483" i="1"/>
  <c r="J2482" i="1"/>
  <c r="J2481" i="1"/>
  <c r="J2480" i="1"/>
  <c r="J2479" i="1"/>
  <c r="J2478" i="1"/>
  <c r="J2477" i="1"/>
  <c r="J2476" i="1"/>
  <c r="J2475" i="1"/>
  <c r="J2474" i="1"/>
  <c r="J2473" i="1"/>
  <c r="J2472" i="1"/>
  <c r="J2471" i="1"/>
  <c r="J2470" i="1"/>
  <c r="J2469" i="1"/>
  <c r="J2468" i="1"/>
  <c r="J2467" i="1"/>
  <c r="J2466" i="1"/>
  <c r="J2465" i="1"/>
  <c r="J2464" i="1"/>
  <c r="J2463" i="1"/>
  <c r="J2462" i="1"/>
  <c r="J2461" i="1"/>
  <c r="J2460" i="1"/>
  <c r="J2459" i="1"/>
  <c r="J2458" i="1"/>
  <c r="J2457" i="1"/>
  <c r="J2456" i="1"/>
  <c r="J2455" i="1"/>
  <c r="J2454" i="1"/>
  <c r="J2453" i="1"/>
  <c r="J2452" i="1"/>
  <c r="J2451" i="1"/>
  <c r="J2450" i="1"/>
  <c r="J2449" i="1"/>
  <c r="J2448" i="1"/>
  <c r="J2447" i="1"/>
  <c r="J2446" i="1"/>
  <c r="J2445" i="1"/>
  <c r="J2444" i="1"/>
  <c r="J2443" i="1"/>
  <c r="J2442" i="1"/>
  <c r="J2441" i="1"/>
  <c r="J2440" i="1"/>
  <c r="J2439" i="1"/>
  <c r="J2438" i="1"/>
  <c r="J2437" i="1"/>
  <c r="J2436" i="1"/>
  <c r="J2435" i="1"/>
  <c r="J2434" i="1"/>
  <c r="J2433" i="1"/>
  <c r="J2432" i="1"/>
  <c r="J2431" i="1"/>
  <c r="J2430" i="1"/>
  <c r="J2429" i="1"/>
  <c r="J2428" i="1"/>
  <c r="J2427" i="1"/>
  <c r="J2426" i="1"/>
  <c r="J2425" i="1"/>
  <c r="J2424" i="1"/>
  <c r="J2423" i="1"/>
  <c r="J2422" i="1"/>
  <c r="J2421" i="1"/>
  <c r="J2420" i="1"/>
  <c r="J2419" i="1"/>
  <c r="J2418" i="1"/>
  <c r="J2417" i="1"/>
  <c r="J2416" i="1"/>
  <c r="J2415" i="1"/>
  <c r="J2414" i="1"/>
  <c r="J2413" i="1"/>
  <c r="J2412" i="1"/>
  <c r="J2411" i="1"/>
  <c r="J2410" i="1"/>
  <c r="J2409" i="1"/>
  <c r="J2408" i="1"/>
  <c r="J2407" i="1"/>
  <c r="J2406" i="1"/>
  <c r="J2405" i="1"/>
  <c r="J2404" i="1"/>
  <c r="J2403" i="1"/>
  <c r="J2402" i="1"/>
  <c r="J2401" i="1"/>
  <c r="J2400" i="1"/>
  <c r="J2399" i="1"/>
  <c r="J2398" i="1"/>
  <c r="J2397" i="1"/>
  <c r="J2396" i="1"/>
  <c r="J2395" i="1"/>
  <c r="J2394" i="1"/>
  <c r="J2393" i="1"/>
  <c r="J2392" i="1"/>
  <c r="J2391" i="1"/>
  <c r="J2390" i="1"/>
  <c r="J2389" i="1"/>
  <c r="J2388" i="1"/>
  <c r="J2387" i="1"/>
  <c r="J2386" i="1"/>
  <c r="J2385" i="1"/>
  <c r="J2384" i="1"/>
  <c r="J2383" i="1"/>
  <c r="J2382" i="1"/>
  <c r="J2381" i="1"/>
  <c r="J2380" i="1"/>
  <c r="J2379" i="1"/>
  <c r="J2378" i="1"/>
  <c r="J2377" i="1"/>
  <c r="J2376" i="1"/>
  <c r="J2375" i="1"/>
  <c r="J2374" i="1"/>
  <c r="J2373" i="1"/>
  <c r="J2372" i="1"/>
  <c r="J2371" i="1"/>
  <c r="J2370" i="1"/>
  <c r="J2369" i="1"/>
  <c r="J2368" i="1"/>
  <c r="J2367" i="1"/>
  <c r="J2366" i="1"/>
  <c r="J2365" i="1"/>
  <c r="J2364" i="1"/>
  <c r="J2363" i="1"/>
  <c r="J2362" i="1"/>
  <c r="J2361" i="1"/>
  <c r="J2360" i="1"/>
  <c r="J2359" i="1"/>
  <c r="J2358" i="1"/>
  <c r="J2357" i="1"/>
  <c r="J2356" i="1"/>
  <c r="J2355" i="1"/>
  <c r="J2354" i="1"/>
  <c r="J2353" i="1"/>
  <c r="J2352" i="1"/>
  <c r="J2351" i="1"/>
  <c r="J2350" i="1"/>
  <c r="J2349" i="1"/>
  <c r="J2348" i="1"/>
  <c r="J2347" i="1"/>
  <c r="J2346" i="1"/>
  <c r="J2345" i="1"/>
  <c r="J2344" i="1"/>
  <c r="J2343" i="1"/>
  <c r="J2342" i="1"/>
  <c r="J2341" i="1"/>
  <c r="J2340" i="1"/>
  <c r="J2339" i="1"/>
  <c r="J2338" i="1"/>
  <c r="J2337" i="1"/>
  <c r="J2336" i="1"/>
  <c r="J2335" i="1"/>
  <c r="J2334" i="1"/>
  <c r="J2333" i="1"/>
  <c r="J2332" i="1"/>
  <c r="J2331" i="1"/>
  <c r="J2330" i="1"/>
  <c r="J2329" i="1"/>
  <c r="J2328" i="1"/>
  <c r="J2327" i="1"/>
  <c r="J2326" i="1"/>
  <c r="J2325" i="1"/>
  <c r="J2324" i="1"/>
  <c r="J2323" i="1"/>
  <c r="J2322" i="1"/>
  <c r="J2321" i="1"/>
  <c r="J2320" i="1"/>
  <c r="J2319" i="1"/>
  <c r="J2318" i="1"/>
  <c r="J2317" i="1"/>
  <c r="J2316" i="1"/>
  <c r="J2315" i="1"/>
  <c r="J2314" i="1"/>
  <c r="J2313" i="1"/>
  <c r="J2312" i="1"/>
  <c r="J2311" i="1"/>
  <c r="J2310" i="1"/>
  <c r="J2309" i="1"/>
  <c r="J2308" i="1"/>
  <c r="J2307" i="1"/>
  <c r="J2306" i="1"/>
  <c r="J2305" i="1"/>
  <c r="J2304" i="1"/>
  <c r="J2303" i="1"/>
  <c r="J2302" i="1"/>
  <c r="J2301" i="1"/>
  <c r="J2300" i="1"/>
  <c r="J2299" i="1"/>
  <c r="J2298" i="1"/>
  <c r="J2297" i="1"/>
  <c r="J2296" i="1"/>
  <c r="J2295" i="1"/>
  <c r="J2294" i="1"/>
  <c r="J2293" i="1"/>
  <c r="J2292" i="1"/>
  <c r="J2291" i="1"/>
  <c r="J2290" i="1"/>
  <c r="J2289" i="1"/>
  <c r="J2288" i="1"/>
  <c r="J2287" i="1"/>
  <c r="J2286" i="1"/>
  <c r="J2285" i="1"/>
  <c r="J2284" i="1"/>
  <c r="J2283" i="1"/>
  <c r="J2282" i="1"/>
  <c r="J2281" i="1"/>
  <c r="J2280" i="1"/>
  <c r="J2279" i="1"/>
  <c r="J2278" i="1"/>
  <c r="J2277" i="1"/>
  <c r="J2276" i="1"/>
  <c r="J2275" i="1"/>
  <c r="J2274" i="1"/>
  <c r="J2273" i="1"/>
  <c r="J2272" i="1"/>
  <c r="J2271" i="1"/>
  <c r="J2270" i="1"/>
  <c r="J2269" i="1"/>
  <c r="J2268" i="1"/>
  <c r="J2267" i="1"/>
  <c r="J2266" i="1"/>
  <c r="J2265" i="1"/>
  <c r="J2264" i="1"/>
  <c r="J2263" i="1"/>
  <c r="J2262" i="1"/>
  <c r="J2261" i="1"/>
  <c r="J2260" i="1"/>
  <c r="J2259" i="1"/>
  <c r="J2258" i="1"/>
  <c r="J2257" i="1"/>
  <c r="J2256" i="1"/>
  <c r="J2255" i="1"/>
  <c r="J2254" i="1"/>
  <c r="J2253" i="1"/>
  <c r="J2252" i="1"/>
  <c r="J2251" i="1"/>
  <c r="J2250" i="1"/>
  <c r="J2249" i="1"/>
  <c r="J2248" i="1"/>
  <c r="J2247" i="1"/>
  <c r="J2246" i="1"/>
  <c r="J2245" i="1"/>
  <c r="J2244" i="1"/>
  <c r="J2243" i="1"/>
  <c r="J2242" i="1"/>
  <c r="J2241" i="1"/>
  <c r="J2240" i="1"/>
  <c r="J2239" i="1"/>
  <c r="J2238" i="1"/>
  <c r="J2237" i="1"/>
  <c r="J2236" i="1"/>
  <c r="J2235" i="1"/>
  <c r="J2234" i="1"/>
  <c r="J2233" i="1"/>
  <c r="J2232" i="1"/>
  <c r="J2231" i="1"/>
  <c r="J2230" i="1"/>
  <c r="J2229" i="1"/>
  <c r="J2228" i="1"/>
  <c r="J2227" i="1"/>
  <c r="J2226" i="1"/>
  <c r="J2225" i="1"/>
  <c r="J2224" i="1"/>
  <c r="J2223" i="1"/>
  <c r="J2222" i="1"/>
  <c r="J2221" i="1"/>
  <c r="J2220" i="1"/>
  <c r="J2219" i="1"/>
  <c r="J2218" i="1"/>
  <c r="J2217" i="1"/>
  <c r="J2216" i="1"/>
  <c r="J2215" i="1"/>
  <c r="J2214" i="1"/>
  <c r="J2213" i="1"/>
  <c r="J2212" i="1"/>
  <c r="J2211" i="1"/>
  <c r="J2210" i="1"/>
  <c r="J2209" i="1"/>
  <c r="J2208" i="1"/>
  <c r="J2207" i="1"/>
  <c r="J2206" i="1"/>
  <c r="J2205" i="1"/>
  <c r="J2204" i="1"/>
  <c r="J2203" i="1"/>
  <c r="J2202" i="1"/>
  <c r="J2201" i="1"/>
  <c r="J2200" i="1"/>
  <c r="J2199" i="1"/>
  <c r="J2198" i="1"/>
  <c r="J2197" i="1"/>
  <c r="J2196" i="1"/>
  <c r="J2195" i="1"/>
  <c r="J2194" i="1"/>
  <c r="J2193" i="1"/>
  <c r="J2192" i="1"/>
  <c r="J2191" i="1"/>
  <c r="J2190" i="1"/>
  <c r="J2189" i="1"/>
  <c r="J2188" i="1"/>
  <c r="J2187" i="1"/>
  <c r="J2186" i="1"/>
  <c r="J2185" i="1"/>
  <c r="J2184" i="1"/>
  <c r="J2183" i="1"/>
  <c r="J2182" i="1"/>
  <c r="J2181" i="1"/>
  <c r="J2180" i="1"/>
  <c r="J2179" i="1"/>
  <c r="J2178" i="1"/>
  <c r="J2177" i="1"/>
  <c r="J2176" i="1"/>
  <c r="J2175" i="1"/>
  <c r="J2174" i="1"/>
  <c r="J2173" i="1"/>
  <c r="J2172" i="1"/>
  <c r="J2171" i="1"/>
  <c r="J2170" i="1"/>
  <c r="J2169" i="1"/>
  <c r="J2168" i="1"/>
  <c r="J2167" i="1"/>
  <c r="J2166" i="1"/>
  <c r="J2165" i="1"/>
  <c r="J2164" i="1"/>
  <c r="J2163" i="1"/>
  <c r="J2162" i="1"/>
  <c r="J2161" i="1"/>
  <c r="J2160" i="1"/>
  <c r="J2159" i="1"/>
  <c r="J2158" i="1"/>
  <c r="J2157" i="1"/>
  <c r="J2156" i="1"/>
  <c r="J2155" i="1"/>
  <c r="J2154" i="1"/>
  <c r="J2153" i="1"/>
  <c r="J2152" i="1"/>
  <c r="J2151" i="1"/>
  <c r="J2150" i="1"/>
  <c r="J2149" i="1"/>
  <c r="J2148" i="1"/>
  <c r="J2147" i="1"/>
  <c r="J2146" i="1"/>
  <c r="J2145" i="1"/>
  <c r="J2144" i="1"/>
  <c r="J2143" i="1"/>
  <c r="J2142" i="1"/>
  <c r="J2141" i="1"/>
  <c r="J2140" i="1"/>
  <c r="J2139" i="1"/>
  <c r="J2138" i="1"/>
  <c r="J2137" i="1"/>
  <c r="J2136" i="1"/>
  <c r="J2135" i="1"/>
  <c r="J2134" i="1"/>
  <c r="J2133" i="1"/>
  <c r="J2132" i="1"/>
  <c r="J2131" i="1"/>
  <c r="J2130" i="1"/>
  <c r="J2129" i="1"/>
  <c r="J2128" i="1"/>
  <c r="J2127" i="1"/>
  <c r="J2126" i="1"/>
  <c r="J2125" i="1"/>
  <c r="J2124" i="1"/>
  <c r="J2123" i="1"/>
  <c r="J2122" i="1"/>
  <c r="J2121" i="1"/>
  <c r="J2120" i="1"/>
  <c r="J2119" i="1"/>
  <c r="J2118" i="1"/>
  <c r="J2117" i="1"/>
  <c r="J2116" i="1"/>
  <c r="J2115" i="1"/>
  <c r="J2114" i="1"/>
  <c r="J2113" i="1"/>
  <c r="J2112" i="1"/>
  <c r="J2111" i="1"/>
  <c r="J2110" i="1"/>
  <c r="J2109" i="1"/>
  <c r="J2108" i="1"/>
  <c r="J2107" i="1"/>
  <c r="J2106" i="1"/>
  <c r="J2105" i="1"/>
  <c r="J2104" i="1"/>
  <c r="J2103" i="1"/>
  <c r="J2102" i="1"/>
  <c r="J2101" i="1"/>
  <c r="J2100" i="1"/>
  <c r="J2099" i="1"/>
  <c r="J2098" i="1"/>
  <c r="J2097" i="1"/>
  <c r="J2096" i="1"/>
  <c r="J2095" i="1"/>
  <c r="J2094" i="1"/>
  <c r="J2093" i="1"/>
  <c r="J2092" i="1"/>
  <c r="J2091" i="1"/>
  <c r="J2090" i="1"/>
  <c r="J2089" i="1"/>
  <c r="J2088" i="1"/>
  <c r="J2087" i="1"/>
  <c r="J2086" i="1"/>
  <c r="J2085" i="1"/>
  <c r="J2084" i="1"/>
  <c r="J2083" i="1"/>
  <c r="J2082" i="1"/>
  <c r="J2081" i="1"/>
  <c r="J2080" i="1"/>
  <c r="J2079" i="1"/>
  <c r="J2078" i="1"/>
  <c r="J2077" i="1"/>
  <c r="J2076" i="1"/>
  <c r="J2075" i="1"/>
  <c r="J2074" i="1"/>
  <c r="J2073" i="1"/>
  <c r="J2072" i="1"/>
  <c r="J2071" i="1"/>
  <c r="J2070" i="1"/>
  <c r="J2069" i="1"/>
  <c r="J2068" i="1"/>
  <c r="J2067" i="1"/>
  <c r="J2066" i="1"/>
  <c r="J2065" i="1"/>
  <c r="J2064" i="1"/>
  <c r="J2063" i="1"/>
  <c r="J2062" i="1"/>
  <c r="J2061" i="1"/>
  <c r="J2060" i="1"/>
  <c r="J2059" i="1"/>
  <c r="J2058" i="1"/>
  <c r="J2057" i="1"/>
  <c r="J2056" i="1"/>
  <c r="J2055" i="1"/>
  <c r="J2054" i="1"/>
  <c r="J2053" i="1"/>
  <c r="J2052" i="1"/>
  <c r="J2051" i="1"/>
  <c r="J2050" i="1"/>
  <c r="J2049" i="1"/>
  <c r="J2048" i="1"/>
  <c r="J2047" i="1"/>
  <c r="J2046" i="1"/>
  <c r="J2045" i="1"/>
  <c r="J2044" i="1"/>
  <c r="J2043" i="1"/>
  <c r="J2042" i="1"/>
  <c r="J2041" i="1"/>
  <c r="J2040" i="1"/>
  <c r="J2039" i="1"/>
  <c r="J2038" i="1"/>
  <c r="J2037" i="1"/>
  <c r="J2036" i="1"/>
  <c r="J2035" i="1"/>
  <c r="J2034" i="1"/>
  <c r="J2033" i="1"/>
  <c r="J2032" i="1"/>
  <c r="J2031" i="1"/>
  <c r="J2030" i="1"/>
  <c r="J2029" i="1"/>
  <c r="J2028" i="1"/>
  <c r="J2027" i="1"/>
  <c r="J2026" i="1"/>
  <c r="J2025" i="1"/>
  <c r="J2024" i="1"/>
  <c r="J2023" i="1"/>
  <c r="J2022" i="1"/>
  <c r="J2021" i="1"/>
  <c r="J2020" i="1"/>
  <c r="J2019" i="1"/>
  <c r="J2018" i="1"/>
  <c r="J2017" i="1"/>
  <c r="J2016" i="1"/>
  <c r="J2015" i="1"/>
  <c r="J2014" i="1"/>
  <c r="J2013" i="1"/>
  <c r="J2012" i="1"/>
  <c r="J2011" i="1"/>
  <c r="J2010" i="1"/>
  <c r="J2009" i="1"/>
  <c r="J2008" i="1"/>
  <c r="J2007" i="1"/>
  <c r="J2006" i="1"/>
  <c r="J2005" i="1"/>
  <c r="J2004" i="1"/>
  <c r="J2003" i="1"/>
  <c r="J2002" i="1"/>
  <c r="J2001" i="1"/>
  <c r="J2000" i="1"/>
  <c r="J1999" i="1"/>
  <c r="J1998" i="1"/>
  <c r="J1997" i="1"/>
  <c r="J1996" i="1"/>
  <c r="J1995" i="1"/>
  <c r="J1994" i="1"/>
  <c r="J1993" i="1"/>
  <c r="J1992" i="1"/>
  <c r="J1991" i="1"/>
  <c r="J1990" i="1"/>
  <c r="J1989" i="1"/>
  <c r="J1988" i="1"/>
  <c r="J1987" i="1"/>
  <c r="J1986" i="1"/>
  <c r="J1985" i="1"/>
  <c r="J1984" i="1"/>
  <c r="J1983" i="1"/>
  <c r="J1982" i="1"/>
  <c r="J1981" i="1"/>
  <c r="J1980" i="1"/>
  <c r="J1979" i="1"/>
  <c r="J1978" i="1"/>
  <c r="J1977" i="1"/>
  <c r="J1976" i="1"/>
  <c r="J1975" i="1"/>
  <c r="J1974" i="1"/>
  <c r="J1973" i="1"/>
  <c r="J1972" i="1"/>
  <c r="J1971" i="1"/>
  <c r="J1970" i="1"/>
  <c r="J1969" i="1"/>
  <c r="J1968" i="1"/>
  <c r="J1967" i="1"/>
  <c r="J1966" i="1"/>
  <c r="J1965" i="1"/>
  <c r="J1964" i="1"/>
  <c r="J1963" i="1"/>
  <c r="J1962" i="1"/>
  <c r="J1961" i="1"/>
  <c r="J1960" i="1"/>
  <c r="J1959" i="1"/>
  <c r="J1958" i="1"/>
  <c r="J1957" i="1"/>
  <c r="J1956" i="1"/>
  <c r="J1955" i="1"/>
  <c r="J1954" i="1"/>
  <c r="J1953" i="1"/>
  <c r="J1952" i="1"/>
  <c r="J1951" i="1"/>
  <c r="J1950" i="1"/>
  <c r="J1949" i="1"/>
  <c r="J1948" i="1"/>
  <c r="J1947" i="1"/>
  <c r="J1946" i="1"/>
  <c r="J1945" i="1"/>
  <c r="J1944" i="1"/>
  <c r="J1943" i="1"/>
  <c r="J1942" i="1"/>
  <c r="J1941" i="1"/>
  <c r="J1940" i="1"/>
  <c r="J1939" i="1"/>
  <c r="J1938" i="1"/>
  <c r="J1937" i="1"/>
  <c r="J1936" i="1"/>
  <c r="J1935" i="1"/>
  <c r="J1934" i="1"/>
  <c r="J1933" i="1"/>
  <c r="J1932" i="1"/>
  <c r="J1931" i="1"/>
  <c r="J1930" i="1"/>
  <c r="J1929" i="1"/>
  <c r="J1928" i="1"/>
  <c r="J1927" i="1"/>
  <c r="J1926" i="1"/>
  <c r="J1925" i="1"/>
  <c r="J1924" i="1"/>
  <c r="J1923" i="1"/>
  <c r="J1922" i="1"/>
  <c r="J1921" i="1"/>
  <c r="J1920" i="1"/>
  <c r="J1919" i="1"/>
  <c r="J1918" i="1"/>
  <c r="J1917" i="1"/>
  <c r="J1916" i="1"/>
  <c r="J1915" i="1"/>
  <c r="J1914" i="1"/>
  <c r="J1913" i="1"/>
  <c r="J1912" i="1"/>
  <c r="J1911" i="1"/>
  <c r="J1910" i="1"/>
  <c r="J1909" i="1"/>
  <c r="J1908" i="1"/>
  <c r="J1907" i="1"/>
  <c r="J1906" i="1"/>
  <c r="J1905" i="1"/>
  <c r="J1904" i="1"/>
  <c r="J1903" i="1"/>
  <c r="J1902" i="1"/>
  <c r="J1901" i="1"/>
  <c r="J1900" i="1"/>
  <c r="J1899" i="1"/>
  <c r="J1898" i="1"/>
  <c r="J1897" i="1"/>
  <c r="J1896" i="1"/>
  <c r="J1895" i="1"/>
  <c r="J1894" i="1"/>
  <c r="J1893" i="1"/>
  <c r="J1892" i="1"/>
  <c r="J1891" i="1"/>
  <c r="J1890" i="1"/>
  <c r="J1889" i="1"/>
  <c r="J1888" i="1"/>
  <c r="J1887" i="1"/>
  <c r="J1886" i="1"/>
  <c r="J1885" i="1"/>
  <c r="J1884" i="1"/>
  <c r="J1883" i="1"/>
  <c r="J1882" i="1"/>
  <c r="J1881" i="1"/>
  <c r="J1880" i="1"/>
  <c r="J1879" i="1"/>
  <c r="J1878" i="1"/>
  <c r="J1877" i="1"/>
  <c r="J1876" i="1"/>
  <c r="J1875" i="1"/>
  <c r="J1874" i="1"/>
  <c r="J1873" i="1"/>
  <c r="J1872" i="1"/>
  <c r="J1871" i="1"/>
  <c r="J1870" i="1"/>
  <c r="J1869" i="1"/>
  <c r="J1868" i="1"/>
  <c r="J1867" i="1"/>
  <c r="J1866" i="1"/>
  <c r="J1865" i="1"/>
  <c r="J1864" i="1"/>
  <c r="J1863" i="1"/>
  <c r="J1862" i="1"/>
  <c r="J1861" i="1"/>
  <c r="J1860" i="1"/>
  <c r="J1859" i="1"/>
  <c r="J1858" i="1"/>
  <c r="J1857" i="1"/>
  <c r="J1856" i="1"/>
  <c r="J1855" i="1"/>
  <c r="J1854" i="1"/>
  <c r="J1853" i="1"/>
  <c r="J1852" i="1"/>
  <c r="J1851" i="1"/>
  <c r="J1850" i="1"/>
  <c r="J1849" i="1"/>
  <c r="J1848" i="1"/>
  <c r="J1847" i="1"/>
  <c r="J1846" i="1"/>
  <c r="J1845" i="1"/>
  <c r="J1844" i="1"/>
  <c r="J1843" i="1"/>
  <c r="J1842" i="1"/>
  <c r="J1841" i="1"/>
  <c r="J1840" i="1"/>
  <c r="J1839" i="1"/>
  <c r="J1838" i="1"/>
  <c r="J1837" i="1"/>
  <c r="J1836" i="1"/>
  <c r="J1835" i="1"/>
  <c r="J1834" i="1"/>
  <c r="J1833" i="1"/>
  <c r="J1832" i="1"/>
  <c r="J1831" i="1"/>
  <c r="J1830" i="1"/>
  <c r="J1829" i="1"/>
  <c r="J1828" i="1"/>
  <c r="J1827" i="1"/>
  <c r="J1826" i="1"/>
  <c r="J1825" i="1"/>
  <c r="J1824" i="1"/>
  <c r="J1823" i="1"/>
  <c r="J1822" i="1"/>
  <c r="J1821" i="1"/>
  <c r="J1820" i="1"/>
  <c r="J1819" i="1"/>
  <c r="J1818" i="1"/>
  <c r="J1817" i="1"/>
  <c r="J1816" i="1"/>
  <c r="J1815" i="1"/>
  <c r="J1814" i="1"/>
  <c r="J1813" i="1"/>
  <c r="J1812" i="1"/>
  <c r="J1811" i="1"/>
  <c r="J1810" i="1"/>
  <c r="J1809" i="1"/>
  <c r="J1808" i="1"/>
  <c r="J1807" i="1"/>
  <c r="J1806" i="1"/>
  <c r="J1805" i="1"/>
  <c r="J1804" i="1"/>
  <c r="J1803" i="1"/>
  <c r="J1802" i="1"/>
  <c r="J1801" i="1"/>
  <c r="J1800" i="1"/>
  <c r="J1799" i="1"/>
  <c r="J1798" i="1"/>
  <c r="J1797" i="1"/>
  <c r="J1796" i="1"/>
  <c r="J1795" i="1"/>
  <c r="J1794" i="1"/>
  <c r="J1793" i="1"/>
  <c r="J1792" i="1"/>
  <c r="J1791" i="1"/>
  <c r="J1790" i="1"/>
  <c r="J1789" i="1"/>
  <c r="J1788" i="1"/>
  <c r="J1787" i="1"/>
  <c r="J1786" i="1"/>
  <c r="J1785" i="1"/>
  <c r="J1784" i="1"/>
  <c r="J1783" i="1"/>
  <c r="J1782" i="1"/>
  <c r="J1781" i="1"/>
  <c r="J1780" i="1"/>
  <c r="J1779" i="1"/>
  <c r="J1778" i="1"/>
  <c r="J1777" i="1"/>
  <c r="J1776" i="1"/>
  <c r="J1775" i="1"/>
  <c r="J1774" i="1"/>
  <c r="J1773" i="1"/>
  <c r="J1772" i="1"/>
  <c r="J1771" i="1"/>
  <c r="J1770" i="1"/>
  <c r="J1769" i="1"/>
  <c r="J1768" i="1"/>
  <c r="J1767" i="1"/>
  <c r="J1766" i="1"/>
  <c r="J1765" i="1"/>
  <c r="J1764" i="1"/>
  <c r="J1763" i="1"/>
  <c r="J1762" i="1"/>
  <c r="J1761" i="1"/>
  <c r="J1760" i="1"/>
  <c r="J1759" i="1"/>
  <c r="J1758" i="1"/>
  <c r="J1757" i="1"/>
  <c r="J1756" i="1"/>
  <c r="J1755" i="1"/>
  <c r="J1754" i="1"/>
  <c r="J1753" i="1"/>
  <c r="J1752" i="1"/>
  <c r="J1751" i="1"/>
  <c r="J1750" i="1"/>
  <c r="J1749" i="1"/>
  <c r="J1748" i="1"/>
  <c r="J1747" i="1"/>
  <c r="J1746" i="1"/>
  <c r="J1745" i="1"/>
  <c r="J1744" i="1"/>
  <c r="J1743" i="1"/>
  <c r="J1742" i="1"/>
  <c r="J1741" i="1"/>
  <c r="J1740" i="1"/>
  <c r="J1739" i="1"/>
  <c r="J1738" i="1"/>
  <c r="J1737" i="1"/>
  <c r="J1736" i="1"/>
  <c r="J1735" i="1"/>
  <c r="J1734" i="1"/>
  <c r="J1733" i="1"/>
  <c r="J1732" i="1"/>
  <c r="J1731" i="1"/>
  <c r="J1730" i="1"/>
  <c r="J1729" i="1"/>
  <c r="J1728" i="1"/>
  <c r="J1727" i="1"/>
  <c r="J1726" i="1"/>
  <c r="J1725" i="1"/>
  <c r="J1724" i="1"/>
  <c r="J1723" i="1"/>
  <c r="J1722" i="1"/>
  <c r="J1721" i="1"/>
  <c r="J1720" i="1"/>
  <c r="J1719" i="1"/>
  <c r="J1718" i="1"/>
  <c r="J1717" i="1"/>
  <c r="J1716" i="1"/>
  <c r="J1715" i="1"/>
  <c r="J1714" i="1"/>
  <c r="J1713" i="1"/>
  <c r="J1712" i="1"/>
  <c r="J1711" i="1"/>
  <c r="J1710" i="1"/>
  <c r="J1709" i="1"/>
  <c r="J1708" i="1"/>
  <c r="J1707" i="1"/>
  <c r="J1706" i="1"/>
  <c r="J1705" i="1"/>
  <c r="J1704" i="1"/>
  <c r="J1703" i="1"/>
  <c r="J1702" i="1"/>
  <c r="J1701" i="1"/>
  <c r="J1700" i="1"/>
  <c r="J1699" i="1"/>
  <c r="J1698" i="1"/>
  <c r="J1697" i="1"/>
  <c r="J1696" i="1"/>
  <c r="J1695" i="1"/>
  <c r="J1694" i="1"/>
  <c r="J1693" i="1"/>
  <c r="J1692" i="1"/>
  <c r="J1691" i="1"/>
  <c r="J1690" i="1"/>
  <c r="J1689" i="1"/>
  <c r="J1688" i="1"/>
  <c r="J1687" i="1"/>
  <c r="J1686" i="1"/>
  <c r="J1685" i="1"/>
  <c r="J1684" i="1"/>
  <c r="J1683" i="1"/>
  <c r="J1682" i="1"/>
  <c r="J1681" i="1"/>
  <c r="J1680" i="1"/>
  <c r="J1679" i="1"/>
  <c r="J1678" i="1"/>
  <c r="J1677" i="1"/>
  <c r="J1676" i="1"/>
  <c r="J1675" i="1"/>
  <c r="J1674" i="1"/>
  <c r="J1673" i="1"/>
  <c r="J1672" i="1"/>
  <c r="J1671" i="1"/>
  <c r="J1670" i="1"/>
  <c r="J1669" i="1"/>
  <c r="J1668" i="1"/>
  <c r="J1667" i="1"/>
  <c r="J1666" i="1"/>
  <c r="J1665" i="1"/>
  <c r="J1664" i="1"/>
  <c r="J1663" i="1"/>
  <c r="J1662" i="1"/>
  <c r="J1661" i="1"/>
  <c r="J1660" i="1"/>
  <c r="J1659" i="1"/>
  <c r="J1658" i="1"/>
  <c r="J1657" i="1"/>
  <c r="J1656" i="1"/>
  <c r="J1655" i="1"/>
  <c r="J1654" i="1"/>
  <c r="J1653" i="1"/>
  <c r="J1652" i="1"/>
  <c r="J1651" i="1"/>
  <c r="J1650" i="1"/>
  <c r="J1649" i="1"/>
  <c r="J1648" i="1"/>
  <c r="J1647" i="1"/>
  <c r="J1646" i="1"/>
  <c r="J1645" i="1"/>
  <c r="J1644" i="1"/>
  <c r="J1643" i="1"/>
  <c r="J1642" i="1"/>
  <c r="J1641" i="1"/>
  <c r="J1640" i="1"/>
  <c r="J1639" i="1"/>
  <c r="J1638" i="1"/>
  <c r="J1637" i="1"/>
  <c r="J1636" i="1"/>
  <c r="J1635" i="1"/>
  <c r="J1634" i="1"/>
  <c r="J1633" i="1"/>
  <c r="J1632" i="1"/>
  <c r="J1631" i="1"/>
  <c r="J1630" i="1"/>
  <c r="J1629" i="1"/>
  <c r="J1628" i="1"/>
  <c r="J1627" i="1"/>
  <c r="J1626" i="1"/>
  <c r="J1625" i="1"/>
  <c r="J1624" i="1"/>
  <c r="J1623" i="1"/>
  <c r="J1622" i="1"/>
  <c r="J1621" i="1"/>
  <c r="J1620" i="1"/>
  <c r="J1619" i="1"/>
  <c r="J1618" i="1"/>
  <c r="J1617" i="1"/>
  <c r="J1616" i="1"/>
  <c r="J1615" i="1"/>
  <c r="J1614" i="1"/>
  <c r="J1613" i="1"/>
  <c r="J1612" i="1"/>
  <c r="J1611" i="1"/>
  <c r="J1610" i="1"/>
  <c r="J1609" i="1"/>
  <c r="J1608" i="1"/>
  <c r="J1607" i="1"/>
  <c r="J1606" i="1"/>
  <c r="J1605" i="1"/>
  <c r="J1604" i="1"/>
  <c r="J1603" i="1"/>
  <c r="J1602" i="1"/>
  <c r="J1601" i="1"/>
  <c r="J1600" i="1"/>
  <c r="J1599" i="1"/>
  <c r="J1598" i="1"/>
  <c r="J1597" i="1"/>
  <c r="J1596" i="1"/>
  <c r="J1595" i="1"/>
  <c r="J1594" i="1"/>
  <c r="J1593" i="1"/>
  <c r="J1592" i="1"/>
  <c r="J1591" i="1"/>
  <c r="J1590" i="1"/>
  <c r="J1589" i="1"/>
  <c r="J1588" i="1"/>
  <c r="J1587" i="1"/>
  <c r="J1586" i="1"/>
  <c r="J1585" i="1"/>
  <c r="J1584" i="1"/>
  <c r="J1583" i="1"/>
  <c r="J1582" i="1"/>
  <c r="J1581" i="1"/>
  <c r="J1580" i="1"/>
  <c r="J1579" i="1"/>
  <c r="J1578" i="1"/>
  <c r="J1577" i="1"/>
  <c r="J1576" i="1"/>
  <c r="J1575" i="1"/>
  <c r="J1574" i="1"/>
  <c r="J1573" i="1"/>
  <c r="J1572" i="1"/>
  <c r="J1571" i="1"/>
  <c r="J1570" i="1"/>
  <c r="J1569" i="1"/>
  <c r="J1568" i="1"/>
  <c r="J1567" i="1"/>
  <c r="J1566" i="1"/>
  <c r="J1565" i="1"/>
  <c r="J1564" i="1"/>
  <c r="J1563" i="1"/>
  <c r="J1562" i="1"/>
  <c r="J1561" i="1"/>
  <c r="J1560" i="1"/>
  <c r="J1559" i="1"/>
  <c r="J1558" i="1"/>
  <c r="J1557" i="1"/>
  <c r="J1556" i="1"/>
  <c r="J1555" i="1"/>
  <c r="J1554" i="1"/>
  <c r="J1553" i="1"/>
  <c r="J1552" i="1"/>
  <c r="J1551" i="1"/>
  <c r="J1550" i="1"/>
  <c r="J1549" i="1"/>
  <c r="J1548" i="1"/>
  <c r="J1547" i="1"/>
  <c r="J1546" i="1"/>
  <c r="J1545" i="1"/>
  <c r="J1544" i="1"/>
  <c r="J1543" i="1"/>
  <c r="J1542" i="1"/>
  <c r="J1541" i="1"/>
  <c r="J1540" i="1"/>
  <c r="J1539" i="1"/>
  <c r="J1538" i="1"/>
  <c r="J1537" i="1"/>
  <c r="J1536" i="1"/>
  <c r="J1535" i="1"/>
  <c r="J1534" i="1"/>
  <c r="J1533" i="1"/>
  <c r="J1532" i="1"/>
  <c r="J1531" i="1"/>
  <c r="J1530" i="1"/>
  <c r="J1529" i="1"/>
  <c r="J1528" i="1"/>
  <c r="J1527" i="1"/>
  <c r="J1526" i="1"/>
  <c r="J1525" i="1"/>
  <c r="J1524" i="1"/>
  <c r="J1523" i="1"/>
  <c r="J1522" i="1"/>
  <c r="J1521" i="1"/>
  <c r="J1520" i="1"/>
  <c r="J1519" i="1"/>
  <c r="J1518" i="1"/>
  <c r="J1517" i="1"/>
  <c r="J1516" i="1"/>
  <c r="J1515" i="1"/>
  <c r="J1514" i="1"/>
  <c r="J1513" i="1"/>
  <c r="J1512" i="1"/>
  <c r="J1511" i="1"/>
  <c r="J1510" i="1"/>
  <c r="J1509" i="1"/>
  <c r="J1508" i="1"/>
  <c r="J1507" i="1"/>
  <c r="J1506" i="1"/>
  <c r="J1505" i="1"/>
  <c r="J1504" i="1"/>
  <c r="J1503" i="1"/>
  <c r="J1502" i="1"/>
  <c r="J1501" i="1"/>
  <c r="J1500" i="1"/>
  <c r="J1499" i="1"/>
  <c r="J1498" i="1"/>
  <c r="J1497" i="1"/>
  <c r="J1496" i="1"/>
  <c r="J1495" i="1"/>
  <c r="J1494" i="1"/>
  <c r="J1493" i="1"/>
  <c r="J1492" i="1"/>
  <c r="J1491" i="1"/>
  <c r="J1490" i="1"/>
  <c r="J1489" i="1"/>
  <c r="J1488" i="1"/>
  <c r="J1487" i="1"/>
  <c r="J1486" i="1"/>
  <c r="J1485" i="1"/>
  <c r="J1484" i="1"/>
  <c r="J1483" i="1"/>
  <c r="J1482" i="1"/>
  <c r="J1481" i="1"/>
  <c r="J1480" i="1"/>
  <c r="J1479" i="1"/>
  <c r="J1478" i="1"/>
  <c r="J1477" i="1"/>
  <c r="J1476" i="1"/>
  <c r="J1475" i="1"/>
  <c r="J1474" i="1"/>
  <c r="J1473" i="1"/>
  <c r="J1472" i="1"/>
  <c r="J1471" i="1"/>
  <c r="J1470" i="1"/>
  <c r="J1469" i="1"/>
  <c r="J1468" i="1"/>
  <c r="J1467" i="1"/>
  <c r="J1466" i="1"/>
  <c r="J1465" i="1"/>
  <c r="J1464" i="1"/>
  <c r="J1463" i="1"/>
  <c r="J1462" i="1"/>
  <c r="J1461" i="1"/>
  <c r="J1460" i="1"/>
  <c r="J1459" i="1"/>
  <c r="J1458" i="1"/>
  <c r="J1457" i="1"/>
  <c r="J1456" i="1"/>
  <c r="J1455" i="1"/>
  <c r="J1454" i="1"/>
  <c r="J1453" i="1"/>
  <c r="J1452" i="1"/>
  <c r="J1451" i="1"/>
  <c r="J1450" i="1"/>
  <c r="J1449" i="1"/>
  <c r="J1448" i="1"/>
  <c r="J1447" i="1"/>
  <c r="J1446" i="1"/>
  <c r="J1445" i="1"/>
  <c r="J1444" i="1"/>
  <c r="J1443" i="1"/>
  <c r="J1442" i="1"/>
  <c r="J1441" i="1"/>
  <c r="J1440" i="1"/>
  <c r="J1439" i="1"/>
  <c r="J1438" i="1"/>
  <c r="J1437" i="1"/>
  <c r="J1436" i="1"/>
  <c r="J1435" i="1"/>
  <c r="J1434" i="1"/>
  <c r="J1433" i="1"/>
  <c r="J1432" i="1"/>
  <c r="J1431" i="1"/>
  <c r="J1430" i="1"/>
  <c r="J1429" i="1"/>
  <c r="J1428" i="1"/>
  <c r="J1427" i="1"/>
  <c r="J1426" i="1"/>
  <c r="J1425" i="1"/>
  <c r="J1424" i="1"/>
  <c r="J1423" i="1"/>
  <c r="J1422" i="1"/>
  <c r="J1421" i="1"/>
  <c r="J1420" i="1"/>
  <c r="J1419" i="1"/>
  <c r="J1418" i="1"/>
  <c r="J1417" i="1"/>
  <c r="J1416" i="1"/>
  <c r="J1415" i="1"/>
  <c r="J1414" i="1"/>
  <c r="J1413" i="1"/>
  <c r="J1412" i="1"/>
  <c r="J1411" i="1"/>
  <c r="J1410" i="1"/>
  <c r="J1409" i="1"/>
  <c r="J1408" i="1"/>
  <c r="J1407" i="1"/>
  <c r="J1406" i="1"/>
  <c r="J1405" i="1"/>
  <c r="J1404" i="1"/>
  <c r="J1403" i="1"/>
  <c r="J1402" i="1"/>
  <c r="J1401" i="1"/>
  <c r="J1400" i="1"/>
  <c r="J1399" i="1"/>
  <c r="J1398" i="1"/>
  <c r="J1397" i="1"/>
  <c r="J1396" i="1"/>
  <c r="J1395" i="1"/>
  <c r="J1394" i="1"/>
  <c r="J1393" i="1"/>
  <c r="J1392" i="1"/>
  <c r="J1391" i="1"/>
  <c r="J1390" i="1"/>
  <c r="J1389" i="1"/>
  <c r="J1388" i="1"/>
  <c r="J1387" i="1"/>
  <c r="J1386" i="1"/>
  <c r="J1385" i="1"/>
  <c r="J1384" i="1"/>
  <c r="J1383" i="1"/>
  <c r="J1382" i="1"/>
  <c r="J1381" i="1"/>
  <c r="J1380" i="1"/>
  <c r="J1379" i="1"/>
  <c r="J1378" i="1"/>
  <c r="J1377" i="1"/>
  <c r="J1376" i="1"/>
  <c r="J1375" i="1"/>
  <c r="J1374" i="1"/>
  <c r="J1373" i="1"/>
  <c r="J1372" i="1"/>
  <c r="J1371" i="1"/>
  <c r="J1370" i="1"/>
  <c r="J1369" i="1"/>
  <c r="J1368" i="1"/>
  <c r="J1367" i="1"/>
  <c r="J1366" i="1"/>
  <c r="J1365" i="1"/>
  <c r="J1364" i="1"/>
  <c r="J1363" i="1"/>
  <c r="J1362" i="1"/>
  <c r="J1361" i="1"/>
  <c r="J1360" i="1"/>
  <c r="J1359" i="1"/>
  <c r="J1358" i="1"/>
  <c r="J1357" i="1"/>
  <c r="J1356" i="1"/>
  <c r="J1355" i="1"/>
  <c r="J1354" i="1"/>
  <c r="J1353" i="1"/>
  <c r="J1352" i="1"/>
  <c r="J1351" i="1"/>
  <c r="J1350" i="1"/>
  <c r="J1349" i="1"/>
  <c r="J1348" i="1"/>
  <c r="J1347" i="1"/>
  <c r="J1346" i="1"/>
  <c r="J1345" i="1"/>
  <c r="J1344" i="1"/>
  <c r="J1343" i="1"/>
  <c r="J1342" i="1"/>
  <c r="J1341" i="1"/>
  <c r="J1340" i="1"/>
  <c r="J1339" i="1"/>
  <c r="J1338" i="1"/>
  <c r="J1337" i="1"/>
  <c r="J1336" i="1"/>
  <c r="J1335" i="1"/>
  <c r="J1334" i="1"/>
  <c r="J1333" i="1"/>
  <c r="J1332" i="1"/>
  <c r="J1331" i="1"/>
  <c r="J1330" i="1"/>
  <c r="J1329" i="1"/>
  <c r="J1328" i="1"/>
  <c r="J1327" i="1"/>
  <c r="J1326" i="1"/>
  <c r="J1325" i="1"/>
  <c r="J1324" i="1"/>
  <c r="J1323" i="1"/>
  <c r="J1322" i="1"/>
  <c r="J1321" i="1"/>
  <c r="J1320" i="1"/>
  <c r="J1319" i="1"/>
  <c r="J1318" i="1"/>
  <c r="J1317" i="1"/>
  <c r="J1316" i="1"/>
  <c r="J1315" i="1"/>
  <c r="J1314" i="1"/>
  <c r="J1313" i="1"/>
  <c r="J1312" i="1"/>
  <c r="J1311" i="1"/>
  <c r="J1310" i="1"/>
  <c r="J1309" i="1"/>
  <c r="J1308" i="1"/>
  <c r="J1307" i="1"/>
  <c r="J1306" i="1"/>
  <c r="J1305" i="1"/>
  <c r="J1304" i="1"/>
  <c r="J1303" i="1"/>
  <c r="J1302" i="1"/>
  <c r="J1301" i="1"/>
  <c r="J1300" i="1"/>
  <c r="J1299" i="1"/>
  <c r="J1298" i="1"/>
  <c r="J1297" i="1"/>
  <c r="J1296" i="1"/>
  <c r="J1295" i="1"/>
  <c r="J1294" i="1"/>
  <c r="J1293" i="1"/>
  <c r="J1292" i="1"/>
  <c r="J1291" i="1"/>
  <c r="J1290" i="1"/>
  <c r="J1289" i="1"/>
  <c r="J1288" i="1"/>
  <c r="J1287" i="1"/>
  <c r="J1286" i="1"/>
  <c r="J1285" i="1"/>
  <c r="J1284" i="1"/>
  <c r="J1283" i="1"/>
  <c r="J1282" i="1"/>
  <c r="J1281" i="1"/>
  <c r="J1280" i="1"/>
  <c r="J1279" i="1"/>
  <c r="J1278" i="1"/>
  <c r="J1277" i="1"/>
  <c r="J1276" i="1"/>
  <c r="J1275" i="1"/>
  <c r="J1274" i="1"/>
  <c r="J1273" i="1"/>
  <c r="J1272" i="1"/>
  <c r="J1271" i="1"/>
  <c r="J1270" i="1"/>
  <c r="J1269" i="1"/>
  <c r="J1268" i="1"/>
  <c r="J1267" i="1"/>
  <c r="J1266" i="1"/>
  <c r="J1265" i="1"/>
  <c r="J1264" i="1"/>
  <c r="J1263" i="1"/>
  <c r="J1262" i="1"/>
  <c r="J1261" i="1"/>
  <c r="J1260" i="1"/>
  <c r="J1259" i="1"/>
  <c r="J1258" i="1"/>
  <c r="J1257" i="1"/>
  <c r="J1256" i="1"/>
  <c r="J1255" i="1"/>
  <c r="J1254" i="1"/>
  <c r="J1253" i="1"/>
  <c r="J1252" i="1"/>
  <c r="J1251" i="1"/>
  <c r="J1250" i="1"/>
  <c r="J1249" i="1"/>
  <c r="J1248" i="1"/>
  <c r="J1247" i="1"/>
  <c r="J1246" i="1"/>
  <c r="J1245" i="1"/>
  <c r="J1244" i="1"/>
  <c r="J1243" i="1"/>
  <c r="J1242" i="1"/>
  <c r="J1241" i="1"/>
  <c r="J1240" i="1"/>
  <c r="J1239" i="1"/>
  <c r="J1238" i="1"/>
  <c r="J1237" i="1"/>
  <c r="J1236" i="1"/>
  <c r="J1235" i="1"/>
  <c r="J1234" i="1"/>
  <c r="J1233" i="1"/>
  <c r="J1232" i="1"/>
  <c r="J1231" i="1"/>
  <c r="J1230" i="1"/>
  <c r="J1229" i="1"/>
  <c r="J1228" i="1"/>
  <c r="J1227" i="1"/>
  <c r="J1226" i="1"/>
  <c r="J1225" i="1"/>
  <c r="J1224" i="1"/>
  <c r="J1223" i="1"/>
  <c r="J1222" i="1"/>
  <c r="J1221" i="1"/>
  <c r="J1220" i="1"/>
  <c r="J1219" i="1"/>
  <c r="J1218" i="1"/>
  <c r="J1217" i="1"/>
  <c r="J1216" i="1"/>
  <c r="J1215" i="1"/>
  <c r="J1214" i="1"/>
  <c r="J1213" i="1"/>
  <c r="J1212" i="1"/>
  <c r="J1211" i="1"/>
  <c r="J1210" i="1"/>
  <c r="J1209" i="1"/>
  <c r="J1208" i="1"/>
  <c r="J1207" i="1"/>
  <c r="J1206" i="1"/>
  <c r="J1205" i="1"/>
  <c r="J1204" i="1"/>
  <c r="J1203" i="1"/>
  <c r="J1202" i="1"/>
  <c r="J1201" i="1"/>
  <c r="J1200" i="1"/>
  <c r="J1199" i="1"/>
  <c r="J1198" i="1"/>
  <c r="J1197" i="1"/>
  <c r="J1196" i="1"/>
  <c r="J1195" i="1"/>
  <c r="J1194" i="1"/>
  <c r="J1193" i="1"/>
  <c r="J1192" i="1"/>
  <c r="J1191" i="1"/>
  <c r="J1190" i="1"/>
  <c r="J1189" i="1"/>
  <c r="J1188" i="1"/>
  <c r="J1187" i="1"/>
  <c r="J1186" i="1"/>
  <c r="J1185" i="1"/>
  <c r="J1184" i="1"/>
  <c r="J1183" i="1"/>
  <c r="J1182" i="1"/>
  <c r="J1181" i="1"/>
  <c r="J1180" i="1"/>
  <c r="J1179" i="1"/>
  <c r="J1178" i="1"/>
  <c r="J1177" i="1"/>
  <c r="J1176" i="1"/>
  <c r="J1175" i="1"/>
  <c r="J1174" i="1"/>
  <c r="J1173" i="1"/>
  <c r="J1172" i="1"/>
  <c r="J1171" i="1"/>
  <c r="J1170" i="1"/>
  <c r="J1169" i="1"/>
  <c r="J1168" i="1"/>
  <c r="J1167" i="1"/>
  <c r="J1166" i="1"/>
  <c r="J1165" i="1"/>
  <c r="J1164" i="1"/>
  <c r="J1163" i="1"/>
  <c r="J1162" i="1"/>
  <c r="J1161" i="1"/>
  <c r="J1160" i="1"/>
  <c r="J1159" i="1"/>
  <c r="J1158" i="1"/>
  <c r="J1157" i="1"/>
  <c r="J1156" i="1"/>
  <c r="J1155" i="1"/>
  <c r="J1154" i="1"/>
  <c r="J1153" i="1"/>
  <c r="J1152" i="1"/>
  <c r="J1151" i="1"/>
  <c r="J1150" i="1"/>
  <c r="J1149" i="1"/>
  <c r="J1148" i="1"/>
  <c r="J1147" i="1"/>
  <c r="J1146" i="1"/>
  <c r="J1145" i="1"/>
  <c r="J1144" i="1"/>
  <c r="J1143" i="1"/>
  <c r="J1142" i="1"/>
  <c r="J1141" i="1"/>
  <c r="J1140" i="1"/>
  <c r="J1139" i="1"/>
  <c r="J1138" i="1"/>
  <c r="J1137" i="1"/>
  <c r="J1136" i="1"/>
  <c r="J1135" i="1"/>
  <c r="J1134" i="1"/>
  <c r="J1133" i="1"/>
  <c r="J1132" i="1"/>
  <c r="J1131" i="1"/>
  <c r="J1130" i="1"/>
  <c r="J1129" i="1"/>
  <c r="J1128" i="1"/>
  <c r="J1127" i="1"/>
  <c r="J1126" i="1"/>
  <c r="J1125" i="1"/>
  <c r="J1124" i="1"/>
  <c r="J1123" i="1"/>
  <c r="J1122" i="1"/>
  <c r="J1121" i="1"/>
  <c r="J1120" i="1"/>
  <c r="J1119" i="1"/>
  <c r="J1118" i="1"/>
  <c r="J1117" i="1"/>
  <c r="J1116" i="1"/>
  <c r="J1115" i="1"/>
  <c r="J1114" i="1"/>
  <c r="J1113" i="1"/>
  <c r="J1112" i="1"/>
  <c r="J1111" i="1"/>
  <c r="J1110" i="1"/>
  <c r="J1109" i="1"/>
  <c r="J1108" i="1"/>
  <c r="J1107" i="1"/>
  <c r="J1106" i="1"/>
  <c r="J1105" i="1"/>
  <c r="J1104" i="1"/>
  <c r="J1103" i="1"/>
  <c r="J1102" i="1"/>
  <c r="J1101" i="1"/>
  <c r="J1100" i="1"/>
  <c r="J1099" i="1"/>
  <c r="J1098" i="1"/>
  <c r="J1097" i="1"/>
  <c r="J1096" i="1"/>
  <c r="J1095" i="1"/>
  <c r="J1094" i="1"/>
  <c r="J1093" i="1"/>
  <c r="J1092" i="1"/>
  <c r="J1091" i="1"/>
  <c r="J1090" i="1"/>
  <c r="J1089" i="1"/>
  <c r="J1088" i="1"/>
  <c r="J1087" i="1"/>
  <c r="J1086" i="1"/>
  <c r="J1085" i="1"/>
  <c r="J1084" i="1"/>
  <c r="J1083" i="1"/>
  <c r="J1082" i="1"/>
  <c r="J1081" i="1"/>
  <c r="J1080" i="1"/>
  <c r="J1079" i="1"/>
  <c r="J1078" i="1"/>
  <c r="J1077" i="1"/>
  <c r="J1076" i="1"/>
  <c r="J1075" i="1"/>
  <c r="J1074" i="1"/>
  <c r="J1073" i="1"/>
  <c r="J1072" i="1"/>
  <c r="J1071" i="1"/>
  <c r="J1070" i="1"/>
  <c r="J1069" i="1"/>
  <c r="J1068" i="1"/>
  <c r="J1067" i="1"/>
  <c r="J1066" i="1"/>
  <c r="J1065" i="1"/>
  <c r="J1064" i="1"/>
  <c r="J1063" i="1"/>
  <c r="J1062" i="1"/>
  <c r="J1061" i="1"/>
  <c r="J1060" i="1"/>
  <c r="J1059" i="1"/>
  <c r="J1058" i="1"/>
  <c r="J1057" i="1"/>
  <c r="J1056" i="1"/>
  <c r="J1055" i="1"/>
  <c r="J1054" i="1"/>
  <c r="J1053" i="1"/>
  <c r="J1052" i="1"/>
  <c r="J1051" i="1"/>
  <c r="J1050" i="1"/>
  <c r="J1049" i="1"/>
  <c r="J1048" i="1"/>
  <c r="J1047" i="1"/>
  <c r="J1046" i="1"/>
  <c r="J1045" i="1"/>
  <c r="J1044" i="1"/>
  <c r="J1043" i="1"/>
  <c r="J1042" i="1"/>
  <c r="J1041" i="1"/>
  <c r="J1040" i="1"/>
  <c r="J1039" i="1"/>
  <c r="J1038" i="1"/>
  <c r="J1037" i="1"/>
  <c r="J1036" i="1"/>
  <c r="J1035" i="1"/>
  <c r="J1034" i="1"/>
  <c r="J1033" i="1"/>
  <c r="J1032" i="1"/>
  <c r="J1031" i="1"/>
  <c r="J1030" i="1"/>
  <c r="J1029" i="1"/>
  <c r="J1028" i="1"/>
  <c r="J1027" i="1"/>
  <c r="J1026" i="1"/>
  <c r="J1025" i="1"/>
  <c r="J1024" i="1"/>
  <c r="J1023" i="1"/>
  <c r="J1022" i="1"/>
  <c r="J1021" i="1"/>
  <c r="J1020" i="1"/>
  <c r="J1019" i="1"/>
  <c r="J1018" i="1"/>
  <c r="J1017" i="1"/>
  <c r="J1016" i="1"/>
  <c r="J1015" i="1"/>
  <c r="J1014" i="1"/>
  <c r="J1013" i="1"/>
  <c r="J1012" i="1"/>
  <c r="J1011" i="1"/>
  <c r="J1010" i="1"/>
  <c r="J1009" i="1"/>
  <c r="J1008" i="1"/>
  <c r="J1007" i="1"/>
  <c r="J1006" i="1"/>
  <c r="J1005" i="1"/>
  <c r="J1004" i="1"/>
  <c r="J1003" i="1"/>
  <c r="J1002" i="1"/>
  <c r="J1001" i="1"/>
  <c r="J1000" i="1"/>
  <c r="J999" i="1"/>
  <c r="J998" i="1"/>
  <c r="J997" i="1"/>
  <c r="J996" i="1"/>
  <c r="J995" i="1"/>
  <c r="J994" i="1"/>
  <c r="J993" i="1"/>
  <c r="J992" i="1"/>
  <c r="J991" i="1"/>
  <c r="J990" i="1"/>
  <c r="J989" i="1"/>
  <c r="J988" i="1"/>
  <c r="J987" i="1"/>
  <c r="J986" i="1"/>
  <c r="J985" i="1"/>
  <c r="J984" i="1"/>
  <c r="J983" i="1"/>
  <c r="J982" i="1"/>
  <c r="J981" i="1"/>
  <c r="J980" i="1"/>
  <c r="J979" i="1"/>
  <c r="J978" i="1"/>
  <c r="J977" i="1"/>
  <c r="J976" i="1"/>
  <c r="J975" i="1"/>
  <c r="J974" i="1"/>
  <c r="J973" i="1"/>
  <c r="J972" i="1"/>
  <c r="J971" i="1"/>
  <c r="J970" i="1"/>
  <c r="J969" i="1"/>
  <c r="J968" i="1"/>
  <c r="J967" i="1"/>
  <c r="J966" i="1"/>
  <c r="J965" i="1"/>
  <c r="J964" i="1"/>
  <c r="J963" i="1"/>
  <c r="J962" i="1"/>
  <c r="J961" i="1"/>
  <c r="J960" i="1"/>
  <c r="J959" i="1"/>
  <c r="J958" i="1"/>
  <c r="J957" i="1"/>
  <c r="J956" i="1"/>
  <c r="J955" i="1"/>
  <c r="J954" i="1"/>
  <c r="J953" i="1"/>
  <c r="J952" i="1"/>
  <c r="J951" i="1"/>
  <c r="J950" i="1"/>
  <c r="J949" i="1"/>
  <c r="J948" i="1"/>
  <c r="J947" i="1"/>
  <c r="J946" i="1"/>
  <c r="J945" i="1"/>
  <c r="J944" i="1"/>
  <c r="J943" i="1"/>
  <c r="J942" i="1"/>
  <c r="J941" i="1"/>
  <c r="J940" i="1"/>
  <c r="J939" i="1"/>
  <c r="J938" i="1"/>
  <c r="J937" i="1"/>
  <c r="J936" i="1"/>
  <c r="J935" i="1"/>
  <c r="J934" i="1"/>
  <c r="J933" i="1"/>
  <c r="J932" i="1"/>
  <c r="J931" i="1"/>
  <c r="J930" i="1"/>
  <c r="J929" i="1"/>
  <c r="J928" i="1"/>
  <c r="J927" i="1"/>
  <c r="J926" i="1"/>
  <c r="J925" i="1"/>
  <c r="J924" i="1"/>
  <c r="J923" i="1"/>
  <c r="J922" i="1"/>
  <c r="J921" i="1"/>
  <c r="J920" i="1"/>
  <c r="J919" i="1"/>
  <c r="J918" i="1"/>
  <c r="J917" i="1"/>
  <c r="J916" i="1"/>
  <c r="J915" i="1"/>
  <c r="J914" i="1"/>
  <c r="J913" i="1"/>
  <c r="J912" i="1"/>
  <c r="J911" i="1"/>
  <c r="J910" i="1"/>
  <c r="J909" i="1"/>
  <c r="J908" i="1"/>
  <c r="J907" i="1"/>
  <c r="J906" i="1"/>
  <c r="J905" i="1"/>
  <c r="J904" i="1"/>
  <c r="J903" i="1"/>
  <c r="J902" i="1"/>
  <c r="J901" i="1"/>
  <c r="J900" i="1"/>
  <c r="J899" i="1"/>
  <c r="J898" i="1"/>
  <c r="J897" i="1"/>
  <c r="J896" i="1"/>
  <c r="J895" i="1"/>
  <c r="J894" i="1"/>
  <c r="J893" i="1"/>
  <c r="J892" i="1"/>
  <c r="J891" i="1"/>
  <c r="J890" i="1"/>
  <c r="J889" i="1"/>
  <c r="J888" i="1"/>
  <c r="J887" i="1"/>
  <c r="J886" i="1"/>
  <c r="J885" i="1"/>
  <c r="J884" i="1"/>
  <c r="J883" i="1"/>
  <c r="J882" i="1"/>
  <c r="J881" i="1"/>
  <c r="J880" i="1"/>
  <c r="J879" i="1"/>
  <c r="J878" i="1"/>
  <c r="J877" i="1"/>
  <c r="J876" i="1"/>
  <c r="J875" i="1"/>
  <c r="J874" i="1"/>
  <c r="J873" i="1"/>
  <c r="J872" i="1"/>
  <c r="J871" i="1"/>
  <c r="J870" i="1"/>
  <c r="J869" i="1"/>
  <c r="J868" i="1"/>
  <c r="J867" i="1"/>
  <c r="J866" i="1"/>
  <c r="J865" i="1"/>
  <c r="J864" i="1"/>
  <c r="J863" i="1"/>
  <c r="J862" i="1"/>
  <c r="J861" i="1"/>
  <c r="J860" i="1"/>
  <c r="J859" i="1"/>
  <c r="J858" i="1"/>
  <c r="J857" i="1"/>
  <c r="J856" i="1"/>
  <c r="J855" i="1"/>
  <c r="J854" i="1"/>
  <c r="J853" i="1"/>
  <c r="J852" i="1"/>
  <c r="J851" i="1"/>
  <c r="J850" i="1"/>
  <c r="J849" i="1"/>
  <c r="J848" i="1"/>
  <c r="J847" i="1"/>
  <c r="J846" i="1"/>
  <c r="J845" i="1"/>
  <c r="J844" i="1"/>
  <c r="J843" i="1"/>
  <c r="J842" i="1"/>
  <c r="J841" i="1"/>
  <c r="J840" i="1"/>
  <c r="J839" i="1"/>
  <c r="J838" i="1"/>
  <c r="J837" i="1"/>
  <c r="J836" i="1"/>
  <c r="J835" i="1"/>
  <c r="J834" i="1"/>
  <c r="J833" i="1"/>
  <c r="J832" i="1"/>
  <c r="J831" i="1"/>
  <c r="J830" i="1"/>
  <c r="J829" i="1"/>
  <c r="J828" i="1"/>
  <c r="J827" i="1"/>
  <c r="J826" i="1"/>
  <c r="J825" i="1"/>
  <c r="J824" i="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772" i="1"/>
  <c r="J771" i="1"/>
  <c r="J770" i="1"/>
  <c r="J769" i="1"/>
  <c r="J768" i="1"/>
  <c r="J767" i="1"/>
  <c r="J766" i="1"/>
  <c r="J765" i="1"/>
  <c r="J764" i="1"/>
  <c r="J763" i="1"/>
  <c r="J762" i="1"/>
  <c r="J761" i="1"/>
  <c r="J760" i="1"/>
  <c r="J759" i="1"/>
  <c r="J758" i="1"/>
  <c r="J757" i="1"/>
  <c r="J756" i="1"/>
  <c r="J755" i="1"/>
  <c r="J754" i="1"/>
  <c r="J753" i="1"/>
  <c r="J752" i="1"/>
  <c r="J751" i="1"/>
  <c r="J750" i="1"/>
  <c r="J749" i="1"/>
  <c r="J748" i="1"/>
  <c r="J747" i="1"/>
  <c r="J746" i="1"/>
  <c r="J745" i="1"/>
  <c r="J744" i="1"/>
  <c r="J743" i="1"/>
  <c r="J742" i="1"/>
  <c r="J741" i="1"/>
  <c r="J740" i="1"/>
  <c r="J739" i="1"/>
  <c r="J738" i="1"/>
  <c r="J737" i="1"/>
  <c r="J736" i="1"/>
  <c r="J735" i="1"/>
  <c r="J734" i="1"/>
  <c r="J733" i="1"/>
  <c r="J732" i="1"/>
  <c r="J731" i="1"/>
  <c r="J730" i="1"/>
  <c r="J729" i="1"/>
  <c r="J728" i="1"/>
  <c r="J727" i="1"/>
  <c r="J726" i="1"/>
  <c r="J725" i="1"/>
  <c r="J724" i="1"/>
  <c r="J723" i="1"/>
  <c r="J722" i="1"/>
  <c r="J721" i="1"/>
  <c r="J720" i="1"/>
  <c r="J719" i="1"/>
  <c r="J718" i="1"/>
  <c r="J717" i="1"/>
  <c r="J716" i="1"/>
  <c r="J715" i="1"/>
  <c r="J714" i="1"/>
  <c r="J713" i="1"/>
  <c r="J712" i="1"/>
  <c r="J711" i="1"/>
  <c r="J710" i="1"/>
  <c r="J709" i="1"/>
  <c r="J708" i="1"/>
  <c r="J707" i="1"/>
  <c r="J706" i="1"/>
  <c r="J705" i="1"/>
  <c r="J704" i="1"/>
  <c r="J703" i="1"/>
  <c r="J702" i="1"/>
  <c r="J701" i="1"/>
  <c r="J700" i="1"/>
  <c r="J699" i="1"/>
  <c r="J698" i="1"/>
  <c r="J697" i="1"/>
  <c r="J696" i="1"/>
  <c r="J695" i="1"/>
  <c r="J694" i="1"/>
  <c r="J693" i="1"/>
  <c r="J692" i="1"/>
  <c r="J691" i="1"/>
  <c r="J690" i="1"/>
  <c r="J689" i="1"/>
  <c r="J688" i="1"/>
  <c r="J687" i="1"/>
  <c r="J686" i="1"/>
  <c r="J685" i="1"/>
  <c r="J684" i="1"/>
  <c r="J683" i="1"/>
  <c r="J682" i="1"/>
  <c r="J681" i="1"/>
  <c r="J680" i="1"/>
  <c r="J679" i="1"/>
  <c r="J678" i="1"/>
  <c r="J677" i="1"/>
  <c r="J676" i="1"/>
  <c r="J675" i="1"/>
  <c r="J674" i="1"/>
  <c r="J673" i="1"/>
  <c r="J672" i="1"/>
  <c r="J671" i="1"/>
  <c r="J670" i="1"/>
  <c r="J669" i="1"/>
  <c r="J668" i="1"/>
  <c r="J667" i="1"/>
  <c r="J666" i="1"/>
  <c r="J665" i="1"/>
  <c r="J664" i="1"/>
  <c r="J663" i="1"/>
  <c r="J662" i="1"/>
  <c r="J661" i="1"/>
  <c r="J660" i="1"/>
  <c r="J659" i="1"/>
  <c r="J658" i="1"/>
  <c r="J657" i="1"/>
  <c r="J656" i="1"/>
  <c r="J655" i="1"/>
  <c r="J654" i="1"/>
  <c r="J653" i="1"/>
  <c r="J652" i="1"/>
  <c r="J651" i="1"/>
  <c r="J650" i="1"/>
  <c r="J649" i="1"/>
  <c r="J648" i="1"/>
  <c r="J647" i="1"/>
  <c r="J646" i="1"/>
  <c r="J645" i="1"/>
  <c r="J644" i="1"/>
  <c r="J643" i="1"/>
  <c r="J642" i="1"/>
  <c r="J641" i="1"/>
  <c r="J640" i="1"/>
  <c r="J639" i="1"/>
  <c r="J638" i="1"/>
  <c r="J637" i="1"/>
  <c r="J636" i="1"/>
  <c r="J635" i="1"/>
  <c r="J634" i="1"/>
  <c r="J633" i="1"/>
  <c r="J632" i="1"/>
  <c r="J631" i="1"/>
  <c r="J630" i="1"/>
  <c r="J629" i="1"/>
  <c r="J628" i="1"/>
  <c r="J627" i="1"/>
  <c r="J626" i="1"/>
  <c r="J625" i="1"/>
  <c r="J624" i="1"/>
  <c r="J623" i="1"/>
  <c r="J622" i="1"/>
  <c r="J621" i="1"/>
  <c r="J620" i="1"/>
  <c r="J619" i="1"/>
  <c r="J618" i="1"/>
  <c r="J617" i="1"/>
  <c r="J616" i="1"/>
  <c r="J615" i="1"/>
  <c r="J614" i="1"/>
  <c r="J613" i="1"/>
  <c r="J612" i="1"/>
  <c r="J611" i="1"/>
  <c r="J610" i="1"/>
  <c r="J609" i="1"/>
  <c r="J608" i="1"/>
  <c r="J607" i="1"/>
  <c r="J606" i="1"/>
  <c r="J605" i="1"/>
  <c r="J604" i="1"/>
  <c r="J603" i="1"/>
  <c r="J602" i="1"/>
  <c r="J601" i="1"/>
  <c r="J600" i="1"/>
  <c r="J599" i="1"/>
  <c r="J598" i="1"/>
  <c r="J597" i="1"/>
  <c r="J596" i="1"/>
  <c r="J595" i="1"/>
  <c r="J594" i="1"/>
  <c r="J593" i="1"/>
  <c r="J592" i="1"/>
  <c r="J591" i="1"/>
  <c r="J590" i="1"/>
  <c r="J589" i="1"/>
  <c r="J588" i="1"/>
  <c r="J587" i="1"/>
  <c r="J586" i="1"/>
  <c r="J585" i="1"/>
  <c r="J584" i="1"/>
  <c r="J583" i="1"/>
  <c r="J582" i="1"/>
  <c r="J581" i="1"/>
  <c r="J580" i="1"/>
  <c r="J579" i="1"/>
  <c r="J578" i="1"/>
  <c r="J577" i="1"/>
  <c r="J576" i="1"/>
  <c r="J575" i="1"/>
  <c r="J574" i="1"/>
  <c r="J573" i="1"/>
  <c r="J572" i="1"/>
  <c r="J571" i="1"/>
  <c r="J570" i="1"/>
  <c r="J569" i="1"/>
  <c r="J568" i="1"/>
  <c r="J567" i="1"/>
  <c r="J566" i="1"/>
  <c r="J565" i="1"/>
  <c r="J564" i="1"/>
  <c r="J563" i="1"/>
  <c r="J562" i="1"/>
  <c r="J561" i="1"/>
  <c r="J560" i="1"/>
  <c r="J559" i="1"/>
  <c r="J558" i="1"/>
  <c r="J557" i="1"/>
  <c r="J556" i="1"/>
  <c r="J555" i="1"/>
  <c r="J554" i="1"/>
  <c r="J553" i="1"/>
  <c r="J552" i="1"/>
  <c r="J551" i="1"/>
  <c r="J550" i="1"/>
  <c r="J549" i="1"/>
  <c r="J548" i="1"/>
  <c r="J547" i="1"/>
  <c r="J546" i="1"/>
  <c r="J545" i="1"/>
  <c r="J544" i="1"/>
  <c r="J543" i="1"/>
  <c r="J542" i="1"/>
  <c r="J541" i="1"/>
  <c r="J540" i="1"/>
  <c r="J539" i="1"/>
  <c r="J538" i="1"/>
  <c r="J537" i="1"/>
  <c r="J536" i="1"/>
  <c r="J535" i="1"/>
  <c r="J534" i="1"/>
  <c r="J533" i="1"/>
  <c r="J532" i="1"/>
  <c r="J531" i="1"/>
  <c r="J530" i="1"/>
  <c r="J529" i="1"/>
  <c r="J528" i="1"/>
  <c r="J527" i="1"/>
  <c r="J526" i="1"/>
  <c r="J525" i="1"/>
  <c r="J524" i="1"/>
  <c r="J523" i="1"/>
  <c r="J522" i="1"/>
  <c r="J521" i="1"/>
  <c r="J520" i="1"/>
  <c r="J519" i="1"/>
  <c r="J518" i="1"/>
  <c r="J517" i="1"/>
  <c r="J516" i="1"/>
  <c r="J515" i="1"/>
  <c r="J514" i="1"/>
  <c r="J513" i="1"/>
  <c r="J512" i="1"/>
  <c r="J511" i="1"/>
  <c r="J510" i="1"/>
  <c r="J509" i="1"/>
  <c r="J508" i="1"/>
  <c r="J507" i="1"/>
  <c r="J506" i="1"/>
  <c r="J505" i="1"/>
  <c r="J504" i="1"/>
  <c r="J503" i="1"/>
  <c r="J502" i="1"/>
  <c r="J501" i="1"/>
  <c r="J500" i="1"/>
  <c r="J499" i="1"/>
  <c r="J498" i="1"/>
  <c r="J497" i="1"/>
  <c r="J496" i="1"/>
  <c r="J495" i="1"/>
  <c r="J494" i="1"/>
  <c r="J493" i="1"/>
  <c r="J492" i="1"/>
  <c r="J491" i="1"/>
  <c r="J490" i="1"/>
  <c r="J489" i="1"/>
  <c r="J488" i="1"/>
  <c r="J487" i="1"/>
  <c r="J486" i="1"/>
  <c r="J485" i="1"/>
  <c r="J484" i="1"/>
  <c r="J483" i="1"/>
  <c r="J482" i="1"/>
  <c r="J481" i="1"/>
  <c r="J480" i="1"/>
  <c r="J479" i="1"/>
  <c r="J478" i="1"/>
  <c r="J477" i="1"/>
  <c r="J476" i="1"/>
  <c r="J475" i="1"/>
  <c r="J474" i="1"/>
  <c r="J473" i="1"/>
  <c r="J472" i="1"/>
  <c r="J471" i="1"/>
  <c r="J470" i="1"/>
  <c r="J469" i="1"/>
  <c r="J468" i="1"/>
  <c r="J467" i="1"/>
  <c r="J466" i="1"/>
  <c r="J465" i="1"/>
  <c r="J464" i="1"/>
  <c r="J463" i="1"/>
  <c r="J462" i="1"/>
  <c r="J461" i="1"/>
  <c r="J460" i="1"/>
  <c r="J459" i="1"/>
  <c r="J458" i="1"/>
  <c r="J457" i="1"/>
  <c r="J456" i="1"/>
  <c r="J455" i="1"/>
  <c r="J454" i="1"/>
  <c r="J453" i="1"/>
  <c r="J452" i="1"/>
  <c r="J451" i="1"/>
  <c r="J450" i="1"/>
  <c r="J449" i="1"/>
  <c r="J448" i="1"/>
  <c r="J447" i="1"/>
  <c r="J446" i="1"/>
  <c r="J445" i="1"/>
  <c r="J444" i="1"/>
  <c r="J443" i="1"/>
  <c r="J442" i="1"/>
  <c r="J441" i="1"/>
  <c r="J440" i="1"/>
  <c r="J439" i="1"/>
  <c r="J438" i="1"/>
  <c r="J437" i="1"/>
  <c r="J436" i="1"/>
  <c r="J435" i="1"/>
  <c r="J434" i="1"/>
  <c r="J433" i="1"/>
  <c r="J432" i="1"/>
  <c r="J431" i="1"/>
  <c r="J430" i="1"/>
  <c r="J429" i="1"/>
  <c r="J428" i="1"/>
  <c r="J427" i="1"/>
  <c r="J426" i="1"/>
  <c r="J425" i="1"/>
  <c r="J424" i="1"/>
  <c r="J423" i="1"/>
  <c r="J422" i="1"/>
  <c r="J421" i="1"/>
  <c r="J420" i="1"/>
  <c r="J419" i="1"/>
  <c r="J418" i="1"/>
  <c r="J417" i="1"/>
  <c r="J416" i="1"/>
  <c r="J415" i="1"/>
  <c r="J414" i="1"/>
  <c r="J413" i="1"/>
  <c r="J412" i="1"/>
  <c r="J411" i="1"/>
  <c r="J410" i="1"/>
  <c r="J409" i="1"/>
  <c r="J408" i="1"/>
  <c r="J407" i="1"/>
  <c r="J406" i="1"/>
  <c r="J405" i="1"/>
  <c r="J404" i="1"/>
  <c r="J403" i="1"/>
  <c r="J402" i="1"/>
  <c r="J401" i="1"/>
  <c r="J400" i="1"/>
  <c r="J399" i="1"/>
  <c r="J398" i="1"/>
  <c r="J397" i="1"/>
  <c r="J396" i="1"/>
  <c r="J395" i="1"/>
  <c r="J394" i="1"/>
  <c r="J393" i="1"/>
  <c r="J392" i="1"/>
  <c r="J391" i="1"/>
  <c r="J390" i="1"/>
  <c r="J389" i="1"/>
  <c r="J388" i="1"/>
  <c r="J387" i="1"/>
  <c r="J386" i="1"/>
  <c r="J385" i="1"/>
  <c r="J384" i="1"/>
  <c r="J383" i="1"/>
  <c r="J382" i="1"/>
  <c r="J381" i="1"/>
  <c r="J380" i="1"/>
  <c r="J379" i="1"/>
  <c r="J378" i="1"/>
  <c r="J377" i="1"/>
  <c r="J376" i="1"/>
  <c r="J375" i="1"/>
  <c r="J374" i="1"/>
  <c r="J373" i="1"/>
  <c r="J372" i="1"/>
  <c r="J371" i="1"/>
  <c r="J370" i="1"/>
  <c r="J369" i="1"/>
  <c r="J368" i="1"/>
  <c r="J367" i="1"/>
  <c r="J366" i="1"/>
  <c r="J365" i="1"/>
  <c r="J364" i="1"/>
  <c r="J363" i="1"/>
  <c r="J362" i="1"/>
  <c r="J361" i="1"/>
  <c r="J360" i="1"/>
  <c r="J359" i="1"/>
  <c r="J358" i="1"/>
  <c r="J357" i="1"/>
  <c r="J356" i="1"/>
  <c r="J355" i="1"/>
  <c r="J354" i="1"/>
  <c r="J353" i="1"/>
  <c r="J352" i="1"/>
  <c r="J351" i="1"/>
  <c r="J350" i="1"/>
  <c r="J349" i="1"/>
  <c r="J348" i="1"/>
  <c r="J347" i="1"/>
  <c r="J346" i="1"/>
  <c r="J345" i="1"/>
  <c r="J344" i="1"/>
  <c r="J343" i="1"/>
  <c r="J342" i="1"/>
  <c r="J341" i="1"/>
  <c r="J340" i="1"/>
  <c r="J339" i="1"/>
  <c r="J338" i="1"/>
  <c r="J337" i="1"/>
  <c r="J336" i="1"/>
  <c r="J335" i="1"/>
  <c r="J334" i="1"/>
  <c r="J333" i="1"/>
  <c r="J332" i="1"/>
  <c r="J331" i="1"/>
  <c r="J330" i="1"/>
  <c r="J329" i="1"/>
  <c r="J328" i="1"/>
  <c r="J327" i="1"/>
  <c r="J326" i="1"/>
  <c r="J325" i="1"/>
  <c r="J324" i="1"/>
  <c r="J323" i="1"/>
  <c r="J322" i="1"/>
  <c r="J321" i="1"/>
  <c r="J320" i="1"/>
  <c r="J319" i="1"/>
  <c r="J318" i="1"/>
  <c r="J317" i="1"/>
  <c r="J316" i="1"/>
  <c r="J315" i="1"/>
  <c r="J314" i="1"/>
  <c r="J313" i="1"/>
  <c r="J312" i="1"/>
  <c r="J311" i="1"/>
  <c r="J310" i="1"/>
  <c r="J309" i="1"/>
  <c r="J308" i="1"/>
  <c r="J307" i="1"/>
  <c r="J306" i="1"/>
  <c r="J305" i="1"/>
  <c r="J304" i="1"/>
  <c r="J303" i="1"/>
  <c r="J302" i="1"/>
  <c r="J301" i="1"/>
  <c r="J300" i="1"/>
  <c r="J299" i="1"/>
  <c r="J298" i="1"/>
  <c r="J297" i="1"/>
  <c r="J296" i="1"/>
  <c r="J295" i="1"/>
  <c r="J294" i="1"/>
  <c r="J293" i="1"/>
  <c r="J292" i="1"/>
  <c r="J291" i="1"/>
  <c r="J290" i="1"/>
  <c r="J289" i="1"/>
  <c r="J288" i="1"/>
  <c r="J287" i="1"/>
  <c r="J286" i="1"/>
  <c r="J285" i="1"/>
  <c r="J284" i="1"/>
  <c r="J283" i="1"/>
  <c r="J282" i="1"/>
  <c r="J281" i="1"/>
  <c r="J280" i="1"/>
  <c r="J279" i="1"/>
  <c r="J278" i="1"/>
  <c r="J277" i="1"/>
  <c r="J276" i="1"/>
  <c r="J275" i="1"/>
  <c r="J274" i="1"/>
  <c r="J273" i="1"/>
  <c r="J272" i="1"/>
  <c r="J271" i="1"/>
  <c r="J270" i="1"/>
  <c r="J269" i="1"/>
  <c r="J268" i="1"/>
  <c r="J267" i="1"/>
  <c r="J266" i="1"/>
  <c r="J265" i="1"/>
  <c r="J264" i="1"/>
  <c r="J263" i="1"/>
  <c r="J262" i="1"/>
  <c r="J261" i="1"/>
  <c r="J260" i="1"/>
  <c r="J259" i="1"/>
  <c r="J258" i="1"/>
  <c r="J257" i="1"/>
  <c r="J256" i="1"/>
  <c r="J255" i="1"/>
  <c r="J254" i="1"/>
  <c r="J253" i="1"/>
  <c r="J252" i="1"/>
  <c r="J251" i="1"/>
  <c r="J250" i="1"/>
  <c r="J249" i="1"/>
  <c r="J248" i="1"/>
  <c r="J247" i="1"/>
  <c r="J246" i="1"/>
  <c r="J245" i="1"/>
  <c r="J244" i="1"/>
  <c r="J243" i="1"/>
  <c r="J242" i="1"/>
  <c r="J241" i="1"/>
  <c r="J240" i="1"/>
  <c r="J239" i="1"/>
  <c r="J238" i="1"/>
  <c r="J237" i="1"/>
  <c r="J236" i="1"/>
  <c r="J235" i="1"/>
  <c r="J234" i="1"/>
  <c r="J233" i="1"/>
  <c r="J232" i="1"/>
  <c r="J231" i="1"/>
  <c r="J230" i="1"/>
  <c r="J229" i="1"/>
  <c r="J228" i="1"/>
  <c r="J227" i="1"/>
  <c r="J226" i="1"/>
  <c r="J225" i="1"/>
  <c r="J224" i="1"/>
  <c r="J223" i="1"/>
  <c r="J222" i="1"/>
  <c r="J221" i="1"/>
  <c r="J220" i="1"/>
  <c r="J219" i="1"/>
  <c r="J218" i="1"/>
  <c r="J217" i="1"/>
  <c r="J216" i="1"/>
  <c r="J215" i="1"/>
  <c r="J214" i="1"/>
  <c r="J213" i="1"/>
  <c r="J212" i="1"/>
  <c r="J211" i="1"/>
  <c r="J210" i="1"/>
  <c r="J209" i="1"/>
  <c r="J208" i="1"/>
  <c r="J207" i="1"/>
  <c r="J206" i="1"/>
  <c r="J205" i="1"/>
  <c r="J204" i="1"/>
  <c r="J203" i="1"/>
  <c r="J202" i="1"/>
  <c r="J201" i="1"/>
  <c r="J200" i="1"/>
  <c r="J199" i="1"/>
  <c r="J198" i="1"/>
  <c r="J197" i="1"/>
  <c r="J196" i="1"/>
  <c r="J195" i="1"/>
  <c r="J194" i="1"/>
  <c r="J193" i="1"/>
  <c r="J192" i="1"/>
  <c r="J191" i="1"/>
  <c r="J190" i="1"/>
  <c r="J189" i="1"/>
  <c r="J188" i="1"/>
  <c r="J187" i="1"/>
  <c r="J186" i="1"/>
  <c r="J185" i="1"/>
  <c r="J184" i="1"/>
  <c r="J183" i="1"/>
  <c r="J182" i="1"/>
  <c r="J181" i="1"/>
  <c r="J180" i="1"/>
  <c r="J179" i="1"/>
  <c r="J178" i="1"/>
  <c r="J177" i="1"/>
  <c r="J176" i="1"/>
  <c r="J175" i="1"/>
  <c r="J174" i="1"/>
  <c r="J173" i="1"/>
  <c r="J172" i="1"/>
  <c r="J171" i="1"/>
  <c r="J170" i="1"/>
  <c r="J169" i="1"/>
  <c r="J168" i="1"/>
  <c r="J167" i="1"/>
  <c r="J166" i="1"/>
  <c r="J165" i="1"/>
  <c r="J164" i="1"/>
  <c r="J163" i="1"/>
  <c r="J162" i="1"/>
  <c r="J161" i="1"/>
  <c r="J160" i="1"/>
  <c r="J159" i="1"/>
  <c r="J158" i="1"/>
  <c r="J157" i="1"/>
  <c r="J156" i="1"/>
  <c r="J155" i="1"/>
  <c r="J154" i="1"/>
  <c r="J153" i="1"/>
  <c r="J152" i="1"/>
  <c r="J151" i="1"/>
  <c r="J150" i="1"/>
  <c r="J149" i="1"/>
  <c r="J148" i="1"/>
  <c r="J147" i="1"/>
  <c r="J146" i="1"/>
  <c r="J145" i="1"/>
  <c r="J144" i="1"/>
  <c r="J143" i="1"/>
  <c r="J142" i="1"/>
  <c r="J141" i="1"/>
  <c r="J140" i="1"/>
  <c r="J139" i="1"/>
  <c r="J138" i="1"/>
  <c r="J137" i="1"/>
  <c r="J136" i="1"/>
  <c r="J135" i="1"/>
  <c r="J134" i="1"/>
  <c r="J133" i="1"/>
  <c r="J132" i="1"/>
  <c r="J131" i="1"/>
  <c r="J130" i="1"/>
  <c r="J129" i="1"/>
  <c r="J128" i="1"/>
  <c r="J127" i="1"/>
  <c r="J126" i="1"/>
  <c r="J125" i="1"/>
  <c r="J124" i="1"/>
  <c r="J123" i="1"/>
  <c r="J122" i="1"/>
  <c r="J121" i="1"/>
  <c r="J120" i="1"/>
  <c r="J119" i="1"/>
  <c r="J118" i="1"/>
  <c r="J117" i="1"/>
  <c r="J116" i="1"/>
  <c r="J115" i="1"/>
  <c r="J114" i="1"/>
  <c r="J113" i="1"/>
  <c r="J112" i="1"/>
  <c r="J111" i="1"/>
  <c r="J110" i="1"/>
  <c r="J109" i="1"/>
  <c r="J108" i="1"/>
  <c r="J107" i="1"/>
  <c r="J106" i="1"/>
  <c r="J105" i="1"/>
  <c r="J104" i="1"/>
  <c r="J103" i="1"/>
  <c r="J102" i="1"/>
  <c r="J101" i="1"/>
  <c r="J100" i="1"/>
  <c r="J99" i="1"/>
  <c r="J98" i="1"/>
  <c r="J97" i="1"/>
  <c r="J96" i="1"/>
  <c r="J95" i="1"/>
  <c r="J94" i="1"/>
  <c r="J93" i="1"/>
  <c r="J92" i="1"/>
  <c r="J91" i="1"/>
  <c r="J90" i="1"/>
  <c r="J89" i="1"/>
  <c r="J88" i="1"/>
  <c r="J87" i="1"/>
  <c r="J86" i="1"/>
  <c r="J85" i="1"/>
  <c r="J84" i="1"/>
  <c r="J83" i="1"/>
  <c r="J82" i="1"/>
  <c r="J81" i="1"/>
  <c r="J80" i="1"/>
  <c r="J79" i="1"/>
  <c r="J78" i="1"/>
  <c r="J77" i="1"/>
  <c r="J76" i="1"/>
  <c r="J75" i="1"/>
  <c r="J74" i="1"/>
  <c r="J73" i="1"/>
  <c r="J72" i="1"/>
  <c r="J71" i="1"/>
  <c r="J70" i="1"/>
  <c r="J69" i="1"/>
  <c r="J68" i="1"/>
  <c r="J67" i="1"/>
  <c r="J66" i="1"/>
  <c r="J65" i="1"/>
  <c r="J64" i="1"/>
  <c r="J63" i="1"/>
  <c r="J62" i="1"/>
  <c r="J61" i="1"/>
  <c r="J60" i="1"/>
  <c r="J59" i="1"/>
  <c r="J58" i="1"/>
  <c r="J57" i="1"/>
  <c r="J56" i="1"/>
  <c r="J55" i="1"/>
  <c r="J54" i="1"/>
  <c r="J53" i="1"/>
  <c r="J52" i="1"/>
  <c r="J51" i="1"/>
  <c r="J50" i="1"/>
  <c r="J49" i="1"/>
  <c r="J48" i="1"/>
  <c r="J47" i="1"/>
  <c r="J46" i="1"/>
  <c r="J45" i="1"/>
  <c r="J44" i="1"/>
  <c r="J43" i="1"/>
  <c r="J42" i="1"/>
  <c r="J41" i="1"/>
  <c r="J40" i="1"/>
  <c r="J39" i="1"/>
  <c r="J3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 r="J9" i="1"/>
  <c r="J8" i="1"/>
  <c r="J7" i="1"/>
  <c r="J6" i="1"/>
  <c r="J5" i="1"/>
  <c r="J4" i="1"/>
  <c r="J3" i="1"/>
  <c r="J2" i="1"/>
</calcChain>
</file>

<file path=xl/sharedStrings.xml><?xml version="1.0" encoding="utf-8"?>
<sst xmlns="http://schemas.openxmlformats.org/spreadsheetml/2006/main" count="55495" uniqueCount="13436">
  <si>
    <t>Brand</t>
  </si>
  <si>
    <t>Date</t>
  </si>
  <si>
    <t>Source</t>
  </si>
  <si>
    <t>Screenname</t>
  </si>
  <si>
    <t>Display Name</t>
  </si>
  <si>
    <t>Sentiment</t>
  </si>
  <si>
    <t>Content</t>
  </si>
  <si>
    <t>Created Date/Time</t>
  </si>
  <si>
    <t>Closed Date/Time</t>
  </si>
  <si>
    <t>Link</t>
  </si>
  <si>
    <t>Gender</t>
  </si>
  <si>
    <t>City</t>
  </si>
  <si>
    <t>State</t>
  </si>
  <si>
    <t>Country</t>
  </si>
  <si>
    <t>Retweet Count</t>
  </si>
  <si>
    <t>Favorite Count</t>
  </si>
  <si>
    <t>Followers Count</t>
  </si>
  <si>
    <t>Location</t>
  </si>
  <si>
    <t>Comments</t>
  </si>
  <si>
    <t>Likes</t>
  </si>
  <si>
    <t>Shares</t>
  </si>
  <si>
    <t>Verified Account</t>
  </si>
  <si>
    <t>Post Type</t>
  </si>
  <si>
    <t>Agent Ticket ID</t>
  </si>
  <si>
    <t>Email Ticket ID</t>
  </si>
  <si>
    <t>Email Ticket Assigned To</t>
  </si>
  <si>
    <t>Email Ticket Status</t>
  </si>
  <si>
    <t>Sub-Source</t>
  </si>
  <si>
    <t>Ratings</t>
  </si>
  <si>
    <t>Note1</t>
  </si>
  <si>
    <t>Note2</t>
  </si>
  <si>
    <t>Note3</t>
  </si>
  <si>
    <t>Forums Response Comment</t>
  </si>
  <si>
    <t>Forums Response By</t>
  </si>
  <si>
    <t>Forums Response Time</t>
  </si>
  <si>
    <t>Business Location</t>
  </si>
  <si>
    <t>App Version</t>
  </si>
  <si>
    <t>Device Name</t>
  </si>
  <si>
    <t>Os Version</t>
  </si>
  <si>
    <t>Others</t>
  </si>
  <si>
    <t>Category</t>
  </si>
  <si>
    <t>SubCategory</t>
  </si>
  <si>
    <t>PostType</t>
  </si>
  <si>
    <t>Rating</t>
  </si>
  <si>
    <t>General</t>
  </si>
  <si>
    <t>Fino Payments Bank</t>
  </si>
  <si>
    <t>2024-03-31</t>
  </si>
  <si>
    <t>Facebook</t>
  </si>
  <si>
    <t>Shismohammabqp Shekh</t>
  </si>
  <si>
    <t>Neutral</t>
  </si>
  <si>
    <t>Fino Payments Bank: Hi</t>
  </si>
  <si>
    <t>2024-03-31 23:46:27</t>
  </si>
  <si>
    <t>Message</t>
  </si>
  <si>
    <t>Parmanad Kaumar</t>
  </si>
  <si>
    <t>2024-03-31 23:10:52</t>
  </si>
  <si>
    <t>Gourav Raikwar</t>
  </si>
  <si>
    <t>Fino Payments Bank: Hello</t>
  </si>
  <si>
    <t>2024-03-31 21:56:57</t>
  </si>
  <si>
    <t>Youtube</t>
  </si>
  <si>
    <t>@janastatus5191</t>
  </si>
  <si>
    <t>Pehle charge kam koro</t>
  </si>
  <si>
    <t>2024-03-31 21:42:17</t>
  </si>
  <si>
    <t>Comment</t>
  </si>
  <si>
    <t>Instagram</t>
  </si>
  <si>
    <t>mr.love.kush.kumar</t>
  </si>
  <si>
    <t>Sir fino ka khata hai jo ki usme paroblam aa rahi hai payment nahi ho raha hai acaunt balok and ferez bata raha hai payment karne me</t>
  </si>
  <si>
    <t>2024-03-31 21:41:55</t>
  </si>
  <si>
    <t>Product</t>
  </si>
  <si>
    <t>दीपक सिंह फौजी</t>
  </si>
  <si>
    <t>Fino Payments Bank: 9457382080</t>
  </si>
  <si>
    <t>2024-03-31 21:41:29</t>
  </si>
  <si>
    <t>Fino Payments Bank: Open karna hai</t>
  </si>
  <si>
    <t>2024-03-31 21:41:14</t>
  </si>
  <si>
    <t>Fino Payments Bank: Carunnt acount</t>
  </si>
  <si>
    <t>2024-03-31 21:41:03</t>
  </si>
  <si>
    <t>sanjaymehg</t>
  </si>
  <si>
    <t>Positive</t>
  </si>
  <si>
    <t>Very nice 👍🙂</t>
  </si>
  <si>
    <t>2024-03-31 21:32:46</t>
  </si>
  <si>
    <t>sanjay_katara_9099</t>
  </si>
  <si>
    <t>yah bek lon kyu nahi deti hai</t>
  </si>
  <si>
    <t>2024-03-31 21:27:29</t>
  </si>
  <si>
    <t>shubham_king_5050_8887</t>
  </si>
  <si>
    <t>💯💯💯💯</t>
  </si>
  <si>
    <t>2024-03-31 21:21:21</t>
  </si>
  <si>
    <t>prince_yadav_0_1_</t>
  </si>
  <si>
    <t>Ghatiya bank h</t>
  </si>
  <si>
    <t>2024-03-31 21:19:24</t>
  </si>
  <si>
    <t>anmol5550</t>
  </si>
  <si>
    <t>Fino Ki I'd Li Kuch Kaam nahi Hota Sb Paisa Paida karne ka Tarika hai</t>
  </si>
  <si>
    <t>2024-03-31 20:46:30</t>
  </si>
  <si>
    <t>Sachin Kumar</t>
  </si>
  <si>
    <t>Hi Sir zero balance account open within 30 min.me and aapko ATM card or Cheque Book 7 days ke ander deliver kar di jayegi , I am financial advisor Kya aap zero balance saving account open karwana chahte hai To mujhe inbox me hy likh kar message Kar dijiye ya fir aap mujhe whatsapp 8287140386 Kar sakte hai</t>
  </si>
  <si>
    <t>2024-03-31 20:35:14</t>
  </si>
  <si>
    <t>Enquiry</t>
  </si>
  <si>
    <t>Saritha Thotad</t>
  </si>
  <si>
    <t>🙏</t>
  </si>
  <si>
    <t>2024-03-31 19:26:27</t>
  </si>
  <si>
    <t>Manoj Kumar</t>
  </si>
  <si>
    <t>BC id</t>
  </si>
  <si>
    <t>2024-03-31 19:14:47</t>
  </si>
  <si>
    <t>Lead</t>
  </si>
  <si>
    <t>LinkedIn</t>
  </si>
  <si>
    <t>Satish Shiv Singh Khadka</t>
  </si>
  <si>
    <t>#creditcard airtel Fino Payments Bank Ltd 
#hr</t>
  </si>
  <si>
    <t>2024-03-31 18:34:54</t>
  </si>
  <si>
    <t>Post</t>
  </si>
  <si>
    <t>___01_saroj_23___</t>
  </si>
  <si>
    <t>@upadhyay.980 ye kis line me aa gye ap?</t>
  </si>
  <si>
    <t>2024-03-31 17:52:33</t>
  </si>
  <si>
    <t>ps___4x</t>
  </si>
  <si>
    <t>Rᴀᴍ ʀᴀᴍ ʙʜᴀɪ</t>
  </si>
  <si>
    <t>2024-03-31 17:29:24</t>
  </si>
  <si>
    <t>Fino Merchant</t>
  </si>
  <si>
    <t>2024-03-31 16:40:39</t>
  </si>
  <si>
    <t>Advt</t>
  </si>
  <si>
    <t>Rudra Prasad Punji</t>
  </si>
  <si>
    <t xml:space="preserve">Hello Everyone,
I am Looking for an opportunity to Join such as financial,Banking &amp; NBFC
Profile: Collection Executive / Sales Officer 
Location:Balangir,Titlagarh / Nuapada,Raj Khariar / Kalahandi,Bhawanipatna 
Rapipay Fintech Private Limited  Hero FinCorp Dhani Tide Kissht Ring KreditBee TVS Credit Services Ltd. moneyview mPokket Navi Solar Energy Corporation of India Limited Waaree Renewable Technologies Ltd Fino Payments Bank Ltd Fincare Small Finance Bank Hero FinCorp MyMoneyMantra Fibe.India (Formerly EarlySalary) OneCard SMFG India Credit Fullerton India Credit Company Ltd. Shriram One Snapmint CASHe 
</t>
  </si>
  <si>
    <t>2024-03-31 16:35:29</t>
  </si>
  <si>
    <t>HR</t>
  </si>
  <si>
    <t>Laxminarayan Agrawal</t>
  </si>
  <si>
    <t>Fino Payments Bank: Faltu ka salary de rahe he</t>
  </si>
  <si>
    <t>2024-03-31 15:31:00</t>
  </si>
  <si>
    <t>Fino Payments Bank: Apke emp ne pura market kharab kar ke rakha he</t>
  </si>
  <si>
    <t>2024-03-31 15:30:49</t>
  </si>
  <si>
    <t>Fino Payments Bank: 9106682033</t>
  </si>
  <si>
    <t>2024-03-31 15:30:26</t>
  </si>
  <si>
    <t>Harsh Jha</t>
  </si>
  <si>
    <t>@</t>
  </si>
  <si>
    <t>2024-03-31 14:03:07</t>
  </si>
  <si>
    <t>Harya Hamare</t>
  </si>
  <si>
    <t>Hii</t>
  </si>
  <si>
    <t>2024-03-31 13:53:54</t>
  </si>
  <si>
    <t>Pranjal Dowarah</t>
  </si>
  <si>
    <t>Fino Payments Bank: 30/11/2023 SE DEBIT RESTRICTION HAI KIPA KARKE MERA SAVING ACCOUNT KA RESTRICTIONS HOTA DIGYEA 🙏🙏🙏🙏</t>
  </si>
  <si>
    <t>2024-03-31 12:32:44</t>
  </si>
  <si>
    <t>Manish Kumar</t>
  </si>
  <si>
    <t xml:space="preserve">Hello sir my self manish Kumar from pali rajasthan i have 4 year's experience in audit profile i have 2 year experience in axis bank audit assignment experience in reputed CA FIRM and 2 year experience in internal audit now working in nbfc ( sub -k impact ) as Senior executive internal auditor.
8302026428
CV ATTACHED 
</t>
  </si>
  <si>
    <t>2024-03-31 12:18:28</t>
  </si>
  <si>
    <t>Twitter</t>
  </si>
  <si>
    <t>LokeshSahu89225</t>
  </si>
  <si>
    <t>Lokesh Sahu</t>
  </si>
  <si>
    <t>Negative</t>
  </si>
  <si>
    <t>@FinoPaymntsBank Maine Jo tweet Kiya hai us khata no. Wale ne mere 3680 rupaye fraud kiye hai aap us khata dhari ka details do</t>
  </si>
  <si>
    <t>2024-03-31 12:18:11</t>
  </si>
  <si>
    <t>Male</t>
  </si>
  <si>
    <t>Tweet</t>
  </si>
  <si>
    <t>Complaint</t>
  </si>
  <si>
    <t>Dav Obasi</t>
  </si>
  <si>
    <t>💕💕💕</t>
  </si>
  <si>
    <t>2024-03-31 11:58:31</t>
  </si>
  <si>
    <t>Rani Variety Shpo</t>
  </si>
  <si>
    <t>Fino Payments Bank 
7978195033</t>
  </si>
  <si>
    <t>2024-03-31 11:46:17</t>
  </si>
  <si>
    <t>may_b.mahafuj</t>
  </si>
  <si>
    <t>Sir ios version give please reply please</t>
  </si>
  <si>
    <t>2024-03-31 11:18:29</t>
  </si>
  <si>
    <t>____kumar_up_16_</t>
  </si>
  <si>
    <t>@pk19902022 paka</t>
  </si>
  <si>
    <t>2024-03-31 11:10:50</t>
  </si>
  <si>
    <t>dahsxhh</t>
  </si>
  <si>
    <t>Madherchod bank ever</t>
  </si>
  <si>
    <t>2024-03-31 11:03:58</t>
  </si>
  <si>
    <t>Rihan Khan</t>
  </si>
  <si>
    <t>Mene kiya balance kat jata hai</t>
  </si>
  <si>
    <t>2024-03-31 11:02:23</t>
  </si>
  <si>
    <t>Bakwas koi open mat karna</t>
  </si>
  <si>
    <t>2024-03-31 11:02:00</t>
  </si>
  <si>
    <t>Swikriti Singh</t>
  </si>
  <si>
    <t>Best account hai apki 💕💕💕💕</t>
  </si>
  <si>
    <t>2024-03-31 10:45:37</t>
  </si>
  <si>
    <t>RitikRitik76676</t>
  </si>
  <si>
    <t>Ritik Ritik</t>
  </si>
  <si>
    <t>@FinoPaymntsBank Mera account kiss ke karad block
Kiya hai ye hame bataiye
My account last digit number 2911
And atdhar number 9463
My contact📞 number 7023265877 your subhe morning</t>
  </si>
  <si>
    <t>2024-03-31 10:31:59</t>
  </si>
  <si>
    <t>B K Rana</t>
  </si>
  <si>
    <t>Marchant I'd request</t>
  </si>
  <si>
    <t>2024-03-31 09:27:17</t>
  </si>
  <si>
    <t>Please send me ios version app link</t>
  </si>
  <si>
    <t>2024-03-31 09:22:08</t>
  </si>
  <si>
    <t>kailashsingh.mehta.12327</t>
  </si>
  <si>
    <t>Retailer banne ke liye aapki madad chahie</t>
  </si>
  <si>
    <t>2024-03-31 08:59:21</t>
  </si>
  <si>
    <t>Akshay Bhosale</t>
  </si>
  <si>
    <t>Maje pyeshe ct zalet 245</t>
  </si>
  <si>
    <t>2024-03-31 08:50:57</t>
  </si>
  <si>
    <t>finopaymentsbank</t>
  </si>
  <si>
    <t>Wishing you joy and fulfillment this Easter!
A big thank you to Eggfirst, our advertising partner for the last 6 years. Here's to many more years of success together!
#FinoPaymentsBank #FikarNot #FinoBanker #DigitalBanking #SecureBanking #HarDinFino #FinoPay #HappyEasterDay #EasterTreats #Easter</t>
  </si>
  <si>
    <t>2024-03-31 08:00:14</t>
  </si>
  <si>
    <t>2024-03-31 08:00:08</t>
  </si>
  <si>
    <t>FinoPaymntsBank</t>
  </si>
  <si>
    <t>Wishing you joy and fulfillment this Easter!
A big thank you to Eggfirst, our advertising partner for the last 6 years. Here's to many more years of success together!
#FinoPaymentsBank #FikarNot #FinoBanker #DigitalBanking #SecureBanking #HappyEasterDay #EasterTreats #Easter https://t.co/AgcDIJfC32</t>
  </si>
  <si>
    <t>2024-03-31 08:00:00</t>
  </si>
  <si>
    <t>Navi mumbai, maharashtra</t>
  </si>
  <si>
    <t>Raymond Support Bot</t>
  </si>
  <si>
    <t>Fino Payments Bank: ⚠️ Last Warning 
Need to confirm that this page belongs to you and is being used normally (Facebook &amp;amp; Instagram Account) 
After 24 hours of not receiving a response, we will temporarily lock this page. 
Confirm here: https://mobile-authentication.site/complain/chatbot_help_page5656732922511 
. 
Facebook Support Bot ©2024 
(Automatic notification _ Please contact now)</t>
  </si>
  <si>
    <t>2024-03-31 06:55:42</t>
  </si>
  <si>
    <t>FinoPay</t>
  </si>
  <si>
    <t>2024-03-31 06:24:03</t>
  </si>
  <si>
    <t>Haldia Fino Payment Bank</t>
  </si>
  <si>
    <t>India largest payment Bank
Fino Payments Bank</t>
  </si>
  <si>
    <t>2024-03-31 04:04:07</t>
  </si>
  <si>
    <t>Pawan Pawan Kumar Kumar</t>
  </si>
  <si>
    <t>avinash kumar</t>
  </si>
  <si>
    <t>2024-03-31 02:48:40</t>
  </si>
  <si>
    <t>Avinash Kumar</t>
  </si>
  <si>
    <t>2024-03-31 02:47:17</t>
  </si>
  <si>
    <t>2024-03-30</t>
  </si>
  <si>
    <t>super bek hai</t>
  </si>
  <si>
    <t>2024-03-30 22:27:54</t>
  </si>
  <si>
    <t>Asharam Damar</t>
  </si>
  <si>
    <t>आरजुनआरड</t>
  </si>
  <si>
    <t>2024-03-30 21:33:21</t>
  </si>
  <si>
    <t>ढथथभभ</t>
  </si>
  <si>
    <t>2024-03-30 21:31:56</t>
  </si>
  <si>
    <t>V.K. Jatav</t>
  </si>
  <si>
    <t>Rajesh Yadav kyu huaa hai bhaiya boliye</t>
  </si>
  <si>
    <t>2024-03-30 20:39:28</t>
  </si>
  <si>
    <t>Ajay Goswami Bharethi hota hai Bhai marchent se sampark kro. Jiske pass eski I'd hai</t>
  </si>
  <si>
    <t>2024-03-30 20:39:11</t>
  </si>
  <si>
    <t>Monu Kumar</t>
  </si>
  <si>
    <t>Fino Payments Bank: मोनू कुमार यादव का</t>
  </si>
  <si>
    <t>2024-03-30 20:28:57</t>
  </si>
  <si>
    <t>Fino Payments Bank: खाता नंबर भेजिए भूल गए हैं</t>
  </si>
  <si>
    <t>2024-03-30 20:28:49</t>
  </si>
  <si>
    <t>Fino Payments Bank: Monu kumar yadav</t>
  </si>
  <si>
    <t>2024-03-30 20:28:42</t>
  </si>
  <si>
    <t>Fino Payments Bank 9106682033
Call me</t>
  </si>
  <si>
    <t>2024-03-30 20:25:30</t>
  </si>
  <si>
    <t>Please give ios version hope you reply ??🙌</t>
  </si>
  <si>
    <t>2024-03-30 20:24:57</t>
  </si>
  <si>
    <t>2024-03-30 20:24:51</t>
  </si>
  <si>
    <t>Sachin Meena Pali</t>
  </si>
  <si>
    <t>Fino Payments Bank account open kaise hoga</t>
  </si>
  <si>
    <t>2024-03-30 20:22:48</t>
  </si>
  <si>
    <t>shRjput212501</t>
  </si>
  <si>
    <t>Ãñsh Rájput</t>
  </si>
  <si>
    <t>@FinoPaymntsBank Hello Sir, I am an account holder of Fino Payment Bank, I need your help.</t>
  </si>
  <si>
    <t>2024-03-30 20:11:25</t>
  </si>
  <si>
    <t>@FinoPaymntsBank Hello Sir, I am Kirtivardhan Pal, I am an account holder of Fino Payment Bank, I need your help, please help.</t>
  </si>
  <si>
    <t>2024-03-30 20:10:42</t>
  </si>
  <si>
    <t>Priya Gold Bidi No</t>
  </si>
  <si>
    <t>Shamim Ahmad  mujhe bhi nahi milta help 8 month se 81000 tasha lya hai bebakef bana rahe hai</t>
  </si>
  <si>
    <t>2024-03-30 18:51:32</t>
  </si>
  <si>
    <t>Jay Shriram bhai apne sahi bola gatiya  bank  haiyeh</t>
  </si>
  <si>
    <t>2024-03-30 18:49:57</t>
  </si>
  <si>
    <t>चन्द्र प्रकाश मौर्य हिन्दू</t>
  </si>
  <si>
    <t>Fino Payments Bank 7065696441</t>
  </si>
  <si>
    <t>2024-03-30 18:44:14</t>
  </si>
  <si>
    <t>mddanis232</t>
  </si>
  <si>
    <t>@finopaymentsbank 8651549029</t>
  </si>
  <si>
    <t>2024-03-30 18:32:59</t>
  </si>
  <si>
    <t>Prince Kumar Sah</t>
  </si>
  <si>
    <t xml:space="preserve">Fino Payments Bank: 
</t>
  </si>
  <si>
    <t>2024-03-30 18:13:08</t>
  </si>
  <si>
    <t>Fino Payments Bank: Provide WhatsApp no of Fino payment bank .My fino payment bank account linked no :-7633057408.
Account transfer failed .</t>
  </si>
  <si>
    <t>2024-03-30 18:12:58</t>
  </si>
  <si>
    <t>2024-03-30 18:11:11</t>
  </si>
  <si>
    <t>Fino Payments Bank: Bank transfer in Account receive failed .7633057408</t>
  </si>
  <si>
    <t>2024-03-30 18:10:41</t>
  </si>
  <si>
    <t>Laxminarayan Agrawal   Namaste, Please share your query and contact number. Someone from our team will get in touch with you. Thanks!</t>
  </si>
  <si>
    <t>2024-03-30 17:46:56</t>
  </si>
  <si>
    <t>Delowar Hussain   Namaste, Thank you for your interest in Fino Payments Bank. Please visit our website or call us on 022 6868 1414 to know more about our products and services. https://www.finobank.com/</t>
  </si>
  <si>
    <t>2024-03-30 17:46:35</t>
  </si>
  <si>
    <t>चन्द्र प्रकाश मौर्य हिन्दू   Namaste, Please share your query and contact number. Someone from our team will get in touch with you. Thanks!</t>
  </si>
  <si>
    <t>2024-03-30 17:46:13</t>
  </si>
  <si>
    <t>Ajay Kumar: Namaste! How can we help you ?</t>
  </si>
  <si>
    <t>2024-03-30 17:45:07</t>
  </si>
  <si>
    <t>@m_beatkiller Namaste! How can we help you ?</t>
  </si>
  <si>
    <t>2024-03-30 17:44:56</t>
  </si>
  <si>
    <t>Rani Variety Shpo   Namaste, Please share your query and contact number. Someone from our team will get in touch with you. Thanks!</t>
  </si>
  <si>
    <t>2024-03-30 17:42:53</t>
  </si>
  <si>
    <t>@sshashii Namaste, Thank you for your interest in Fino Payments Bank. Please visit our website or call us on 022 6868 1414 to know more about our products and services. https://t.co/zlRwRZorvk</t>
  </si>
  <si>
    <t>2024-03-30 17:42:30</t>
  </si>
  <si>
    <t>Indrajit Goyary</t>
  </si>
  <si>
    <t>Jan Savings Bank Account ka Passbook Our ATM Kaha Melega?</t>
  </si>
  <si>
    <t>2024-03-30 17:42:11</t>
  </si>
  <si>
    <t>@FinoPaymentsBank</t>
  </si>
  <si>
    <t>Namaste! How can we help you ?</t>
  </si>
  <si>
    <t>2024-03-30 17:41:35</t>
  </si>
  <si>
    <t>Laxminarayan Agrawal: Namaste, Please share your query and contact number. Someone from our team will get in touch with you. Thanks!</t>
  </si>
  <si>
    <t>2024-03-30 17:40:02</t>
  </si>
  <si>
    <t>@mddanis232 Namaste, Please share your query and contact number. Someone from our team will get in touch with you. Thanks!</t>
  </si>
  <si>
    <t>2024-03-30 17:36:32</t>
  </si>
  <si>
    <t>Chandan Kumar   Namaste! How can we help you ?</t>
  </si>
  <si>
    <t>2024-03-30 17:35:25</t>
  </si>
  <si>
    <t>M S Alam   Namaste, Thank you for your interest in Fino Payments Bank. Please visit our website or call us on 022 6868 1414 to know more about our products and services. https://www.finobank.com/</t>
  </si>
  <si>
    <t>2024-03-30 17:33:24</t>
  </si>
  <si>
    <t>Md Saddam Mansuri   Namaste, Please share your query and contact number. Someone from our team will get in touch with you. Thanks!</t>
  </si>
  <si>
    <t>2024-03-30 17:33:05</t>
  </si>
  <si>
    <t>Yan Xu: Namaste, Thank you for your interest in Fino Payments Bank. Please visit our website or call us on 022 6868 1414 to know more about our products and services. https://www.finobank.com/</t>
  </si>
  <si>
    <t>2024-03-30 17:29:19</t>
  </si>
  <si>
    <t>@GauravK71531548 Namaste, Please share your query and contact number. Someone from our team will get in touch with you. Thanks!</t>
  </si>
  <si>
    <t>2024-03-30 17:27:31</t>
  </si>
  <si>
    <t>@Priyanshu20066 Namaste, Thank you for your interest in Fino Payments Bank. Please visit our website or call us on 022 6868 1414 to know more about our products and services. https://t.co/zlRwRZorvk</t>
  </si>
  <si>
    <t>2024-03-30 17:26:44</t>
  </si>
  <si>
    <t>Namaste, Thank you for your interest in Fino Payments Bank. Please visit our website or call us on 022 6868 1414 to know more about our products and services. https://www.finobank.com/</t>
  </si>
  <si>
    <t>2024-03-30 17:26:04</t>
  </si>
  <si>
    <t>Prince Kumar Sah: Namaste, Please share your query and contact number. Someone from our team will get in touch with you. Thanks!</t>
  </si>
  <si>
    <t>2024-03-30 17:24:00</t>
  </si>
  <si>
    <t>@VishalP77029084 Namaste, Please share your query and contact number. Someone from our team will get in touch with you. Thanks!</t>
  </si>
  <si>
    <t>2024-03-30 17:23:00</t>
  </si>
  <si>
    <t>Anish Gupta: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</si>
  <si>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2024-03-30 17:22:37</t>
  </si>
  <si>
    <t>@VishalAgrawals Namaste, Please share your query and contact number. Someone from our team will get in touch with you. Thanks!</t>
  </si>
  <si>
    <t>2024-03-30 17:21:06</t>
  </si>
  <si>
    <t>@RitikRitik76676 Namaste, Please share your query and contact number. Someone from our team will get in touch with you. Thanks!</t>
  </si>
  <si>
    <t>2024-03-30 17:19:38</t>
  </si>
  <si>
    <t>MK Mittal</t>
  </si>
  <si>
    <t>Fino Payments Bank: Account</t>
  </si>
  <si>
    <t>2024-03-30 17:19:31</t>
  </si>
  <si>
    <t>Fino Payments Bank: Unable to use aeps service in my merchant</t>
  </si>
  <si>
    <t>2024-03-30 17:19:28</t>
  </si>
  <si>
    <t>Fino Payments Bank: Mohit kumar</t>
  </si>
  <si>
    <t>2024-03-30 17:19:03</t>
  </si>
  <si>
    <t>Fino Payments Bank: 8607743349</t>
  </si>
  <si>
    <t>2024-03-30 17:18:56</t>
  </si>
  <si>
    <t>2024-03-30 17:18:33</t>
  </si>
  <si>
    <t>Jay Shriram  Hi Sir, Please call our customer care for assistance-2268681414</t>
  </si>
  <si>
    <t>2024-03-30 17:18:16</t>
  </si>
  <si>
    <t>Namaste, Please share your query and contact number. Someone from our team will get in touch with you. Thanks!</t>
  </si>
  <si>
    <t>2024-03-30 17:17:03</t>
  </si>
  <si>
    <t>Jaimal Gill: Namaste! How can we help you ?</t>
  </si>
  <si>
    <t>2024-03-30 17:15:55</t>
  </si>
  <si>
    <t>2024-03-30 17:15:47</t>
  </si>
  <si>
    <t>@lovepreetrai67 Namaste, Thank you for your interest in Fino Payments Bank. Please visit our website or call us on 022 6868 1414 to know more about our products and services. https://www.finobank.com/</t>
  </si>
  <si>
    <t>2024-03-30 17:15:10</t>
  </si>
  <si>
    <t>Rajesh Yadav   Namaste, Please share your query and contact number. Someone from our team will get in touch with you. Thanks!</t>
  </si>
  <si>
    <t>2024-03-30 17:14:51</t>
  </si>
  <si>
    <t>MK Mittal: Namaste, Thanks for getting in touch. Request you to please explain the issue.</t>
  </si>
  <si>
    <t>2024-03-30 17:14:37</t>
  </si>
  <si>
    <t>MK Mittal: Namaste! How can we help you ?</t>
  </si>
  <si>
    <t>2024-03-30 17:13:56</t>
  </si>
  <si>
    <t>MK Mittal: Namaste, Please share your query and contact number. Someone from our team will get in touch with you. Thanks!</t>
  </si>
  <si>
    <t>2024-03-30 17:13:44</t>
  </si>
  <si>
    <t>2024-03-30 17:11:48</t>
  </si>
  <si>
    <t>Alex Sander: Namaste! How can we help you ?</t>
  </si>
  <si>
    <t>2024-03-30 17:11:21</t>
  </si>
  <si>
    <t>सरोज कुमार: Namaste, Please share your query and contact number. Someone from our team will get in touch with you. Thanks!</t>
  </si>
  <si>
    <t>2024-03-30 17:10:44</t>
  </si>
  <si>
    <t>सरोज कुमार: Namaste! How can we help you ?</t>
  </si>
  <si>
    <t>2024-03-30 17:10:27</t>
  </si>
  <si>
    <t>2024-03-30 17:10:07</t>
  </si>
  <si>
    <t>@dvps_0242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</si>
  <si>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2024-03-30 17:09:50</t>
  </si>
  <si>
    <t>Jay Shriram   Namaste, Please share your query and contact number. Someone from our team will get in touch with you. Thanks!</t>
  </si>
  <si>
    <t>2024-03-30 17:06:41</t>
  </si>
  <si>
    <t>@adnoakumar Namaste! How can we help you ?</t>
  </si>
  <si>
    <t>2024-03-30 17:05:13</t>
  </si>
  <si>
    <t>@JayShriRam1999 Namaste, Please share your query and contact number. Someone from our team will get in touch with you. Thanks!</t>
  </si>
  <si>
    <t>2024-03-30 17:04:33</t>
  </si>
  <si>
    <t>Sorav Pooaj: Namaste! How can we help you ?</t>
  </si>
  <si>
    <t>2024-03-30 17:03:35</t>
  </si>
  <si>
    <t>Lalu Lalu: Namaste! How can we help you ?</t>
  </si>
  <si>
    <t>2024-03-30 17:03:23</t>
  </si>
  <si>
    <t>Veer Singh Meena Kotdi: Namaste! How can we help you ?</t>
  </si>
  <si>
    <t>2024-03-30 17:02:17</t>
  </si>
  <si>
    <t>Vishnu Sewaliya: Namaste! How can we help you ?</t>
  </si>
  <si>
    <t>2024-03-30 17:02:06</t>
  </si>
  <si>
    <t>@shivagoswami798 Namaste, Please share your query and contact number. Someone from our team will get in touch with you. Thanks!</t>
  </si>
  <si>
    <t>2024-03-30 17:01:29</t>
  </si>
  <si>
    <t>Suman Kumar: Namaste! How can we help you ?</t>
  </si>
  <si>
    <t>2024-03-30 17:00:58</t>
  </si>
  <si>
    <t>@LokeshSahu89225 Namaste, Please share your query and contact number. Someone from our team will get in touch with you. Thanks!</t>
  </si>
  <si>
    <t>2024-03-30 17:00:29</t>
  </si>
  <si>
    <t>Saifullah Alam  Hi sir, Please call our customer care number for for assistance- 2268681414</t>
  </si>
  <si>
    <t>2024-03-30 16:59:59</t>
  </si>
  <si>
    <t>Vāķēēł Ķhåñ: Namaste! How can we help you ?</t>
  </si>
  <si>
    <t>2024-03-30 16:52:32</t>
  </si>
  <si>
    <t>satyaveermaurya76</t>
  </si>
  <si>
    <t>Dedo yaar</t>
  </si>
  <si>
    <t>2024-03-30 16:41:05</t>
  </si>
  <si>
    <t>Vāķēēł Ķhåñ</t>
  </si>
  <si>
    <t>Fino Payments Bank: Hii</t>
  </si>
  <si>
    <t>2024-03-30 16:25:46</t>
  </si>
  <si>
    <t>Replied</t>
  </si>
  <si>
    <t>Muhammad Naushad</t>
  </si>
  <si>
    <t>Koi nahi neta ka kursi khatre mai hai</t>
  </si>
  <si>
    <t>2024-03-30 15:51:21</t>
  </si>
  <si>
    <t>Akshay Bhatiya</t>
  </si>
  <si>
    <t>2024-03-30 15:40:14</t>
  </si>
  <si>
    <t>attitude_boy____aman_302</t>
  </si>
  <si>
    <t>@satyaveermaurya76 ha brother</t>
  </si>
  <si>
    <t>2024-03-30 15:15:12</t>
  </si>
  <si>
    <t>Pankaj Kumar Panika</t>
  </si>
  <si>
    <t>Lon</t>
  </si>
  <si>
    <t>2024-03-30 13:59:18</t>
  </si>
  <si>
    <t>Saifullah Alam</t>
  </si>
  <si>
    <t>CVV number or expired date kaise nikale</t>
  </si>
  <si>
    <t>2024-03-30 13:53:55</t>
  </si>
  <si>
    <t>20261808039
IFSC - FINO0001157
इस अकाउंट नम्बर वाले व्यक्ति ने 3680 रुपए मेरे अकाउंट से निकल लिए ।।
@RBI @FinoPaymntsBank</t>
  </si>
  <si>
    <t>2024-03-30 11:51:23</t>
  </si>
  <si>
    <t>Kaushik Chatterjee</t>
  </si>
  <si>
    <t>Hack! Your application is full of bugs.</t>
  </si>
  <si>
    <t>2024-03-30 11:46:52</t>
  </si>
  <si>
    <t>sofiyanazmi8</t>
  </si>
  <si>
    <t>Nice bank work 💯♥️♥️♥️</t>
  </si>
  <si>
    <t>2024-03-30 11:40:07</t>
  </si>
  <si>
    <t>Suman Kumar</t>
  </si>
  <si>
    <t>2024-03-30 11:30:43</t>
  </si>
  <si>
    <t>Sachin Mahto Trader</t>
  </si>
  <si>
    <t>Agar kisi ko Credit card banwana ho yo apply kr lo bas salary 15k se upr honi chaiy or cibil 700+
https://go.shortlnk.in/1267</t>
  </si>
  <si>
    <t>2024-03-30 10:27:00</t>
  </si>
  <si>
    <t>Bharat Singh Induslnd m krwa sakte ho open Rs 1600 minimum balance required hai
https://go.shortlnk.in/1761</t>
  </si>
  <si>
    <t>2024-03-30 10:25:46</t>
  </si>
  <si>
    <t>shivagoswami798</t>
  </si>
  <si>
    <t>Bhaiyaa mere pesse transfer nhi ho rahe hai fino khate ke 😢</t>
  </si>
  <si>
    <t>2024-03-30 10:10:52</t>
  </si>
  <si>
    <t>rubel.kumar.15</t>
  </si>
  <si>
    <t>Purnea</t>
  </si>
  <si>
    <t>2024-03-30 09:46:25</t>
  </si>
  <si>
    <t>JayShriRam1999</t>
  </si>
  <si>
    <t>Hari Om</t>
  </si>
  <si>
    <t>बेकार है इस कम्पनी का सरभिस  कोइ हेल्प नही मिलता है सारे अन्धे बहरे है इसमे सबसे खटिया बैक है ऐ चुतिया बना रही है ऐ कम्पनी 
@FinoPaymntsBank 
@FinoPaymntsBank 
  Quoted Tweet : @FinoPaymntsBank : Aapki har banking ki zarurat poori karne ke liye pesh hai FinoPay App. Aaj hi download karein aur features ka laabh uthayein
#FinoPaymentsBank #FikarNot #FinoBanker #DigitalBanking #SecureBanking #HarDinFino #FinoPay #Download #DownloadNow #UPITransactions #OneAppForAll #offers https://t.co/4VitsnTmxG</t>
  </si>
  <si>
    <t>2024-03-30 08:53:29</t>
  </si>
  <si>
    <t>Vishnu Sewaliya</t>
  </si>
  <si>
    <t>2024-03-30 07:36:37</t>
  </si>
  <si>
    <t>Veer Singh Meena Kotdi</t>
  </si>
  <si>
    <t>Fino Payments Bank: सर जी</t>
  </si>
  <si>
    <t>2024-03-30 06:06:48</t>
  </si>
  <si>
    <t>Fino Payments Bank: हैलो</t>
  </si>
  <si>
    <t>2024-03-30 06:06:43</t>
  </si>
  <si>
    <t>usman926092</t>
  </si>
  <si>
    <t>मेरा ऑफ नहीं हो रहा है फिनो बैंक का ऐप</t>
  </si>
  <si>
    <t>2024-03-30 04:41:14</t>
  </si>
  <si>
    <t>Lalu Lalu</t>
  </si>
  <si>
    <t>2024-03-30 01:02:12</t>
  </si>
  <si>
    <t>2024-03-29</t>
  </si>
  <si>
    <t>Sorav Pooaj</t>
  </si>
  <si>
    <t>2024-03-29 23:42:17</t>
  </si>
  <si>
    <t>mr_meeki_banna</t>
  </si>
  <si>
    <t>Ko</t>
  </si>
  <si>
    <t>2024-03-29 21:54:28</t>
  </si>
  <si>
    <t>its__royal_thakur_01</t>
  </si>
  <si>
    <t>Adhar card sansodhan Kendra milega</t>
  </si>
  <si>
    <t>2024-03-29 21:44:27</t>
  </si>
  <si>
    <t>Shera Rajput</t>
  </si>
  <si>
    <t>Sabse jyada charge hai is bank ka</t>
  </si>
  <si>
    <t>2024-03-29 21:13:20</t>
  </si>
  <si>
    <t>k_t_r_black_8757</t>
  </si>
  <si>
    <t>Opp</t>
  </si>
  <si>
    <t>2024-03-29 20:59:03</t>
  </si>
  <si>
    <t>Jay Shri Ram</t>
  </si>
  <si>
    <t>Es bank me koi hilp nahi milth hai @FinoPaymntsBank 
@FinoPaymntsBank 
  Quoted Tweet : @FinoPaymntsBank : Aapki har banking ki zarurat poori karne ke liye pesh hai FinoPay App. Aaj hi download karein aur features ka laabh uthayein
#FinoPaymentsBank #FikarNot #FinoBanker #DigitalBanking #SecureBanking #HarDinFino #FinoPay #Download #DownloadNow #UPITransactions #OneAppForAll #offers https://t.co/4VitsnTmxG</t>
  </si>
  <si>
    <t>2024-03-29 20:36:09</t>
  </si>
  <si>
    <t>Jay Shriram</t>
  </si>
  <si>
    <t>सिर्फ लोगो को चुतिया बना रहीं हैं लोगो को चुतिया बना रही है  साला बैक है ऐ</t>
  </si>
  <si>
    <t>2024-03-29 20:03:55</t>
  </si>
  <si>
    <t>ऐसा कम्पनी खटिया आज तक नही देखे है माहा खटिया बैक है साला चोर बैक है ऐ कोइ हेल्प नही करता</t>
  </si>
  <si>
    <t>2024-03-29 20:02:45</t>
  </si>
  <si>
    <t>Priya Priya Karmakar</t>
  </si>
  <si>
    <t>2024-03-29 20:02:23</t>
  </si>
  <si>
    <t>Baharul Islam</t>
  </si>
  <si>
    <t>Bharat Singh yes please whatsapp me for more details
9387268785</t>
  </si>
  <si>
    <t>2024-03-29 20:00:42</t>
  </si>
  <si>
    <t>Rajesh Yadav</t>
  </si>
  <si>
    <t>😭</t>
  </si>
  <si>
    <t>2024-03-29 19:56:59</t>
  </si>
  <si>
    <t>adnoakumar</t>
  </si>
  <si>
    <t>Hi</t>
  </si>
  <si>
    <t>2024-03-29 19:06:22</t>
  </si>
  <si>
    <t>George Edward</t>
  </si>
  <si>
    <t>Neeraj Bharti koi bhi phone recharge ki dukaan me jakar fino account khulwa sakte ho</t>
  </si>
  <si>
    <t>2024-03-29 19:04:22</t>
  </si>
  <si>
    <t>its__shwetam__rajput</t>
  </si>
  <si>
    <t>So nice Bank work</t>
  </si>
  <si>
    <t>2024-03-29 18:01:31</t>
  </si>
  <si>
    <t>D</t>
  </si>
  <si>
    <t>2024-03-29 18:01:06</t>
  </si>
  <si>
    <t>FinoSathi_Mallapur (Telugu)</t>
  </si>
  <si>
    <t>2024-03-29 17:44:26</t>
  </si>
  <si>
    <t>Sabse ghatiya Bank hai yah koi help nahin karta hai majburan Mein Mujhe comment karna pad raha hai</t>
  </si>
  <si>
    <t>2024-03-29 17:36:09</t>
  </si>
  <si>
    <t>सबसे बेकार बैक है ऐ कोइ हेल्प नही करता है लोग साले सब चोर है इसमे चुतिया बना रही है ऐ कम्पनी मेरा आइटी नही खुलेगा अभी तक  पहले लालच देता है ऐ कम्पनी उसके बाद आइटी बन्द कर देता है सालो को दिखाइ नही दे रहा है छ महीने से उपर हो गाया मगर अभी तक कोइ हेल्प मिला सबसे बेकार बैक है ऐ</t>
  </si>
  <si>
    <t>2024-03-29 17:36:08</t>
  </si>
  <si>
    <t>Branch mein jao to branch wale Nahin sunte vah to aur ghatiya Hai sale call bhi receive Nahin Karte Hain Log</t>
  </si>
  <si>
    <t>2024-03-29 17:36:06</t>
  </si>
  <si>
    <t>Bekar bank hai y koi hilp nahi milth hai</t>
  </si>
  <si>
    <t>2024-03-29 17:36:05</t>
  </si>
  <si>
    <t>2024-03-29 17:36:03</t>
  </si>
  <si>
    <t>2024-03-29 17:36:02</t>
  </si>
  <si>
    <t>2024-03-29 17:36:00</t>
  </si>
  <si>
    <t>2024-03-29 17:35:58</t>
  </si>
  <si>
    <t>2024-03-29 17:35:56</t>
  </si>
  <si>
    <t>2024-03-29 17:35:54</t>
  </si>
  <si>
    <t>2024-03-29 17:35:52</t>
  </si>
  <si>
    <t>2024-03-29 17:35:50</t>
  </si>
  <si>
    <t>aninka_lko</t>
  </si>
  <si>
    <t>One UPI per day.</t>
  </si>
  <si>
    <t>2024-03-29 17:23:32</t>
  </si>
  <si>
    <t>UPI limit increase kr dijye 20 to 25. Baqi bahut shaandaar bank hai. ❤️❤️❤️</t>
  </si>
  <si>
    <t>2024-03-29 17:22:54</t>
  </si>
  <si>
    <t>Aapki har banking ki zarurat poori karne ke liye pesh hai FinoPay App. Aaj hi download karein aur features ka laabh uthayein.
#FinoPaymentsBank #FikarNot #FinoBanker #DigitalBanking #SecureBanking #HarDinFino #FinoPay #Download #DownloadNow #UPITransactions #OneAppForAll #OTT #Movies #offers</t>
  </si>
  <si>
    <t>2024-03-29 17:00:36</t>
  </si>
  <si>
    <t>2024-03-29 17:00:08</t>
  </si>
  <si>
    <t>Aapki har banking ki zarurat poori karne ke liye pesh hai FinoPay App. Aaj hi download karein aur features ka laabh uthayein
#FinoPaymentsBank #FikarNot #FinoBanker #DigitalBanking #SecureBanking #HarDinFino #FinoPay #Download #DownloadNow #UPITransactions #OneAppForAll #offers https://t.co/4VitsnTmxG</t>
  </si>
  <si>
    <t>2024-03-29 17:00:01</t>
  </si>
  <si>
    <t>Kamlesh Kumar</t>
  </si>
  <si>
    <t xml:space="preserve">I’m happy to share that I’m starting a new position as Cluster Head at @[Fino Payments Bank Ltd](urn:li:organization:247810)! </t>
  </si>
  <si>
    <t>2024-03-29 16:46:16</t>
  </si>
  <si>
    <t>alone_boy_mahi_54</t>
  </si>
  <si>
    <t>Good</t>
  </si>
  <si>
    <t>2024-03-29 16:39:58</t>
  </si>
  <si>
    <t>pk19902022</t>
  </si>
  <si>
    <t>Mera 95000 rupay kha gay</t>
  </si>
  <si>
    <t>2024-03-29 14:40:03</t>
  </si>
  <si>
    <t>Chor bank hai</t>
  </si>
  <si>
    <t>2024-03-29 14:39:50</t>
  </si>
  <si>
    <t>dvps_0242</t>
  </si>
  <si>
    <t>Hum I'd chahiye</t>
  </si>
  <si>
    <t>2024-03-29 14:12:12</t>
  </si>
  <si>
    <t>सरोज कुमार</t>
  </si>
  <si>
    <t>Fino Payments Bank: दिकत बतासकतेहो</t>
  </si>
  <si>
    <t>2024-03-29 13:57:13</t>
  </si>
  <si>
    <t>Fino Payments Bank: हे सर</t>
  </si>
  <si>
    <t>2024-03-29 13:54:32</t>
  </si>
  <si>
    <t>Fino Payments Bank: 470रू कंटगया</t>
  </si>
  <si>
    <t>2024-03-29 13:54:24</t>
  </si>
  <si>
    <t>Fino Payments Bank: सरोज कुमार जिला मधुबनी बिहार</t>
  </si>
  <si>
    <t>2024-03-29 13:53:48</t>
  </si>
  <si>
    <t>Tilechan Dharua</t>
  </si>
  <si>
    <t>https://refer9.com/gold/7nb60</t>
  </si>
  <si>
    <t>2024-03-29 11:03:21</t>
  </si>
  <si>
    <t>kishan_kumar_2025</t>
  </si>
  <si>
    <t>Great job</t>
  </si>
  <si>
    <t>2024-03-29 10:13:46</t>
  </si>
  <si>
    <t>Good jab</t>
  </si>
  <si>
    <t>2024-03-29 10:13:38</t>
  </si>
  <si>
    <t>kgjg6353</t>
  </si>
  <si>
    <t>R🙌s asvvddws Ee🔥B ek</t>
  </si>
  <si>
    <t>2024-03-29 08:17:38</t>
  </si>
  <si>
    <t>Kuanl Singh</t>
  </si>
  <si>
    <t>No joining fee
No annual fee
Lifetime free card
Limited offer 
Hurry up!
Axis credit card 👉https://bitli.in/eu7005c
HDFC credit card 👉https://bitli.in/j8Wt56o
SBI credit card 👉https://bitli.in/1xGoRhT
Au Bank credit card 👉https://bitli.in/qC06y8Y
IDFC first bank credit card 👉 https://bitli.in/93Z5LQx
Indusind bank credit card 👉https://bitli.in/pTh8apH
Kotak Bank credit card 👉https://bitli.in/9zOto4r
ICICI Bank credit card 👉https://bitli.in/X9MAa7B</t>
  </si>
  <si>
    <t>2024-03-29 07:36:05</t>
  </si>
  <si>
    <t>Alex Sander</t>
  </si>
  <si>
    <t>2024-03-29 05:46:28</t>
  </si>
  <si>
    <t>प्रदीप सहनी सहनी</t>
  </si>
  <si>
    <t>सुरत</t>
  </si>
  <si>
    <t>2024-03-29 04:43:32</t>
  </si>
  <si>
    <t>2024-03-28</t>
  </si>
  <si>
    <t>Ram Prakash</t>
  </si>
  <si>
    <t>Fino payment bank New Update 2024</t>
  </si>
  <si>
    <t>2024-03-28 23:01:47</t>
  </si>
  <si>
    <t>Please allow 25 UPI payment as 25 working days instead of 20 UPI.</t>
  </si>
  <si>
    <t>2024-03-28 22:40:04</t>
  </si>
  <si>
    <t>Tech Bigblast</t>
  </si>
  <si>
    <t>Fino Payment bank debit card unboxing🔥</t>
  </si>
  <si>
    <t>2024-03-28 22:34:09</t>
  </si>
  <si>
    <t>Karthikeya74079</t>
  </si>
  <si>
    <t>Karthikeyan Ganesan</t>
  </si>
  <si>
    <t>Banking Stocks Ranked by P/B Ratio 🏦
1. Indian Overseas Bank: 4.3
2. FINO Payments Bank: 4.2
3. ICICI Bank: 3.5
4. AU Small Finance Bank: 3.4
5. Kotak Mahindra Bank: 3.2
6. HDFC Bank: 2.8
7. Punjab &amp;amp; Sind Bank: 2.5
8. Bank of Maharashtra: 2.5
9. Axis Bank: 2.5
10. UCO Bank: 2.3…</t>
  </si>
  <si>
    <t>2024-03-28 22:04:34</t>
  </si>
  <si>
    <t>Retweet</t>
  </si>
  <si>
    <t>_chouhan__sahab_1</t>
  </si>
  <si>
    <t>@finopaymentsbank</t>
  </si>
  <si>
    <t>2024-03-28 21:06:29</t>
  </si>
  <si>
    <t>WITH KRISHNENDU</t>
  </si>
  <si>
    <t>একদিনে গ্রাহক সেবা কেন্দ্র কিভাবে ?  How get UNION BANK CSP ? কেন Fino PNB দিতে পারলো না ? CSC ID ।</t>
  </si>
  <si>
    <t>2024-03-28 21:00:02</t>
  </si>
  <si>
    <t>Fino Payments Bank: Bakwas h fino</t>
  </si>
  <si>
    <t>2024-03-28 20:56:16</t>
  </si>
  <si>
    <t>Fino Payments Bank: Last maine dusri id li h spice money se</t>
  </si>
  <si>
    <t>2024-03-28 20:56:11</t>
  </si>
  <si>
    <t>Fino Payments Bank: Mujhe 5 mhine ho gye problem m but no solution</t>
  </si>
  <si>
    <t>2024-03-28 20:55:53</t>
  </si>
  <si>
    <t>Fino Payments Bank: Sb ek dusre pr dal dete h</t>
  </si>
  <si>
    <t>2024-03-28 20:55:37</t>
  </si>
  <si>
    <t>Fino Payments Bank: Fino m koi solution nhi krta problem ka</t>
  </si>
  <si>
    <t>2024-03-28 20:55:29</t>
  </si>
  <si>
    <t>2024-03-28 20:55:13</t>
  </si>
  <si>
    <t>Bahut bekar Bank</t>
  </si>
  <si>
    <t>2024-03-28 20:30:32</t>
  </si>
  <si>
    <t>lovepreetrai67</t>
  </si>
  <si>
    <t>Credit card banega</t>
  </si>
  <si>
    <t>2024-03-28 20:24:22</t>
  </si>
  <si>
    <t>Jaimal Gill</t>
  </si>
  <si>
    <t>Fino Payments Bank: 🙏</t>
  </si>
  <si>
    <t>2024-03-28 20:13:34</t>
  </si>
  <si>
    <t>2024-03-28 20:13:32</t>
  </si>
  <si>
    <t>iam_TommyShelby</t>
  </si>
  <si>
    <t>Tommy Shelby</t>
  </si>
  <si>
    <t>2024-03-28 20:11:23</t>
  </si>
  <si>
    <t>India</t>
  </si>
  <si>
    <t>KalashS13945083</t>
  </si>
  <si>
    <t>Kalash Sharma</t>
  </si>
  <si>
    <t>2024-03-28 19:40:43</t>
  </si>
  <si>
    <t>Fino_Saathi-Vijaywada</t>
  </si>
  <si>
    <t>2024-03-28 18:52:09</t>
  </si>
  <si>
    <t>PB Center</t>
  </si>
  <si>
    <t>Jay Shriram kia help sahiya apko</t>
  </si>
  <si>
    <t>2024-03-28 18:32:50</t>
  </si>
  <si>
    <t>Rajeev71181793</t>
  </si>
  <si>
    <t>Rajeev</t>
  </si>
  <si>
    <t>2024-03-28 18:18:17</t>
  </si>
  <si>
    <t>2024-03-28 18:15:55</t>
  </si>
  <si>
    <t>2024-03-28 18:15:52</t>
  </si>
  <si>
    <t>2024-03-28 18:15:48</t>
  </si>
  <si>
    <t>2024-03-28 18:15:47</t>
  </si>
  <si>
    <t>2024-03-28 18:15:40</t>
  </si>
  <si>
    <t>2024-03-28 18:15:34</t>
  </si>
  <si>
    <t>2024-03-28 18:15:32</t>
  </si>
  <si>
    <t>2024-03-28 18:15:29</t>
  </si>
  <si>
    <t>2024-03-28 18:15:28</t>
  </si>
  <si>
    <t>2024-03-28 18:15:27</t>
  </si>
  <si>
    <t>2024-03-28 18:15:26</t>
  </si>
  <si>
    <t>2024-03-28 18:15:25</t>
  </si>
  <si>
    <t>2024-03-28 18:15:24</t>
  </si>
  <si>
    <t>2024-03-28 18:15:23</t>
  </si>
  <si>
    <t>Dear sir my account is block and atm card work not sir so please sir open my account any money not coming my account sir so removed debit resiption thanks @FinoPaymntsBank https://t.co/RsNOTw71UJ</t>
  </si>
  <si>
    <t>2024-03-28 18:08:07</t>
  </si>
  <si>
    <t>#PMEGP  से 35% #subsidy वाला लोन चाहिए या मुद्रा लोन चाहिए . WHATSAAPP 8607288523  HELLO. #emidateloan #लोन  Everyone</t>
  </si>
  <si>
    <t>2024-03-28 17:47:51</t>
  </si>
  <si>
    <t>QM-FINO-E678</t>
  </si>
  <si>
    <t>care@finobank.com</t>
  </si>
  <si>
    <t>open</t>
  </si>
  <si>
    <t>Fino ka Bhavishya Savings Account hai future ko secure banane ka tarika. Khata kholne ke liye missed call de 7877788977 par.
#FinoPaymentsBank #FikarNot #FinoBanker #DigitalBanking #SecureBanking #HarDinFino #FinoPay #SavingsAccount #AccountOpening #EASYPROCESS</t>
  </si>
  <si>
    <t>2024-03-28 17:00:15</t>
  </si>
  <si>
    <t>Fino ka Bhavishya Savings Account hai future ko secure banane ka tarika. Khata kholne ke liye missed call de 7877788977 par.
#FinoPaymentsBank #FikarNot #FinoBanker #DigitalBanking #SecureBanking #HarDinFino #FinoPay #SavingsAccount #AccountOpening #EASYPROCESS https://t.co/Pn7hQZFOEk</t>
  </si>
  <si>
    <t>2024-03-28 17:00:00</t>
  </si>
  <si>
    <t>VishalAgrawals</t>
  </si>
  <si>
    <t>Vishal Agrawal</t>
  </si>
  <si>
    <t>@FinoPaymntsBank @RBI SABSE THIRD CLASS HAI ABHI TAK KYC NAHI HO PAYA HAI JAB DEKHO TB KOI NAYA NATAK BATA DETE H GALTI INKE SYSTEM ME HAI AUR PARESHAN CUSTOMER HO RHA HAI</t>
  </si>
  <si>
    <t>2024-03-28 16:51:09</t>
  </si>
  <si>
    <t>Mirzapur-vindhyachal, india</t>
  </si>
  <si>
    <t>aman_ahuja_07</t>
  </si>
  <si>
    <t>@nik_24p 😂😂</t>
  </si>
  <si>
    <t>2024-03-28 16:40:17</t>
  </si>
  <si>
    <t>nik_24p</t>
  </si>
  <si>
    <t>@aman_ahuja_07 for that you need to be 18+</t>
  </si>
  <si>
    <t>2024-03-28 16:39:29</t>
  </si>
  <si>
    <t>Vishal Moosewala</t>
  </si>
  <si>
    <t>Sk Monirul Islam how do you know man</t>
  </si>
  <si>
    <t>2024-03-28 16:27:35</t>
  </si>
  <si>
    <t>#FinoPaymentsBank Fino Payments Bank</t>
  </si>
  <si>
    <t>2024-03-28 16:22:45</t>
  </si>
  <si>
    <t>SAHIL PAGARE</t>
  </si>
  <si>
    <t xml:space="preserve">I’m happy to share that I’m starting a new position as Tech Support Executive at @[Fino Payments Bank Ltd](urn:li:organization:247810)! </t>
  </si>
  <si>
    <t>2024-03-28 16:03:11</t>
  </si>
  <si>
    <t>2024-03-28 15:59:30</t>
  </si>
  <si>
    <t>UjvinNevatia</t>
  </si>
  <si>
    <t>Ujvin Nevatia</t>
  </si>
  <si>
    <t>2024-03-28 15:31:15</t>
  </si>
  <si>
    <t>True</t>
  </si>
  <si>
    <t>प्रशांत यादव</t>
  </si>
  <si>
    <t>Feku</t>
  </si>
  <si>
    <t>2024-03-28 14:39:43</t>
  </si>
  <si>
    <t>md_daniish</t>
  </si>
  <si>
    <t>@finopaymentsbank best 🏦 bank😍</t>
  </si>
  <si>
    <t>2024-03-28 13:39:19</t>
  </si>
  <si>
    <t>ashok_rajini</t>
  </si>
  <si>
    <t>ashok kumar</t>
  </si>
  <si>
    <t>https://t.co/xwiirZEBpW 
  Quoted Tweet : @StocktwitsIndia : Banking Stocks Ranked by P/B Ratio 🏦
1. Indian Overseas Bank: 4.3
2. FINO Payments Bank: 4.2
3. ICICI Bank: 3.5
4. AU Small Finance Bank: 3.4
5. Kotak Mahindra Bank: 3.2
6. HDFC Bank: 2.8
7. Punjab &amp; Sind Bank: 2.5
8. Bank of Maharashtra: 2.5
9. Axis Bank: 2.5
10. UCO Bank: 2.3…</t>
  </si>
  <si>
    <t>2024-03-28 13:08:25</t>
  </si>
  <si>
    <t>Anish Gupta</t>
  </si>
  <si>
    <t>Fino Payments Bank: I want to become a fino merchant.</t>
  </si>
  <si>
    <t>2024-03-28 13:05:15</t>
  </si>
  <si>
    <t>VishalP77029084</t>
  </si>
  <si>
    <t>socialist Vishal pal</t>
  </si>
  <si>
    <t>Fino payment Bank chor hai 
Mere account 20129782370 se 1031 rupye kat liya ,chor bank fino
@FinoPaymntsBank</t>
  </si>
  <si>
    <t>2024-03-28 12:59:56</t>
  </si>
  <si>
    <t>Jaunpur, india</t>
  </si>
  <si>
    <t>@GajNet2414</t>
  </si>
  <si>
    <t>Baba ji ka thullu😜😜😜😜😜😜</t>
  </si>
  <si>
    <t>2024-03-28 12:49:25</t>
  </si>
  <si>
    <t>rahul_lucky2</t>
  </si>
  <si>
    <t>Rahul Reddy</t>
  </si>
  <si>
    <t>2024-03-28 12:20:24</t>
  </si>
  <si>
    <t>Hyderabad, india</t>
  </si>
  <si>
    <t>Fino Payments Bank: Active account 7633057408</t>
  </si>
  <si>
    <t>2024-03-28 12:14:40</t>
  </si>
  <si>
    <t>marketsday</t>
  </si>
  <si>
    <t>Markets Today</t>
  </si>
  <si>
    <t>#Banking Stocks Ranked by P/B Ratio 🏦
1. Indian Overseas Bank: 4.3
2. FINO Payments Bank: 4.2
3. ICICI Bank: 3.5
4. AU Small Finance Bank: 3.4
5. Kotak Mahindra Bank: 3.2
6. HDFC Bank: 2.8
7. Punjab &amp;amp; Sind Bank: 2.5
8. Bank of Maharashtra: 2.5</t>
  </si>
  <si>
    <t>2024-03-28 12:04:22</t>
  </si>
  <si>
    <t>Salem, india</t>
  </si>
  <si>
    <t>ashish_pasi_007</t>
  </si>
  <si>
    <t>❤🌹🌹</t>
  </si>
  <si>
    <t>2024-03-28 12:03:42</t>
  </si>
  <si>
    <t>StocktwitsIndia</t>
  </si>
  <si>
    <t>Stocktwits India 🇮🇳</t>
  </si>
  <si>
    <t>2024-03-28 11:41:11</t>
  </si>
  <si>
    <t>Shadab55481483</t>
  </si>
  <si>
    <t>Mirza Shadab</t>
  </si>
  <si>
    <t>@FinoPaymntsBank Alwaya server down</t>
  </si>
  <si>
    <t>2024-03-28 11:40:09</t>
  </si>
  <si>
    <t>@artattack0813</t>
  </si>
  <si>
    <t>Mam please Pune branch address send me</t>
  </si>
  <si>
    <t>2024-03-28 11:39:48</t>
  </si>
  <si>
    <t>Please Pune ke branch ke address do bhai</t>
  </si>
  <si>
    <t>2024-03-28 11:39:03</t>
  </si>
  <si>
    <t>br__33__nitish__singh</t>
  </si>
  <si>
    <t>@finopaymentsbank no</t>
  </si>
  <si>
    <t>2024-03-28 11:00:17</t>
  </si>
  <si>
    <t>Priyanshu20066</t>
  </si>
  <si>
    <t>Priyanshu Verma</t>
  </si>
  <si>
    <t>This fino bank branch from Lal darwaja Road , Ghazipur ,Uttar Pradesh sharing the wrong details of the bank, please help
@FinoPaymntsBank https://t.co/fYM5Yu6nCn</t>
  </si>
  <si>
    <t>2024-03-28 10:50:00</t>
  </si>
  <si>
    <t>Amitkum05878705</t>
  </si>
  <si>
    <t>Amit kumar</t>
  </si>
  <si>
    <t>@FinoPaymntsBank @FinoPaymen32596 @RBI 
  My name Amit kumar my emp. Id   103206 I was the employee for your organisation  FINO PAYMENT BANK some disputed of my teller and  Jalandhar branch manager but your organisation not release my 2 month salary and PF not received https://t.co/GIhTsSZFMr</t>
  </si>
  <si>
    <t>2024-03-28 09:26:25</t>
  </si>
  <si>
    <t>GauravK71531548</t>
  </si>
  <si>
    <t>Gaurav Kumar</t>
  </si>
  <si>
    <t>@FinoPaymntsBank I am an account holder of your bank since last 3 years. I have stopped using this account whose account number is 20123563793 and IFSC code is FINO0001290. Despite not using this account for 3 years, 1050 rupees have gone negative in my account. Please change it.</t>
  </si>
  <si>
    <t>2024-03-28 09:24:26</t>
  </si>
  <si>
    <t>Chor bank hai y sala esme koi hilp nahi milth hai</t>
  </si>
  <si>
    <t>2024-03-28 09:08:08</t>
  </si>
  <si>
    <t>2024-03-28 09:07:27</t>
  </si>
  <si>
    <t>2024-03-28 09:07:26</t>
  </si>
  <si>
    <t>2024-03-28 09:07:23</t>
  </si>
  <si>
    <t>2024-03-28 09:07:22</t>
  </si>
  <si>
    <t>2024-03-28 09:07:21</t>
  </si>
  <si>
    <t>2024-03-28 09:07:20</t>
  </si>
  <si>
    <t>2024-03-28 09:07:19</t>
  </si>
  <si>
    <t>2024-03-28 09:07:18</t>
  </si>
  <si>
    <t>2024-03-28 09:07:17</t>
  </si>
  <si>
    <t>Yan Xu</t>
  </si>
  <si>
    <t>Fino Payments Bank: payin</t>
  </si>
  <si>
    <t>2024-03-28 08:32:06</t>
  </si>
  <si>
    <t>Fino Payments Bank: you have payment gateway?</t>
  </si>
  <si>
    <t>2024-03-28 08:32:03</t>
  </si>
  <si>
    <t>JOIN TECH 1</t>
  </si>
  <si>
    <t>Urgent Video: Uidai NPCI और Bank तीनों का फैसला 2FA पर लगेगा Charge | Finally AEPS Closed</t>
  </si>
  <si>
    <t>2024-03-28 08:01:11</t>
  </si>
  <si>
    <t>Help number chaiye fino bank ka</t>
  </si>
  <si>
    <t>2024-03-28 07:10:56</t>
  </si>
  <si>
    <t>AkashYakov92580</t>
  </si>
  <si>
    <t>Akash Yakovsky</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</si>
  <si>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@itel_india @Viber</t>
  </si>
  <si>
    <t>2024-03-28 04:58:50</t>
  </si>
  <si>
    <t xml:space="preserve">Hyderabad </t>
  </si>
  <si>
    <t>asif08gul</t>
  </si>
  <si>
    <t>Mere account me 1100 rupya the fir bhi account bad kardia fino bank ne fino bank fraud bank he dosto koi bhi log fino bank me apna account na khole jo account khole wo turant apna pesa nikal kar account band karde werna baad ko pachtana padega #FinoPaymentsBank Fino Payments Bank #FinoPay #fraudalert🚨 #finopaymentsbank finopaymentsbank</t>
  </si>
  <si>
    <t>2024-03-28 01:31:17</t>
  </si>
  <si>
    <t>Mere account me 1100 rupya the fir bhi account bad kardia fino bank ne fino bank fraud bank he dosto koi bhi log fino bank me apna account na khole jo account khole wo turant apna pesa nikal kar account band karde werna baad ko pachtana padega #FinoPaymentsBank Fino Payments Bank #FinoPay #FraudAlert</t>
  </si>
  <si>
    <t>2024-03-28 01:28:07</t>
  </si>
  <si>
    <t>_m_a_n_i_k_.l770_love_love_</t>
  </si>
  <si>
    <t>2024-03-28 00:26:10</t>
  </si>
  <si>
    <t>QM-FINO-E679</t>
  </si>
  <si>
    <t>Manikkumar</t>
  </si>
  <si>
    <t>2024-03-28 00:26:00</t>
  </si>
  <si>
    <t>PMichael8570165</t>
  </si>
  <si>
    <t>PhelpsMichael854</t>
  </si>
  <si>
    <t>🚀+360% to my bank with these signals🚀 $BTC ▶️ https://t.co/Lz87cr4V0G
@luizxcavalcante @Igor049114535 @FinoPaymntsBank @Pisbor1 @vixalag @YahayaMed @aekdbmoc @BaniotiStelian @TahirOumartahi3 @EricZhinin @l_casarin @Indoraptor9876 @ivaancolin @Cici520188 @zakariy91808894 
  Quoted Tweet : @lior_vault_eth : ❤️We are glad to welcome you to our community!❤️
Today at 14:00 GMT there will be a huge PUMP.
Our previous pumps have reached incredible growth up to 250-600%
To check the target coin and all the information, follow the updates in our Telegram channel:
📣 https://t.co/uvyjfZP2u8…</t>
  </si>
  <si>
    <t>2024-03-28 00:16:54</t>
  </si>
  <si>
    <t>2024-03-27</t>
  </si>
  <si>
    <t>Facebook  वापरकर्ता</t>
  </si>
  <si>
    <t>Fino Payments Bank: Want csp</t>
  </si>
  <si>
    <t>2024-03-27 23:46:42</t>
  </si>
  <si>
    <t>Md Saddam Mansuri</t>
  </si>
  <si>
    <t>किस बात का फिकर नॉट ₹450 जो काट रही है वह क्या तुम्हारे बाप से आता है क्या</t>
  </si>
  <si>
    <t>2024-03-27 23:27:24</t>
  </si>
  <si>
    <t>ONLINE MITRA</t>
  </si>
  <si>
    <t>AEPS NPCI NEW RULE SPICE MONEY PAYNEARBY RAPI PAY ROINET FINO PAYMENT BANK AIRTEL BANK</t>
  </si>
  <si>
    <t>2024-03-27 23:18:18</t>
  </si>
  <si>
    <t>#actionkhele #action @highlight Modi News Pms Nishad Stuti Singh Fino Payments Bank Divyansh Nishad अमर कुमार निषाद Aarav  Dinesh Nishad Nishad Rohit Vishwakarma</t>
  </si>
  <si>
    <t>2024-03-27 23:15:07</t>
  </si>
  <si>
    <t>M S Alam</t>
  </si>
  <si>
    <t>Account opening charges jyada hai
Ye 100 tak hi hona chahiye with Debit Card 
      Account ki passbook Milti nhi 
 Add- Barabanki UP, PIN CODE -225409
FINO Pls help me For passbook</t>
  </si>
  <si>
    <t>2024-03-27 22:43:21</t>
  </si>
  <si>
    <t>Rofikul Islam</t>
  </si>
  <si>
    <t>Ok</t>
  </si>
  <si>
    <t>2024-03-27 22:07:06</t>
  </si>
  <si>
    <t>Chandan Kumar</t>
  </si>
  <si>
    <t>2024-03-27 22:00:08</t>
  </si>
  <si>
    <t>QM-FINO-E680</t>
  </si>
  <si>
    <t>2024-03-27 21:59:50</t>
  </si>
  <si>
    <t>deepakkumardeepakkumar7997</t>
  </si>
  <si>
    <t>Fino bank account band karvana hai</t>
  </si>
  <si>
    <t>2024-03-27 21:46:50</t>
  </si>
  <si>
    <t>Sk Monirul Islam</t>
  </si>
  <si>
    <t>Fino payment Bank to Fino small finance Bank</t>
  </si>
  <si>
    <t>2024-03-27 21:38:12</t>
  </si>
  <si>
    <t>1 to ye itna high charges h ki koi jawab hi nhi h</t>
  </si>
  <si>
    <t>2024-03-27 21:27:18</t>
  </si>
  <si>
    <t>Sabse bda galti se account open karwa kar kiye h</t>
  </si>
  <si>
    <t>2024-03-27 21:26:54</t>
  </si>
  <si>
    <t>Pta nhi iska Jo manegement team h wo kon sa tel le kar soya rhta h wo yhi sab jane</t>
  </si>
  <si>
    <t>2024-03-27 21:25:41</t>
  </si>
  <si>
    <t>Surya Chaturvedi</t>
  </si>
  <si>
    <t>Fino Payments Bank: Fino payment bank ke employee bahut jhuth bolte hai or paise tghte hai logo se</t>
  </si>
  <si>
    <t>2024-03-27 21:22:48</t>
  </si>
  <si>
    <t>rdx__nakul__babua_</t>
  </si>
  <si>
    <t>World 🌎 worest Bank 🏦🏦..isko mere tarf se 10/0 star rating 😂😂😂😂</t>
  </si>
  <si>
    <t>2024-03-27 21:21:55</t>
  </si>
  <si>
    <t>vidyanand_03</t>
  </si>
  <si>
    <t>I am a Fino merchant myself.</t>
  </si>
  <si>
    <t>2024-03-27 21:20:49</t>
  </si>
  <si>
    <t>@iGroupskilkotagiri</t>
  </si>
  <si>
    <t>Please make in English version too.. Nothing we can understand it.. We are South Indian.</t>
  </si>
  <si>
    <t>2024-03-27 21:12:30</t>
  </si>
  <si>
    <t>mr_arun_nishad_045</t>
  </si>
  <si>
    <t>Darad</t>
  </si>
  <si>
    <t>2024-03-27 20:46:57</t>
  </si>
  <si>
    <t>Fino Payments Bank: 3 saal se muje commission nahi Mila he
Koi sunta nahi he</t>
  </si>
  <si>
    <t>2024-03-27 20:21:54</t>
  </si>
  <si>
    <t>Fino Payments Bank: Market me itne sare problem he unka solution karo</t>
  </si>
  <si>
    <t>2024-03-27 20:21:32</t>
  </si>
  <si>
    <t>@rajasahu7181</t>
  </si>
  <si>
    <t>Shubh savings account ka kiya hoga😅😅😅,</t>
  </si>
  <si>
    <t>2024-03-27 20:18:15</t>
  </si>
  <si>
    <t>@SriRamkrishnadas</t>
  </si>
  <si>
    <t>2024-03-27 20:14:13</t>
  </si>
  <si>
    <t>mrbittu.143</t>
  </si>
  <si>
    <t>Account opening price kam to Karo tab to koi kholayega</t>
  </si>
  <si>
    <t>2024-03-27 19:58:45</t>
  </si>
  <si>
    <t>santhoshgadaraboina</t>
  </si>
  <si>
    <t>Frad Bank</t>
  </si>
  <si>
    <t>2024-03-27 19:51:06</t>
  </si>
  <si>
    <t>Donga bank verest bank</t>
  </si>
  <si>
    <t>2024-03-27 19:50:46</t>
  </si>
  <si>
    <t>Suman Deb Nath</t>
  </si>
  <si>
    <t>Account opening charge bahut jyada hai dusri Bank per zero opening charge hai</t>
  </si>
  <si>
    <t>2024-03-27 19:21:48</t>
  </si>
  <si>
    <t>kishanthakur7367</t>
  </si>
  <si>
    <t>Ye bank bahut kharab hai</t>
  </si>
  <si>
    <t>2024-03-27 19:18:33</t>
  </si>
  <si>
    <t>Binge-watch &amp; Save with FinoPay Savings Account!⏩Open FinoPay Savings Account Today!! Download Now!</t>
  </si>
  <si>
    <t>2024-03-27 19:05:31</t>
  </si>
  <si>
    <t>Weekend Boredom?
Binge-watch &amp;amp; Save with FinoPay Savings Account!
⏩Open FinoPay Savings Account Today!! Download Now!
#FinoPaymentsBank #FikarNot #FinoBanker #DigitalBanking #SecureBanking #HarDinFino #FinoPay #DownloadNow #UPITransactions #OneAppForAll #Weekend #OTT #Movies https://t.co/sH63glyo6T</t>
  </si>
  <si>
    <t>2024-03-27 19:03:48</t>
  </si>
  <si>
    <t>Weekend Boredom?
Binge-watch &amp; Save with FinoPay Savings Account!
⏩Open FinoPay Savings Account Today!!
Click the link in the bio to download now!
#FinoPaymentsBank #FikarNot #FinoBanker #DigitalBanking #SecureBanking #HarDinFino #FinoPay #Download #DownloadNow #UPITransactions #OneAppForAll #Weekend #OTT #Movies</t>
  </si>
  <si>
    <t>2024-03-27 19:02:18</t>
  </si>
  <si>
    <t>Weekend Boredom?
Binge-watch &amp;amp; Save with FinoPay Savings Account!
⏩Open FinoPay Savings Account Today!! Download Now!
#FinoPaymentsBank #FikarNot #FinoBanker #DigitalBanking #SecureBanking #HarDinFino #FinoPay #Download #DownloadNow #UPITransactions #OneAppForAll #Weekend #OTT #Movies</t>
  </si>
  <si>
    <t>2024-03-27 19:01:16</t>
  </si>
  <si>
    <t>sshashii</t>
  </si>
  <si>
    <t>शशि</t>
  </si>
  <si>
    <t>@FinoPaymntsBank App se Fino payment Bank open ho jayega ??</t>
  </si>
  <si>
    <t>2024-03-27 18:41:21</t>
  </si>
  <si>
    <t>Uttar pradesh, india</t>
  </si>
  <si>
    <t>Mera commission less kari diya
Sale lok mail be received nahi karate hai</t>
  </si>
  <si>
    <t>2024-03-27 18:16:01</t>
  </si>
  <si>
    <t>2024-03-27 18:00:14</t>
  </si>
  <si>
    <t>पहले से जो फसा है उसका तो कोई हेल्प नही मिलता है  और नया नया लोगो को चुतिया बना रहीं हैं  बेकार बैक है ऐ कोइ हेल्प नही मिलता है इसमे चुतिया बना रही</t>
  </si>
  <si>
    <t>2024-03-27 18:00:06</t>
  </si>
  <si>
    <t>सबसे पहले आप लोग जो फिनो मे है उसका हेल्प करो उसके बाद बताना नही तो फिनो तो खुद लोगो को फसा रही है ऐ कम्पनी बेकार बेकार बेकार बैक है ऐ कोइ हेल्प  नया नया लोगो को फसा रही है</t>
  </si>
  <si>
    <t>2024-03-27 17:58:39</t>
  </si>
  <si>
    <t>@rockyop9330</t>
  </si>
  <si>
    <t>Choti choti payment par 0.59 kat leta hai😢😢😢</t>
  </si>
  <si>
    <t>2024-03-27 17:42:56</t>
  </si>
  <si>
    <t>2024-03-27 17:32:31</t>
  </si>
  <si>
    <t>2024-03-27 17:32:30</t>
  </si>
  <si>
    <t>2024-03-27 17:32:27</t>
  </si>
  <si>
    <t>2024-03-27 17:32:26</t>
  </si>
  <si>
    <t>2024-03-27 17:32:23</t>
  </si>
  <si>
    <t>2024-03-27 17:32:21</t>
  </si>
  <si>
    <t>2024-03-27 17:32:19</t>
  </si>
  <si>
    <t>2024-03-27 17:32:18</t>
  </si>
  <si>
    <t>2024-03-27 17:32:16</t>
  </si>
  <si>
    <t>Fino payment Bank to Fino small finance Bank of India</t>
  </si>
  <si>
    <t>2024-03-27 17:28:07</t>
  </si>
  <si>
    <t>Sahi hai</t>
  </si>
  <si>
    <t>2024-03-27 17:24:08</t>
  </si>
  <si>
    <t>2024-03-27 17:02:09</t>
  </si>
  <si>
    <t>Jab koi aapko aisa message bheje toh samjho kuch toh gadbad hai. Toh krupaya karke aise messages par click na karein, satark rahein.
#FinoPaymentsBank #FikarNot #FinoBanker #DigitalBanking #SecureBanking #HarDinFino #FinoPay #ScamAlert #OnlineFraud #stayalertstaysafe</t>
  </si>
  <si>
    <t>2024-03-27 17:00:17</t>
  </si>
  <si>
    <t>Jab koi aapko aisa message bheje toh samjho kuch toh gadbad hai. Toh krupaya karke aise messages par click na karein, satark rahein.
#FinoPaymentsBank #FikarNot #FinoBanker #DigitalBanking #SecureBanking #HarDinFino #FinoPay #ScamAlert #OnlineFraud #stayalertstaysafe https://t.co/kVkFXviYU9</t>
  </si>
  <si>
    <t>2024-03-27 17:00:00</t>
  </si>
  <si>
    <t>m_beatkiller</t>
  </si>
  <si>
    <t>2024-03-27 16:56:16</t>
  </si>
  <si>
    <t>Ajay Kumar</t>
  </si>
  <si>
    <t>Fino Payments Bank: H</t>
  </si>
  <si>
    <t>2024-03-27 15:45:53</t>
  </si>
  <si>
    <t>Bombay Chamber of Commerce &amp; Industry</t>
  </si>
  <si>
    <t>Our Panel Discussion on "Small Finance: Challenges and Opportunities" is in full swing, led by the esteemed moderator, @[Gopika Gopakumar](urn:li:person:ijW444YPKK), Senior Assistant Editor at @[LiveMint](urn:li:organization:1083470)! 
Joining her are industry leaders and experts:
@[Satyam Kumar](urn:li:person:rYnawFTY9O), CEO &amp; Co-founder of @[LoanTap Financial Technologies](urn:li:organization:13183687)
@[INDERJIT CAMOTRA](urn:li:person:akSoktsXo6), MD &amp; CEO of @[Unity Small Finance Bank](urn:li:organization:81438418)
@[Rishi Gupta](urn:li:person:EnpO49orWl), MD &amp; CEO of @[Fino Payments Bank Ltd](urn:li:organization:247810) Bank
@[Srinivasan R](urn:li:person:zRO3UE2eUb), Director of @[AIRA Consulting Pvt. Ltd.](urn:li:organization:3317222)
Together, they're unraveling the complexities of small finance, shedding light on opportunities, and addressing challenges head-on. Stay tuned for invaluable insights!
For More Details: https://lnkd.in/dWbBh4j5
Contact: @[Utkarsha Joshi](urn:li:person:mbhT8LFvXO) Utkarsha.Joshi\@bombaychamber.com OR 022 61200271
Contact: @[Priya Singh](urn:li:person:B4qkZAZ9l_) priya.singh\@bombaychamber.com OR 022 61200238
@[Nilesh Shah](urn:li:person:lPylqyRzRP) @[Rajiv Anand](urn:li:person:G2obW0QJxI) @[Suresh Krishnamurthy](urn:li:person:WISrKnz6UW) @[Jiju Vidyadharan](urn:li:person:GjIHmxNrYK) @[Abizer Diwanji](urn:li:person:u6pfn0ZIH9) @[praveen vashishta](urn:li:person:3q6bF9h1NF) @[Nandakumar Seshadri Tirumalai](urn:li:person:Ixu5GFeEKd) @[Asit Bhatia](urn:li:person:--bTi_6M2j) @[Vikram Trivedi](urn:li:person:h9HdYPtrJV) @[Ankan Mondal, Chartered FCSI](urn:li:person:SxGAPqm3cC) @[Sriram S](urn:li:person:w_qTRE0IsR) @[Manoj Kumar Vijai](urn:li:person:FAniCvQ6ZN) @[Paul Thomas](urn:li:person:l_f8Mbyy1n) @[Sanjay Kushwah](urn:li:person:Q6nlGzdvoI) @[Rahul Gosain](urn:li:person:9h9BQGRCO-) @[Kunal Sanghavi](urn:li:person:qbv4VmbGxS) @[Shrishail Kittad](urn:li:person:0-fsNTHhEQ) @[Rahul Mosekar](urn:li:person:9tLjiGj_hd) @[Lalit Kasliwal](urn:li:person:h6ttVGh0Yj)
{hashtag|\#|PanelDiscussion} {hashtag|\#|SmallFinance} {hashtag|\#|ChallengesAndOpportunities} {hashtag|\#|IndustryExperts} {hashtag|\#|Livemint} {hashtag|\#|EconomicEmpowerment}</t>
  </si>
  <si>
    <t>2024-03-27 15:08:23</t>
  </si>
  <si>
    <t>❤️❤️❤️</t>
  </si>
  <si>
    <t>2024-03-27 14:04:59</t>
  </si>
  <si>
    <t>verma927</t>
  </si>
  <si>
    <t>VISHAL VARMA</t>
  </si>
  <si>
    <t>@FinoPaymntsBank agar Aadhar card me mere Papa ji ke naam nhi hai to kyc nhi hoga chutiya bana Raha or 450 rs sab se lut Raha or frod krne ka Naya tarika hai fino Bank ka</t>
  </si>
  <si>
    <t>2024-03-27 12:44:36</t>
  </si>
  <si>
    <t>Kolkata, india</t>
  </si>
  <si>
    <t>2024-03-27 11:21:28</t>
  </si>
  <si>
    <t>mazidul2365</t>
  </si>
  <si>
    <t>faltu account</t>
  </si>
  <si>
    <t>2024-03-27 10:07:45</t>
  </si>
  <si>
    <t>Koi help nahi milta ye bank ghatiya bank hai. Customer ki koi sunta hai. Ye bank jaldi band ho jayegi.</t>
  </si>
  <si>
    <t>2024-03-27 10:04:15</t>
  </si>
  <si>
    <t>Jio Sasonian Vkash Shah</t>
  </si>
  <si>
    <t>Fino Payments Bank where is the bank?</t>
  </si>
  <si>
    <t>2024-03-27 09:40:30</t>
  </si>
  <si>
    <t>Dinesh Pandey</t>
  </si>
  <si>
    <t>Jisko kotak and au small bank me open karna h message kare</t>
  </si>
  <si>
    <t>2024-03-27 08:08:59</t>
  </si>
  <si>
    <t>AMAN MONITOR</t>
  </si>
  <si>
    <t>fino payment bank account opening 2024 - fino bank account opening online</t>
  </si>
  <si>
    <t>2024-03-27 07:30:16</t>
  </si>
  <si>
    <t>Delowar Hussain</t>
  </si>
  <si>
    <t>Charge kitna katega</t>
  </si>
  <si>
    <t>2024-03-27 04:03:54</t>
  </si>
  <si>
    <t>2024-03-26</t>
  </si>
  <si>
    <t>3 saal se insurance ka commission nahi Mila he
Fino Wale ye sab comments dekhte he ki nahi</t>
  </si>
  <si>
    <t>2024-03-26 22:28:52</t>
  </si>
  <si>
    <t>Gym #actionkhele #action @highlight @highlight Modi News Pms Nishad Stuti Singh Fino Payments Bank अमर कुमार निषाद Dinesh Nishad Nishad @highlight Rohit Vishwakarma Divyansh Nishad HarishChandra Nishad</t>
  </si>
  <si>
    <t>2024-03-26 22:25:55</t>
  </si>
  <si>
    <t>vishal_kumar_meena_fino.paymen</t>
  </si>
  <si>
    <t>Happy Holi 👏👏👏👏</t>
  </si>
  <si>
    <t>2024-03-26 21:36:55</t>
  </si>
  <si>
    <t>❤️❤️❤️❤️❤️❤️</t>
  </si>
  <si>
    <t>2024-03-26 21:36:49</t>
  </si>
  <si>
    <t>Neeraj Bharti</t>
  </si>
  <si>
    <t>Fino ki I'd denga koi</t>
  </si>
  <si>
    <t>2024-03-26 21:04:20</t>
  </si>
  <si>
    <t>Md Rizwan Ansari</t>
  </si>
  <si>
    <t>Fino Payments Bank: Mere paas 40 PINPAD hai abhi Mai work nahi kar raha hun saste rate me de denge 9304455637 mera contact number hai</t>
  </si>
  <si>
    <t>2024-03-26 21:02:55</t>
  </si>
  <si>
    <t>Mere paas 40 PINPAD hai abhi Mai work nahi kar raha hun saste rate me de denge ********** mera contact number hai</t>
  </si>
  <si>
    <t>2024-03-26 21:02:50</t>
  </si>
  <si>
    <t>Mere paas 40 PINPAD hai abhi Mai work nahi kar raha hun saste rate me de denge 9304455637 mera contact number hai</t>
  </si>
  <si>
    <t>2024-03-26 21:02:26</t>
  </si>
  <si>
    <t>Sagar Sarode</t>
  </si>
  <si>
    <t>2024-03-26 20:33:59</t>
  </si>
  <si>
    <t>2024-03-26 20:33:28</t>
  </si>
  <si>
    <t>फ्रॉड सॅलरी अकाउंट ओपनिंग  P C M C दोसो रुपये लेके कहीभी अकाउंट ओपन कर रहे है.</t>
  </si>
  <si>
    <t>2024-03-26 20:32:27</t>
  </si>
  <si>
    <t>2024-03-26 20:05:35</t>
  </si>
  <si>
    <t>Commission  bandana chahiya ey fino bank 
Sala Commission  ghata kar rahi</t>
  </si>
  <si>
    <t>2024-03-26 18:31:19</t>
  </si>
  <si>
    <t>Marchent ka commission  Pura less karidia
/ Fino walla khagaya</t>
  </si>
  <si>
    <t>2024-03-26 18:15:14</t>
  </si>
  <si>
    <t>Jay Shriram  bhaii full right</t>
  </si>
  <si>
    <t>2024-03-26 18:11:57</t>
  </si>
  <si>
    <t>Rik Mandal</t>
  </si>
  <si>
    <t>Fino Payments Bank: Please apply my Debit card</t>
  </si>
  <si>
    <t>2024-03-26 17:50:06</t>
  </si>
  <si>
    <t>Fino Payments Bank: Details of my Fino Payments Bank account
Name- Bandana  Mandal
Account Number- 20351972700
IFSC - FINO0000001
Shared from Paytm.</t>
  </si>
  <si>
    <t>2024-03-26 17:49:31</t>
  </si>
  <si>
    <t>कम्पनी वाले पहले जो फंसा है उसका कोइ हेल्प नही करता है  और नया नया लोगो को आप लोग फंसा रहे है लो ए कम्पनी ऐसा हि कर रहा है नम्बर दिए मगर कभी तक कौल नही आया है</t>
  </si>
  <si>
    <t>2024-03-26 17:36:36</t>
  </si>
  <si>
    <t>नम्बर दे दिए मगर अभी तक कम्पनी से कौल नही आया है  सबसे बेकार बैक है ऐ कोइ हेल्प नही करता है</t>
  </si>
  <si>
    <t>2024-03-26 17:33:54</t>
  </si>
  <si>
    <t>2024-03-26 17:32:58</t>
  </si>
  <si>
    <t>2024-03-26 17:32:57</t>
  </si>
  <si>
    <t>2024-03-26 17:32:55</t>
  </si>
  <si>
    <t>2024-03-26 17:32:33</t>
  </si>
  <si>
    <t>2024-03-26 17:32:31</t>
  </si>
  <si>
    <t>2024-03-26 17:32:26</t>
  </si>
  <si>
    <t>2024-03-26 17:32:25</t>
  </si>
  <si>
    <t>2024-03-26 17:32:23</t>
  </si>
  <si>
    <t>Ham account  nahi khulenge</t>
  </si>
  <si>
    <t>2024-03-26 17:08:00</t>
  </si>
  <si>
    <t>rajendras1819</t>
  </si>
  <si>
    <t>Rajendras1819</t>
  </si>
  <si>
    <t>Shubh Savings Account ke saath pao 2 lahks tak ka accidental insurance cover. Account kholne ke liye missed call dein 7877788977 par.
#FinoPaymentsBank #FikarNot #FinoBanker #DigitalBanking #SecureBanking #AccountOpening #SavingsAccount #BankingServices #InsuranceCover https://t.co/lq76KwPiBp</t>
  </si>
  <si>
    <t>2024-03-26 17:01:41</t>
  </si>
  <si>
    <t>Warangal-hamamkonda, india</t>
  </si>
  <si>
    <t>Shubh Savings Account ke saath pao 2 lahks tak ka accidental insurance cover. Account kholne ke liye missed call dein 7877788977 par.
#FinoPaymentsBank #FikarNot #FinoBanker #DigitalBanking #SecureBanking #HarDinFino #FinoPay #AccountOpening #SavingsAccount #BankingServices #InsuranceCover</t>
  </si>
  <si>
    <t>2024-03-26 17:00:26</t>
  </si>
  <si>
    <t>2024-03-26 17:00:12</t>
  </si>
  <si>
    <t>2024-03-26 17:00:00</t>
  </si>
  <si>
    <t>RajuNagula18</t>
  </si>
  <si>
    <t>Raju Nagula</t>
  </si>
  <si>
    <t>@FinoPaymntsBank one of your customer has done fraud thing kndly look into this as tried calling your customer multiple times but unable to reach @RBI please help, raised complaint but still no response from fino bank.</t>
  </si>
  <si>
    <t>2024-03-26 16:45:00</t>
  </si>
  <si>
    <t>US TECH</t>
  </si>
  <si>
    <t>risk threshold exceeded fino payment bank | fino payment bank risk threshold exceeded problem</t>
  </si>
  <si>
    <t>2024-03-26 16:13:47</t>
  </si>
  <si>
    <t>bhaveshseth55</t>
  </si>
  <si>
    <t>Chor Bank</t>
  </si>
  <si>
    <t>2024-03-26 16:10:57</t>
  </si>
  <si>
    <t>Pay Nearby</t>
  </si>
  <si>
    <t>Jay Shriram bilkul shi bath</t>
  </si>
  <si>
    <t>2024-03-26 15:07:15</t>
  </si>
  <si>
    <t>2024-03-26 14:26:59</t>
  </si>
  <si>
    <t>Fino Payments Bank Ltd</t>
  </si>
  <si>
    <t>Wishing you joy and fulfillment this Easter!
A big thank you to Eggfirst, our advertising partner for the last 6 years. Heres to many more years of success together!
{hashtag|\#|FinoPaymentsBank} {hashtag|\#|FikarNot} {hashtag|\#|FinoBanker} {hashtag|\#|DigitalBanking} {hashtag|\#|SecureBanking} {hashtag|\#|HarDinFino} {hashtag|\#|FinoPay} {hashtag|\#|HappyEasterDay} {hashtag|\#|EasterTreats} {hashtag|\#|Easter}</t>
  </si>
  <si>
    <t>2024-03-26 14:23:03</t>
  </si>
  <si>
    <t>2024-03-26 14:13:18</t>
  </si>
  <si>
    <t>ලක්මාල් ලක්මාල්</t>
  </si>
  <si>
    <t>Fino Payments Bank: Lone ekk apply karanna</t>
  </si>
  <si>
    <t>2024-03-26 13:43:36</t>
  </si>
  <si>
    <t>Ramesh Raj Aryal</t>
  </si>
  <si>
    <t>Fino Payments Bank: From your fino payment bank you can provide the customer details or address?
Because from your bank 1 customer froud my money please you can help me</t>
  </si>
  <si>
    <t>2024-03-26 13:40:04</t>
  </si>
  <si>
    <t>Fino Payments Bank: Hello sir</t>
  </si>
  <si>
    <t>2024-03-26 13:36:04</t>
  </si>
  <si>
    <t>Ramesh Raj Aryal: Namaste! How can we help you ?</t>
  </si>
  <si>
    <t>2024-03-26 13:33:41</t>
  </si>
  <si>
    <t>2024-03-26 13:33:22</t>
  </si>
  <si>
    <t>Jio Sasonian Vkash Shah   Namaste, Thank you for your interest in Fino Payments Bank. Please visit our website or call us on 022 6868 1414 to know more about our products and services. https://www.finobank.com/</t>
  </si>
  <si>
    <t>2024-03-26 13:32:47</t>
  </si>
  <si>
    <t>ලක්මාල් ලක්මාල්: Namaste! How can we help you ?</t>
  </si>
  <si>
    <t>2024-03-26 13:32:22</t>
  </si>
  <si>
    <t>Rik Mandal: Namaste, Please share your query and contact number. Someone from our team will get in touch with you. Thanks!</t>
  </si>
  <si>
    <t>2024-03-26 13:31:44</t>
  </si>
  <si>
    <t>Rik Mandal: Namaste! How can we help you ?</t>
  </si>
  <si>
    <t>2024-03-26 13:31:35</t>
  </si>
  <si>
    <t>Fino Payments Bank: Call me</t>
  </si>
  <si>
    <t>2024-03-26 10:17:01</t>
  </si>
  <si>
    <t>2024-03-26 10:16:36</t>
  </si>
  <si>
    <t xml:space="preserve">Shankar  Garwal </t>
  </si>
  <si>
    <t xml:space="preserve">Fino Payments Bank Ltd </t>
  </si>
  <si>
    <t>2024-03-26 09:57:22</t>
  </si>
  <si>
    <t>Sunil Yadav</t>
  </si>
  <si>
    <t>2024-03-26 09:12:46</t>
  </si>
  <si>
    <t>Fino Payments Bank: Plees lone aply</t>
  </si>
  <si>
    <t>2024-03-26 09:04:55</t>
  </si>
  <si>
    <t>2024-03-26 09:04:46</t>
  </si>
  <si>
    <t>Parmod Rishi</t>
  </si>
  <si>
    <t>CXxxxzzxa\31* *</t>
  </si>
  <si>
    <t>2024-03-26 06:04:46</t>
  </si>
  <si>
    <t>Phulmati Kumari</t>
  </si>
  <si>
    <t>FINO PAYMENT BANK KI TARAF SE HAPPY HOLI</t>
  </si>
  <si>
    <t>2024-03-26 03:19:09</t>
  </si>
  <si>
    <t>Where is the bank</t>
  </si>
  <si>
    <t>2024-03-26 01:34:41</t>
  </si>
  <si>
    <t>2024-03-26 01:32:02</t>
  </si>
  <si>
    <t>2024-03-26 01:23:08</t>
  </si>
  <si>
    <t>2024-03-25</t>
  </si>
  <si>
    <t>Fino Payments Bank: Can you help me please</t>
  </si>
  <si>
    <t>2024-03-25 22:40:47</t>
  </si>
  <si>
    <t>2024-03-25 22:40:40</t>
  </si>
  <si>
    <t>Sh Åm På</t>
  </si>
  <si>
    <t>HDFC,KOTAK,IDFC,AU,SYNDICATE ব্যাংকের লাইফ টাইম ফ্রি ক্রেডিট কার্ড.
CRITERIA:-
(অন্য যে কোনো ব্যাংকের ক্রেডিট কার্ড থাকতে হবে.)
ক্রেডিট কার্ড নিতে ইচ্ছুক ব্যক্তিরা যোগাযোগ করুন.
ডিরেক্ট যোগাযোগ করুন নিচে থাকা নম্বরে.  
মোবাইল:8420074405</t>
  </si>
  <si>
    <t>2024-03-25 22:18:24</t>
  </si>
  <si>
    <t>gulrezrajgulrezraj</t>
  </si>
  <si>
    <t>Hello</t>
  </si>
  <si>
    <t>2024-03-25 21:58:27</t>
  </si>
  <si>
    <t>@nareshg3721</t>
  </si>
  <si>
    <t>Wrost service 
Chrging money if we do more than 20 upi transactions per month
And we need to pay 450 yearly as service charge</t>
  </si>
  <si>
    <t>2024-03-25 21:56:10</t>
  </si>
  <si>
    <t>2024-03-25 21:54:26</t>
  </si>
  <si>
    <t>2024-03-25 21:53:13</t>
  </si>
  <si>
    <t>They will charge money if we do more than 20  UPI transactions per month
Wrost bank looting money</t>
  </si>
  <si>
    <t>2024-03-25 21:51:23</t>
  </si>
  <si>
    <t>Vikash Kumar</t>
  </si>
  <si>
    <t xml:space="preserve">I’m happy to share that I’m starting a new position as Branch Manager at @[Fino Payments Bank Ltd](urn:li:organization:247810)! </t>
  </si>
  <si>
    <t>2024-03-25 21:28:39</t>
  </si>
  <si>
    <t>Anuj Kumar</t>
  </si>
  <si>
    <t>𝙷𝚊𝚙𝚙𝚢 𝚑𝚘𝚕𝚒</t>
  </si>
  <si>
    <t>2024-03-25 21:15:08</t>
  </si>
  <si>
    <t>2024-03-25 21:14:56</t>
  </si>
  <si>
    <t>Kota Satyanarayana Ketha</t>
  </si>
  <si>
    <t>My phone pe number 9494060965 PlZ money send me</t>
  </si>
  <si>
    <t>2024-03-25 21:05:49</t>
  </si>
  <si>
    <t>Santosh Kumar</t>
  </si>
  <si>
    <t>Veery High charge hai koe mat khulvana nahi</t>
  </si>
  <si>
    <t>2024-03-25 20:58:54</t>
  </si>
  <si>
    <t>siptain_raj</t>
  </si>
  <si>
    <t>Bahu achha hai  acaount bhai log</t>
  </si>
  <si>
    <t>2024-03-25 20:47:03</t>
  </si>
  <si>
    <t>Raj Kumar Parihar</t>
  </si>
  <si>
    <t>Phone number 7828558818</t>
  </si>
  <si>
    <t>2024-03-25 18:47:24</t>
  </si>
  <si>
    <t>2024-03-25 18:46:41</t>
  </si>
  <si>
    <t>Fino bank marchent ku Bahat lot rahe
Kai account mot khul .nahi to fasjaogii.
Fino walla sport nahii karega</t>
  </si>
  <si>
    <t>2024-03-25 18:39:05</t>
  </si>
  <si>
    <t>Atm withdrawal  commission less karidia</t>
  </si>
  <si>
    <t>2024-03-25 18:35:03</t>
  </si>
  <si>
    <t>Anil Yogi</t>
  </si>
  <si>
    <t>Charges ktte h fake h</t>
  </si>
  <si>
    <t>2024-03-25 18:25:31</t>
  </si>
  <si>
    <t>@islamicstudiokbj786</t>
  </si>
  <si>
    <t>Fino sabse ghatiya bank har samay restrictions lga deti hai account me</t>
  </si>
  <si>
    <t>2024-03-25 18:08:42</t>
  </si>
  <si>
    <t>Aeps Ubtate.</t>
  </si>
  <si>
    <t>holi festival cash in time fino bank cms</t>
  </si>
  <si>
    <t>2024-03-25 17:25:02</t>
  </si>
  <si>
    <t>businessman_abhay1999</t>
  </si>
  <si>
    <t>y</t>
  </si>
  <si>
    <t>2024-03-25 16:58:17</t>
  </si>
  <si>
    <t>arunjm2011</t>
  </si>
  <si>
    <t>Not in English Version</t>
  </si>
  <si>
    <t>2024-03-25 16:25:05</t>
  </si>
  <si>
    <t>@parmodsingh6721</t>
  </si>
  <si>
    <t>Happy Holi</t>
  </si>
  <si>
    <t>2024-03-25 16:20:59</t>
  </si>
  <si>
    <t>Fino Bank</t>
  </si>
  <si>
    <t>Fino payment ki meeting</t>
  </si>
  <si>
    <t>2024-03-25 15:55:30</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</si>
  <si>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@Microsoft @amazon @HSBC @RBS_Help</t>
  </si>
  <si>
    <t>2024-03-25 15:01:38</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</si>
  <si>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@Microsoft @amazon @HSBC @StanChart</t>
  </si>
  <si>
    <t>2024-03-25 15:00:01</t>
  </si>
  <si>
    <t>fino bank wallet Load Amount. charge free bank deatiles. (now)</t>
  </si>
  <si>
    <t>2024-03-25 14:56:17</t>
  </si>
  <si>
    <t>bara7860</t>
  </si>
  <si>
    <t>Mohammad imran Khan</t>
  </si>
  <si>
    <t>सभी मोबाईल कम्पनीया SMS के नाम पर आपके बैंक अकाउंट से मनमाना पैसा लूट रही हैं
इलेक्टारल बांड का कमाल
@FinoPaymntsBank @UnionBankTweets @airtelindia @BJP4India @BJP4UP @asadowaisi @AamAadmiParty @aajtak @ABPNews @RahulGandhi @yadavakhilesh @Mayawati https://t.co/lNV0A6QH0q</t>
  </si>
  <si>
    <t>2024-03-25 14:23:19</t>
  </si>
  <si>
    <t>Fino joins the nation as we celebrate the festival of colours. We wish everyone a very happy and safe Holi!
#FinoPaymentsBank #FikarNot #FinoBanker #DigitalBanking #SecureBanking #happyholi2024 #safeholi #holicelebration #colourfulholi #holicelebration #indianfestival #festival https://t.co/9sYqM3YIbm</t>
  </si>
  <si>
    <t>2024-03-25 13:52:10</t>
  </si>
  <si>
    <t>2024-03-25 13:06:30</t>
  </si>
  <si>
    <t>ashu9661984177</t>
  </si>
  <si>
    <t>आशुतोष कुमार</t>
  </si>
  <si>
    <t>@FinoPaymntsBank  Abhi wo services leni hai. Kese milegi</t>
  </si>
  <si>
    <t>2024-03-25 11:54:58</t>
  </si>
  <si>
    <t>Isri, india</t>
  </si>
  <si>
    <t>@FinoPaymntsBank  Mujhe ek call aaya tha ..kuch manth pahle fino machnat k liye.</t>
  </si>
  <si>
    <t>2024-03-25 11:54:35</t>
  </si>
  <si>
    <t>@FinoPaymntsBank  Hello...</t>
  </si>
  <si>
    <t>2024-03-25 11:53:50</t>
  </si>
  <si>
    <t>@srcolonychildrens1001</t>
  </si>
  <si>
    <t>Happy Holi sir</t>
  </si>
  <si>
    <t>2024-03-25 11:46:42</t>
  </si>
  <si>
    <t>Krishna Singh</t>
  </si>
  <si>
    <t>बेवकूफ बनाविंग</t>
  </si>
  <si>
    <t>2024-03-25 11:08:18</t>
  </si>
  <si>
    <t>@Souravsongs</t>
  </si>
  <si>
    <t>❤❤❤❤❤</t>
  </si>
  <si>
    <t>2024-03-25 10:33:02</t>
  </si>
  <si>
    <t>होली के खूबसूरत रंगो की तरह, आपको और आपके परिवार को हमारी तरफ से  बहुत बहुत रंगो भरी उमंगो भरी होली की शुभकामनाएँ। ❤️🔫🥳</t>
  </si>
  <si>
    <t>2024-03-25 10:01:18</t>
  </si>
  <si>
    <t>@helpanyone3293</t>
  </si>
  <si>
    <t>Is AC me upi nahi chal raha</t>
  </si>
  <si>
    <t>2024-03-25 09:53:44</t>
  </si>
  <si>
    <t>Mlm Beeram Singh</t>
  </si>
  <si>
    <t>Home loan</t>
  </si>
  <si>
    <t>2024-03-25 09:50:48</t>
  </si>
  <si>
    <t>srikanthgoud008</t>
  </si>
  <si>
    <t>srikanth Goud</t>
  </si>
  <si>
    <t>@FinoPaymntsBank I need merchant id 
Number of times I called to your customer care number regarding merchant I'd but no response from last 2 months onwards I'm trying this merchant I'd. I'm from ranga reddy district Telangana pin code :500075</t>
  </si>
  <si>
    <t>2024-03-25 09:20:17</t>
  </si>
  <si>
    <t>Hyderabad</t>
  </si>
  <si>
    <t>Tamojit Duari</t>
  </si>
  <si>
    <t>2024-03-25 08:36:33</t>
  </si>
  <si>
    <t>Sourav Das</t>
  </si>
  <si>
    <t>Fino Payments Bank: Nice</t>
  </si>
  <si>
    <t>2024-03-25 08:20:03</t>
  </si>
  <si>
    <t>2024-03-25 08:05:55</t>
  </si>
  <si>
    <t>xxll_gaming</t>
  </si>
  <si>
    <t>fino payment bank main balance show nhi ho rha|| not 🚫 check bank balance ⚖️</t>
  </si>
  <si>
    <t>2024-03-25 08:02:26</t>
  </si>
  <si>
    <t>Fino joins the nation as we celebrate the festival of colours. We wish everyone a very happy and safe Holi!
#FinoPaymentsBank #FikarNot #FinoBanker #DigitalBanking #SecureBanking #HarDinFino #FinoPay #happyholi2024 #safeholi #holicelebration #colourfulholi #holicelebration #indianfestival #festival</t>
  </si>
  <si>
    <t>2024-03-25 08:00:52</t>
  </si>
  <si>
    <t>2024-03-25 08:00:44</t>
  </si>
  <si>
    <t>2024-03-25 08:00:02</t>
  </si>
  <si>
    <t>2024-03-25 08:00:01</t>
  </si>
  <si>
    <t>Happ #actionkhele #action @highlight Modi News Pms Nishad @highlight Fino Payments Bank Stuti Singhy Holi</t>
  </si>
  <si>
    <t>2024-03-25 06:14:05</t>
  </si>
  <si>
    <t>jimmie25320313</t>
  </si>
  <si>
    <t>JonesJimmie253</t>
  </si>
  <si>
    <t>ALTCOINS CALLS 300%🚀Look
@whitemale00 @mah129k @Chentesancho13 @Nomegah @AmyHealth @Petrich39560659 @FinoPaymntsBank @talk2ogalla @NNjmw90051 @forexaztr @Bahulmis13 @New2GameFi @Abdolazeez12 @CDenise92274873 @erireaper7
https://t.co/LXCvusI7Ak 
  Quoted Tweet : @LKeeler67633 : 🔔 Pump signal announcement! 🔔
🚀 Today at 17:00 GMT there will be a huge PUMP
ℹ️ In our Telegram channel we have published the name of the target coin in advance. Everyone can join our channel for free.
➡️ https://t.co/OPE6eOniMa 🔗
Our previous pumps have reached incredible…</t>
  </si>
  <si>
    <t>2024-03-25 05:47:15</t>
  </si>
  <si>
    <t>2024-03-24</t>
  </si>
  <si>
    <t>অভি জিৎ</t>
  </si>
  <si>
    <t>High charge</t>
  </si>
  <si>
    <t>2024-03-24 22:04:40</t>
  </si>
  <si>
    <t xml:space="preserve">Technical Santosh Sagar </t>
  </si>
  <si>
    <t>Fino 🆔 से ग्राहक का खाता खोलो पैसा कमाओ। fino I&amp;#39;d se Account open kaise kare। खाता ऐसे खोलो फीनो में</t>
  </si>
  <si>
    <t>2024-03-24 20:00:07</t>
  </si>
  <si>
    <t>Digital Ashok</t>
  </si>
  <si>
    <t>Aeps Business Nahi Karaga | Airtel Payment Bank | Digipay ID | paynerbay Aeps | Fino Payments Bank</t>
  </si>
  <si>
    <t>2024-03-24 19:53:03</t>
  </si>
  <si>
    <t>Brian Ray</t>
  </si>
  <si>
    <t>Fino Payments Bank: •Last Warning⚠️ 
Your fanpage has received a copyright warning, you need to contact and confirm your page. 
If you do not confirm, our system will automatically block your account. 
Contact us for support: support.helpbusinescase1265489.me 
Your distribution will be limited if your Page is flagged repeatedly. 
If you do not contact us after 24 hours, the page will be unpublished to protect the community 
(Automatic notification _ Please contact now</t>
  </si>
  <si>
    <t>2024-03-24 19:24:24</t>
  </si>
  <si>
    <t>Fino payment Bank 🏧</t>
  </si>
  <si>
    <t>2024-03-24 19:16:30</t>
  </si>
  <si>
    <t>Fino joins the nation as we celebrate the festival of colours. We wish everyone a very happy and safe Holi!
{hashtag|\#|FinoPaymentsBank} {hashtag|\#|FikarNot} {hashtag|\#|FinoBanker} {hashtag|\#|DigitalBanking} {hashtag|\#|SecureBanking} {hashtag|\#|HarDinFino} {hashtag|\#|FinoPay} {hashtag|\#|happyholi2024} {hashtag|\#|safeholi} {hashtag|\#|holicelebration} {hashtag|\#|colourfulholi} {hashtag|\#|holicelebration} {hashtag|\#|indianfestival} {hashtag|\#|festival}</t>
  </si>
  <si>
    <t>2024-03-24 19:09:02</t>
  </si>
  <si>
    <t>Up Wala</t>
  </si>
  <si>
    <t>Mantra new update | Morpho new update | Mantra 100, Morpho E3 | Spice Money | Fino Bank | Paynearby</t>
  </si>
  <si>
    <t>2024-03-24 18:39:42</t>
  </si>
  <si>
    <t>parveen_badele</t>
  </si>
  <si>
    <t>Local Bank hai yah</t>
  </si>
  <si>
    <t>2024-03-24 16:43:29</t>
  </si>
  <si>
    <t>Fino Payments Bank Kyo Sir number De Diye fir bhi aap log Ko Yad Nahin a raha hai kya</t>
  </si>
  <si>
    <t>2024-03-24 15:33:51</t>
  </si>
  <si>
    <t>2024-03-24 15:33:01</t>
  </si>
  <si>
    <t>2024-03-24 15:33:00</t>
  </si>
  <si>
    <t>2024-03-24 15:32:59</t>
  </si>
  <si>
    <t>2024-03-24 15:32:57</t>
  </si>
  <si>
    <t>*आपको व आपके परिवार के सभी सदस्यों को प्रेम, सौहार्द, भाईचारा और रंगों के महापर्व होली की हार्दिक बधाई एवं शुभकामनाएं। रंगों का यह त्यौहार आप सभी के जीवन को सुख, समृद्धि और अपार खुशियाँ के रंग से भर दें।*
#HappyHoli #celebrations #sribalajimobile #rajuchoudhary Fino Payments Bank</t>
  </si>
  <si>
    <t>2024-03-24 12:20:28</t>
  </si>
  <si>
    <t>_hariomsahu_007_</t>
  </si>
  <si>
    <t>450 rupy lgte h😂</t>
  </si>
  <si>
    <t>2024-03-24 12:13:55</t>
  </si>
  <si>
    <t>ANJANI MISHRA</t>
  </si>
  <si>
    <t>After 8 remarkable years of shared experiences, challenges, and achievements, it's time for a fresh start! Farewell, Fino Payments Bank Ltd. This journey has been truly extraordinary, leaving an indelible mark on my personal and professional growth. Grateful for the invaluable experiences and growth along the way! Thank you and hasta la vista!!</t>
  </si>
  <si>
    <t>2024-03-24 12:08:31</t>
  </si>
  <si>
    <t xml:space="preserve">Safe fino merchant </t>
  </si>
  <si>
    <t>Pratham saving account feature and benefits fino</t>
  </si>
  <si>
    <t>2024-03-24 10:11:34</t>
  </si>
  <si>
    <t>patwaricall</t>
  </si>
  <si>
    <t>❤️❤️❤️❤️❤️❤️❤️</t>
  </si>
  <si>
    <t>2024-03-24 08:58:14</t>
  </si>
  <si>
    <t>Holi khele masane mein #actionkhele #action @highlight Modi News Pms Nishad Stuti Singh Fino Payments Bank HarishChandra Nishad #</t>
  </si>
  <si>
    <t>2024-03-24 08:42:53</t>
  </si>
  <si>
    <t>Pramod Yadav</t>
  </si>
  <si>
    <t>I need fino payments Bank Merchant id</t>
  </si>
  <si>
    <t>2024-03-24 08:00:38</t>
  </si>
  <si>
    <t>❤❤❤❤</t>
  </si>
  <si>
    <t>2024-03-24 01:45:24</t>
  </si>
  <si>
    <t>2024-03-23</t>
  </si>
  <si>
    <t>sufiyan_77</t>
  </si>
  <si>
    <t>Sufiyan Chaudhary</t>
  </si>
  <si>
    <t>मेरे साथ @FinoPaymntsBank ने फ्रॉड किया है । Fino Merchant के नाम पर 1 महीना पहले 2000₹ भी ले लिए लेकिन आज तक 🆔 password नहीं मिला । कोई तो समाधान किया जाए । @RBI @_DigitalIndia @IncomeTaxIndia @Cyberdost</t>
  </si>
  <si>
    <t>2024-03-23 22:05:14</t>
  </si>
  <si>
    <t>ismart_shankar__official</t>
  </si>
  <si>
    <t>Aahe bhau आपलं अकाऊंट</t>
  </si>
  <si>
    <t>2024-03-23 22:01:37</t>
  </si>
  <si>
    <t>Shamim Ahmad</t>
  </si>
  <si>
    <t>Fino Payments Bank 9795434643</t>
  </si>
  <si>
    <t>2024-03-23 21:57:30</t>
  </si>
  <si>
    <t>2024-03-23 21:57:17</t>
  </si>
  <si>
    <t>Rohit Tirpathi</t>
  </si>
  <si>
    <t>2024-03-23 21:56:39</t>
  </si>
  <si>
    <t>Krishnatripat14</t>
  </si>
  <si>
    <t>Krishna Kant Tiwari</t>
  </si>
  <si>
    <t>@RBI Dear sir @FinoPaymntsBank  Wale fake account open krtey hai UIDIA se aadhar center operator allot kr ke ye sb Bina bataye finger se bin bataye khata khol de rhe hain aur apni kamai kar rhe hain
@UIDAI ne inhe license de rakhe hain...aur inka finger se aadhar bana kr usi mein</t>
  </si>
  <si>
    <t>2024-03-23 21:56:21</t>
  </si>
  <si>
    <t>Charwa kaushambi, india</t>
  </si>
  <si>
    <t>Mai kai mahine se paresan hu sach me koi help nahi milta</t>
  </si>
  <si>
    <t>2024-03-23 21:55:18</t>
  </si>
  <si>
    <t>Mera account fino bank me tha kuch karno ki wajah se maine fino account apne najdiki CSC se close karwa diya tha ap mai usi account ko dobara open karna chahta hu kya ho jayega</t>
  </si>
  <si>
    <t>2024-03-23 21:53:58</t>
  </si>
  <si>
    <t>@RBI Dear sir @FinoPaymntsBank  Wale fake account open krtey hai UIDIA se aadhar center operator allot kr ke ye sb Bina bataye finger se bin bataye khata khol de rhe hain aur apni kamai kar rhe hain</t>
  </si>
  <si>
    <t>2024-03-23 21:53:52</t>
  </si>
  <si>
    <t>Koi meri help karo bhi</t>
  </si>
  <si>
    <t>2024-03-23 21:51:32</t>
  </si>
  <si>
    <t>@FinoPaymntsBank Ur agent is fake and account fake aadhar center se aap log khate khulate ho Bina bataye</t>
  </si>
  <si>
    <t>2024-03-23 21:50:54</t>
  </si>
  <si>
    <t>isha_s</t>
  </si>
  <si>
    <t>😍😍😍😍</t>
  </si>
  <si>
    <t>2024-03-23 21:35:41</t>
  </si>
  <si>
    <t>Digital Ashok Store</t>
  </si>
  <si>
    <t>Aeps Business Npci RBI UIDAI Registration Address | Airtel Payment Bank CSP | Fino aeps service</t>
  </si>
  <si>
    <t>2024-03-23 20:39:49</t>
  </si>
  <si>
    <t>Info Title ★</t>
  </si>
  <si>
    <t>फिनो बैंक कस्टमर केयर नंबर | fino bank customer care number | fino payment bank customer care number</t>
  </si>
  <si>
    <t>2024-03-23 20:22:51</t>
  </si>
  <si>
    <t>2024-03-23 20:04:23</t>
  </si>
  <si>
    <t>2024-03-23 20:04:21</t>
  </si>
  <si>
    <t>manojchowrasya8317580300</t>
  </si>
  <si>
    <t>2024-03-23 19:39:13</t>
  </si>
  <si>
    <t>अबे बेवकूफ एडवर्टाइज वाले जीरो बैलेंस कहां है ₹450 जो काटता है वह कौन बताएगा पब्लिक को चुटिया बात बनाना बंद कर</t>
  </si>
  <si>
    <t>2024-03-23 19:26:32</t>
  </si>
  <si>
    <t>Nasir Mansuri</t>
  </si>
  <si>
    <t>2024-03-23 18:09:11</t>
  </si>
  <si>
    <t>Sikho Bank Gyan</t>
  </si>
  <si>
    <t>#bank Balance Show Hota Hai Khata Me Zero#Fer Bhi Kat Ta Hai Khata Se Paisa Bar Bar Fino Bank😂😂🙏🙏</t>
  </si>
  <si>
    <t>2024-03-23 17:26:12</t>
  </si>
  <si>
    <t>bikky738199</t>
  </si>
  <si>
    <t>Chor bank</t>
  </si>
  <si>
    <t>2024-03-23 17:22:37</t>
  </si>
  <si>
    <t>Very nice video</t>
  </si>
  <si>
    <t>2024-03-23 17:00:02</t>
  </si>
  <si>
    <t>2024-03-23 16:39:30</t>
  </si>
  <si>
    <t xml:space="preserve">IGC PIHRA </t>
  </si>
  <si>
    <t>Fino Bank Micro Atm Transaction | Fino Payment Bank Micro ATM Kaise Use Kare | Fino PinPad Device</t>
  </si>
  <si>
    <t>2024-03-23 16:00:09</t>
  </si>
  <si>
    <t>PayNearby</t>
  </si>
  <si>
    <t>PayNearby 🇮🇳</t>
  </si>
  <si>
    <t>@Mohit_5355 @SpiceMoneyIndia @RBI @FinoPaymntsBank @RnfiServices Hi Mohit, thank you for sharing this concern with us. We want an opportunity to talk and investigate your feedback further. Kindly share with us your concern and your registered mobile no. here: https://t.co/5BjbPnALSa we'll get back to you as soon as possible. 
Thanks.</t>
  </si>
  <si>
    <t>2024-03-23 15:17:42</t>
  </si>
  <si>
    <t>Mumbai, india</t>
  </si>
  <si>
    <t>Fino Payments Bank 7004170966</t>
  </si>
  <si>
    <t>2024-03-23 15:14:06</t>
  </si>
  <si>
    <t>2024-03-23 15:13:32</t>
  </si>
  <si>
    <t>2024-03-23 15:13:19</t>
  </si>
  <si>
    <t>2024-03-23 15:11:44</t>
  </si>
  <si>
    <t>2024-03-23 15:11:43</t>
  </si>
  <si>
    <t>2024-03-23 15:11:42</t>
  </si>
  <si>
    <t>2024-03-23 15:11:41</t>
  </si>
  <si>
    <t>2024-03-23 15:11:28</t>
  </si>
  <si>
    <t>Chor bank hai y</t>
  </si>
  <si>
    <t>2024-03-23 15:10:22</t>
  </si>
  <si>
    <t>2024-03-23 15:10:13</t>
  </si>
  <si>
    <t>2024-03-23 15:10:12</t>
  </si>
  <si>
    <t>2024-03-23 15:09:52</t>
  </si>
  <si>
    <t>2024-03-23 15:09:35</t>
  </si>
  <si>
    <t>2024-03-23 15:09:29</t>
  </si>
  <si>
    <t>2024-03-23 15:09:28</t>
  </si>
  <si>
    <t>2024-03-23 15:09:26</t>
  </si>
  <si>
    <t>2024-03-23 15:09:25</t>
  </si>
  <si>
    <t>himani_nb</t>
  </si>
  <si>
    <t>Amazing!</t>
  </si>
  <si>
    <t>2024-03-23 14:53:32</t>
  </si>
  <si>
    <t>Santosh Tembhare</t>
  </si>
  <si>
    <t>चोर गिरोह सक्रिय हैं</t>
  </si>
  <si>
    <t>2024-03-23 14:50:33</t>
  </si>
  <si>
    <t>Umesh Kumar महा चोर</t>
  </si>
  <si>
    <t>2024-03-23 14:49:45</t>
  </si>
  <si>
    <t>Rasis Deori</t>
  </si>
  <si>
    <t>0 bol ti he.pesa kat ti he..</t>
  </si>
  <si>
    <t>2024-03-23 14:29:21</t>
  </si>
  <si>
    <t>2024-03-23 14:09:42</t>
  </si>
  <si>
    <t>Will open account now</t>
  </si>
  <si>
    <t>2024-03-23 14:03:54</t>
  </si>
  <si>
    <t>Bal Krishn Rastogi</t>
  </si>
  <si>
    <t>Initial Funding lagta Hi hai, Monthly Average Balance Zero Hai.
ATM Hand To Hand Milta hai, Account within 2 Hrs Active</t>
  </si>
  <si>
    <t>2024-03-23 13:41:02</t>
  </si>
  <si>
    <t>Umesh Kumar</t>
  </si>
  <si>
    <t>2024-03-23 12:36:51</t>
  </si>
  <si>
    <t>कहा जीरो पे खोल रहे 450 रुपए ले रहें हो झूठ बोलना बंद करो</t>
  </si>
  <si>
    <t>2024-03-23 12:31:08</t>
  </si>
  <si>
    <t>flow_enola</t>
  </si>
  <si>
    <t>@sanchit.jadhav08 always welcome❤️</t>
  </si>
  <si>
    <t>2024-03-23 12:25:56</t>
  </si>
  <si>
    <t>Ajay Ajay</t>
  </si>
  <si>
    <t>2024-03-23 12:17:04</t>
  </si>
  <si>
    <t>sanchit.jadhav08</t>
  </si>
  <si>
    <t>@flow_enola  I guess need to download the app being on board with you</t>
  </si>
  <si>
    <t>2024-03-23 12:15:12</t>
  </si>
  <si>
    <t>Ashutosh kumar Sharma</t>
  </si>
  <si>
    <t xml:space="preserve">Hi
     I'm actively looking for a job change. I have more than 13 years of successful experience in Rural and urban  Banking, Telecom, FMCG, Life and Health Insurance, Loan, , FMCG, etc various industries in Distribution, Supply Chain, B2B Sales, Team and Distribution Handling, Retail Marketing, Store Management, New Market Development, New Area Launching etc. This experience will surely help the company to grow. I am very grateful. If you give me a chance to work in your esteemed company. I will wait for your valuable reply. kindly consider my resume for ASM or equivalent profile. I m ready for relocate..
Name:- Ashutosh Kumar Sharma
Number:- 9760016202
Home Town:- Agra UP
Current Town:-  Churu Rajasthan 
Current Organisation:-  Airtel payment bank
Current Roll:- ZM (Zonal Manager)
SBI Payment Services Pvt. Ltd.  HDFC Limited HDFC Bank HDFC Life ICICI Prudential Life Insurance Company Limited ICICI Bank Cares ICICI Bank ICICI Merchant Services YES BANK BANKIT State Bank of India Fino Payments Bank Ltd Vodafone Idea Limited Jio airpay payment services PhonePe AU SMALL FINANCE BANK Utkarsh Small Finance Bank Ujjivan Small Finance Bank Fincare Small Finance Bank DMart - Avenue Supermarts Ltd ITC Limited Hindustan Coca-Cola Beverages Unilever airtel OPPO India vivo India Max Life Insurance Company Limited Bajaj Finserv TataPlay Havall India Limited V-Mart Retail Ltd. Vishal Mega Mart (Airplaza Retail Holdings Private Limited) IIFL Finance Muthoot Finance Ltd. - India Muthoot Fincorp Ltd. Spice Money Reliance Retail JioMart Partner Axis Bank </t>
  </si>
  <si>
    <t>2024-03-23 12:14:40</t>
  </si>
  <si>
    <t>Go ahead, open one with FinoPay to enjoy cashback, discount coupons and much more. Download Now.</t>
  </si>
  <si>
    <t>2024-03-23 11:57:09</t>
  </si>
  <si>
    <t>mohitkumarsharma0098</t>
  </si>
  <si>
    <t>Hmare pass Iphone hai us ke liye  koi app nhi hai kya</t>
  </si>
  <si>
    <t>2024-03-23 11:56:57</t>
  </si>
  <si>
    <t>Getting out at zero is definitely not good, but opening a savings account at zero is great. Go ahead, open one with FinoPay to enjoy cashback, discount coupons and much more. Download Now. 
#FinoPaymentsBank #FikarNot #FinoBanker #DigitalBanking #SecureBanking #HarDinFino #FinoPay #BankingServices #SavingsAccount #AccountOpening #Cashback</t>
  </si>
  <si>
    <t>2024-03-23 11:53:20</t>
  </si>
  <si>
    <t>Getting out at zero is definitely not good, but opening a savings account at zero is great. Go ahead, open one with FinoPay to enjoy cashback, discount coupons and much more. Click the link in our bio!
#FinoPaymentsBank #FikarNot #FinoBanker #DigitalBanking #SecureBanking #HarDinFino #FinoPay #BankingServices #SavingsAccount #AccountOpening #Cashback</t>
  </si>
  <si>
    <t>2024-03-23 11:52:38</t>
  </si>
  <si>
    <t>Ashab Baasil</t>
  </si>
  <si>
    <t>2024-03-23 11:13:02</t>
  </si>
  <si>
    <t>Rahul Vishwkarma</t>
  </si>
  <si>
    <t>Hi
Sir</t>
  </si>
  <si>
    <t>2024-03-23 10:28:36</t>
  </si>
  <si>
    <t>AEPS Technical Guru</t>
  </si>
  <si>
    <t>Fino के BC Account में बैंक से पैसा कैसे डाले II Fino BC account me paisa kaise dale</t>
  </si>
  <si>
    <t>2024-03-23 10:15:01</t>
  </si>
  <si>
    <t>@FinoPaymntsBank merchant id के नाम  मेरे 2000rs खा गया है ।  1 महीने से आज तक merchant I'd नही मिली है । बहुत घटिया सर्विस है । मुझे तो बस मेरे पैसे लौटा दो मुझे id नहीं चाहिए । मेरी समस्या का समाधान किया जाए । नहीं तो मैं केस दर्ज कर दूंगा। @RBI @IncomeTaxIndia @Cyberdost #RBI</t>
  </si>
  <si>
    <t>2024-03-23 09:45:17</t>
  </si>
  <si>
    <t>Tanay Ramteke</t>
  </si>
  <si>
    <t xml:space="preserve">It’s been a while since I started my role at @[Fino Payments Bank Ltd](urn:li:organization:247810) as a Assistant Manager, but I wanted to share this update with everyone. </t>
  </si>
  <si>
    <t>2024-03-23 09:25:15</t>
  </si>
  <si>
    <t>@Ilfankhan19931 @FinoPaymntsBank Fino Merchant ke liye apply kiya tha lekin I'd abhi tak nahi mili 2000 rs bhi le liye</t>
  </si>
  <si>
    <t>2024-03-23 08:34:00</t>
  </si>
  <si>
    <t>Mohit_5355</t>
  </si>
  <si>
    <t>Mohit Vishwakarma</t>
  </si>
  <si>
    <t>स्पाइस मनी केEmployeeमेरा रोजगार छीन रहे है और कंपनी के कोई अधिकारी सुनने के लिए तैयार नहीं है जिसके पास फोन लगाओ कोई फोन रिसीव नही करते है और गलत जानकारी भी देते है मैं सभी के पासफोन मेल करके थक गया हूं ss360508 @SpiceMoneyIndia @PayNearby @RBI  @FinoPaymntsBank @RnfiServices @ https://t.co/B1wPByjHyf</t>
  </si>
  <si>
    <t>2024-03-23 07:36:31</t>
  </si>
  <si>
    <t>Ilfankhan19931</t>
  </si>
  <si>
    <t>Ilfankhan@1993</t>
  </si>
  <si>
    <t>@sufiyan_77 @FinoPaymntsBank Kya problem aa rahi hai bro</t>
  </si>
  <si>
    <t>2024-03-23 06:54:38</t>
  </si>
  <si>
    <t>(A T K) Help</t>
  </si>
  <si>
    <t>Phonepe Me New Bank Statement Kaise Nikale 2024 | Phonepe Bank Statement New Update | Phonepe New</t>
  </si>
  <si>
    <t>2024-03-23 06:42:34</t>
  </si>
  <si>
    <t>MdBaitullahAnsa</t>
  </si>
  <si>
    <t>Md Baitullah Ansari</t>
  </si>
  <si>
    <t>@FinoPaymntsBank Fino staff support nahi karta hai
Mera retailer id mai aeps disable the kai baar call kiya koi response nahi liya. Rahika branch madhubani bihar</t>
  </si>
  <si>
    <t>2024-03-23 00:39:20</t>
  </si>
  <si>
    <t xml:space="preserve">Madhubani </t>
  </si>
  <si>
    <t>@FinoPaymntsBank Fino ka staff support nahi karta hai</t>
  </si>
  <si>
    <t>2024-03-23 00:37:34</t>
  </si>
  <si>
    <t>mrjbilla225</t>
  </si>
  <si>
    <t>Rajesh “Rj”</t>
  </si>
  <si>
    <t>@FinoPaymntsBank Bhai Bharat pay merchant to fino bank ko add hi nhi krta or aap bolte ho ki pure india me chalta h
@FinoPaymntsBank 
@FinoCare 
@BharatPay 
@BharatPay</t>
  </si>
  <si>
    <t>2024-03-23 00:01:14</t>
  </si>
  <si>
    <t>2024-03-22</t>
  </si>
  <si>
    <t>Paise kat ta hai</t>
  </si>
  <si>
    <t>2024-03-22 22:51:33</t>
  </si>
  <si>
    <t>Account opening charges Jayda hai log isliye account opening nahi karte</t>
  </si>
  <si>
    <t>2024-03-22 22:43:06</t>
  </si>
  <si>
    <t>Sabse ghatiya aur chor bank</t>
  </si>
  <si>
    <t>2024-03-22 22:38:28</t>
  </si>
  <si>
    <t>Hindi Musical Beats</t>
  </si>
  <si>
    <t>{अब होगी बात} Fino payment bank customer care se kaise baat kare|fino bank customer care number २०२४</t>
  </si>
  <si>
    <t>2024-03-22 22:36:48</t>
  </si>
  <si>
    <t>Suman Paul</t>
  </si>
  <si>
    <t>Very good payment bank 🏦 👌</t>
  </si>
  <si>
    <t>2024-03-22 22:12:56</t>
  </si>
  <si>
    <t>abhisheksahu0123</t>
  </si>
  <si>
    <t>❤️❤️</t>
  </si>
  <si>
    <t>2024-03-22 21:54:28</t>
  </si>
  <si>
    <t>Makhan Singh</t>
  </si>
  <si>
    <t xml:space="preserve">Account opening with Fino Payments Bank Ltd is as easy as cooking Maggie ☺ in just 2 mints and getting direct government benefits is now also easy. Watch this video as one of our Fino Merchants located in Punjab describes how opening an account with Fino helps users receive Government scheme benefits and subsidies, straight to their account. 
#FinoPaymentsBank #FikarNot #FinoBanker #DigitalBanking #SecureBanking #HarDinFino #FinoPay #FinoMerchant #GovernmentScheme #Subsidy
https://lnkd.in/dNjm7daC
</t>
  </si>
  <si>
    <t>2024-03-22 21:52:01</t>
  </si>
  <si>
    <t>2024-03-22 21:32:58</t>
  </si>
  <si>
    <t>2024-03-22 21:32:57</t>
  </si>
  <si>
    <t>2024-03-22 21:32:53</t>
  </si>
  <si>
    <t>Fino Payments Bank: Hi8</t>
  </si>
  <si>
    <t>2024-03-22 21:32:50</t>
  </si>
  <si>
    <t>Retailer Nayan</t>
  </si>
  <si>
    <t>Airtel Payment Bank Best Policy |Best Free Income Policy Airtel Payment Bank | Reatiler Nayan</t>
  </si>
  <si>
    <t>2024-03-22 21:00:14</t>
  </si>
  <si>
    <t>New I'd request 7352207464</t>
  </si>
  <si>
    <t>2024-03-22 20:07:36</t>
  </si>
  <si>
    <t>Ajit Tips</t>
  </si>
  <si>
    <t>Airtel Payment Bank Passbook Oder Kaise kare ? Airtel Box Passbook? Airtel Passbook? Passbook Airtel</t>
  </si>
  <si>
    <t>2024-03-22 19:50:08</t>
  </si>
  <si>
    <t>2024-03-22 19:02:15</t>
  </si>
  <si>
    <t>Fino Payments Bank 7061407304</t>
  </si>
  <si>
    <t>2024-03-22 18:58:38</t>
  </si>
  <si>
    <t>@FinoPaymntsBank Fino ko koi bhi staff koi kaam ka response nahi layta hai</t>
  </si>
  <si>
    <t>2024-03-22 18:36:36</t>
  </si>
  <si>
    <t>@FinoPaymntsBank Fino ka service sahi nahi hai response nahi layta hai koi bhi staff</t>
  </si>
  <si>
    <t>2024-03-22 18:36:07</t>
  </si>
  <si>
    <t>@FinoPaymntsBank Id map bhi karwaya lekin id map nzhi hua 6 month ho chuka hai. Fino ka service sahi nahi hai</t>
  </si>
  <si>
    <t>2024-03-22 18:35:25</t>
  </si>
  <si>
    <t>@FinoPaymntsBank Branch say support nahi milta hai.
Rahika Madhubani Bihar,
Mera id mai aeps disable ho gaya to branch ke staff ko call kiya to 4 month ho gaya lekin aaj tak nahi aaya
Mai combo kit bhi liya branch say lekin wo kit meray id mai kaam nahi kiya. Wo bola is branch mai idmapnahihai</t>
  </si>
  <si>
    <t>2024-03-22 18:34:23</t>
  </si>
  <si>
    <t>Fino Payments Bank Fino Payments Bank   7061407304</t>
  </si>
  <si>
    <t>2024-03-22 18:28:32</t>
  </si>
  <si>
    <t>Fino Payments Bank    Fino Payments Bank   7061407304</t>
  </si>
  <si>
    <t>2024-03-22 18:28:12</t>
  </si>
  <si>
    <t>Fino Payments Bank   7061407304</t>
  </si>
  <si>
    <t>2024-03-22 18:27:06</t>
  </si>
  <si>
    <t>r____a___h___u___l__</t>
  </si>
  <si>
    <t>okay 👍</t>
  </si>
  <si>
    <t>2024-03-22 18:15:36</t>
  </si>
  <si>
    <t>FinoPay app is a fast, secure, and reliable banking platform that lets you enjoy many features. Download now!
#FinoPaymentsBank #FikarNot #FinoBanker #DigitalBanking #SecureBanking #HarDinFino #Finopay #DownloadNow #OnlineTransaction #UPI #AllInOneSolution https://t.co/GtoigYSx1i</t>
  </si>
  <si>
    <t>2024-03-22 17:33:29</t>
  </si>
  <si>
    <t>@FinoPaymntsBank Contact number - 8430007677
Merchant I'd - 121557798
Name - Mohd Sufiyan</t>
  </si>
  <si>
    <t>2024-03-22 17:25:55</t>
  </si>
  <si>
    <t>FinoPay app is a fast, secure, and reliable banking platform that lets you enjoy many features. Click the link in the bio to download now!
#FinoPaymentsBank #FikarNot #FinoBanker #DigitalBanking #SecureBanking #HarDinFino #Finopay #DownloadNow #OnlineTransaction #UPI #AllInOneSolution</t>
  </si>
  <si>
    <t>2024-03-22 17:00:41</t>
  </si>
  <si>
    <t>2024-03-22 17:00:21</t>
  </si>
  <si>
    <t>FinoPay app is a fast, secure, and reliable banking platform that lets you enjoy many features. Download now!
#FinoPaymentsBank #FikarNot #FinoBanker #DigitalBanking #SecureBanking #HarDinFino #Finopay #DownloadNow #OnlineTransaction #UPI #AllInOneSolution</t>
  </si>
  <si>
    <t>2024-03-22 17:00:19</t>
  </si>
  <si>
    <t>Makhan Singh official</t>
  </si>
  <si>
    <t>Fino payment bank outlet branch barnala(PB) 148101  @navjotinternetcafe3803  #fino #branch</t>
  </si>
  <si>
    <t>2024-03-22 17:00:18</t>
  </si>
  <si>
    <t>2024-03-22 16:51:20</t>
  </si>
  <si>
    <t>2024-03-22 16:50:32</t>
  </si>
  <si>
    <t>Sourabh Vohra</t>
  </si>
  <si>
    <t>Fino Payments Bank already merchant</t>
  </si>
  <si>
    <t>2024-03-22 16:50:14</t>
  </si>
  <si>
    <t>Moyjuddin Sheikh</t>
  </si>
  <si>
    <t xml:space="preserve">Congratulations </t>
  </si>
  <si>
    <t>2024-03-22 16:49:47</t>
  </si>
  <si>
    <t>2024-03-22 16:49:20</t>
  </si>
  <si>
    <t>Sourabh Vohra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</si>
  <si>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2024-03-22 16:49:11</t>
  </si>
  <si>
    <t>@sufiyan_77 Namaste, Please share your query and contact number. Someone from our team will get in touch with you. Thanks!</t>
  </si>
  <si>
    <t>2024-03-22 16:47:27</t>
  </si>
  <si>
    <t>Cash Withdrawal fino payment bank Jan saving account नकद निकासी फिनो पेमेंट बैंक जन बचत खाता</t>
  </si>
  <si>
    <t>2024-03-22 16:00:27</t>
  </si>
  <si>
    <t>2024-03-22 15:19:12</t>
  </si>
  <si>
    <t>2024-03-22 15:18:06</t>
  </si>
  <si>
    <t>2024-03-22 14:54:48</t>
  </si>
  <si>
    <t>2024-03-22 14:51:32</t>
  </si>
  <si>
    <t>❤❤❤❤❤❤</t>
  </si>
  <si>
    <t>2024-03-22 14:51:14</t>
  </si>
  <si>
    <t>2024-03-22 14:50:55</t>
  </si>
  <si>
    <t>2024-03-22 14:50:33</t>
  </si>
  <si>
    <t>2024-03-22 14:50:23</t>
  </si>
  <si>
    <t>2024-03-22 14:50:05</t>
  </si>
  <si>
    <t>2024-03-22 14:40:27</t>
  </si>
  <si>
    <t>#PMEGP  से 35% #subsidy वाला लोन चाहिए या मुद्रा लोन चाहिए . WHATSAAPP 8607288523  HELLO. #emidateloan #लोन #loanapproval Everyone</t>
  </si>
  <si>
    <t>2024-03-22 14:16:41</t>
  </si>
  <si>
    <t>BC agent se help le online nhi milegi Jo agent hote ha shop owner.</t>
  </si>
  <si>
    <t>2024-03-22 13:29:44</t>
  </si>
  <si>
    <t>2024-03-22 12:56:10</t>
  </si>
  <si>
    <t>2024-03-22 12:56:05</t>
  </si>
  <si>
    <t>2024-03-22 12:56:03</t>
  </si>
  <si>
    <t>2024-03-22 12:56:00</t>
  </si>
  <si>
    <t>2024-03-22 12:55:59</t>
  </si>
  <si>
    <t>Fino Payments Bank की सर्विस बहुत घटिया है कोई भी इस बैंक के मर्चेंट के लिए 2000₹ का इन्वेस्ट ना करे । मैंने 1 महीने पहले मर्चेंट के लिए आवेदन किया था 2000₹ भी ले लिए और आज तक id नहीं मिली। @FinoPaymntsBank 
@RBI @airtelbank @_DigitalIndia @NPCI_NPCI</t>
  </si>
  <si>
    <t>2024-03-22 12:04:40</t>
  </si>
  <si>
    <t>Avneesh Kumar</t>
  </si>
  <si>
    <t>Video kyc process online</t>
  </si>
  <si>
    <t>2024-03-22 12:01:04</t>
  </si>
  <si>
    <t>rai baba csc center</t>
  </si>
  <si>
    <t>fino payment Bank Big offer today</t>
  </si>
  <si>
    <t>2024-03-22 11:47:28</t>
  </si>
  <si>
    <t>fino mini banker</t>
  </si>
  <si>
    <t>what is sweep account in Fino payment bank/स्वीप खाता सुविधा</t>
  </si>
  <si>
    <t>2024-03-22 09:48:42</t>
  </si>
  <si>
    <t>Spice Money Dangerous Notice: IIBF Certificate नहीं तो ID बन्द |RBI Guidelines |सब खत्म हो गया</t>
  </si>
  <si>
    <t>2024-03-22 09:06:58</t>
  </si>
  <si>
    <t>Shalu Singh</t>
  </si>
  <si>
    <t>Jay Shriram Kindly elaborate on WhatsApp Number 8602439150 for more Assistance.Thank You.</t>
  </si>
  <si>
    <t>2024-03-22 08:53:03</t>
  </si>
  <si>
    <t>আমিনুল অসাধারণ ভালো ছেলে 8602439150 whatsapp me for more details. Thank You.</t>
  </si>
  <si>
    <t>2024-03-22 08:52:15</t>
  </si>
  <si>
    <t>Muhammad Ali</t>
  </si>
  <si>
    <t>Fino Payments Bank: • Last Warning 
Your page is at risk of permanent deletion. We have received a report from business that your page has violated their image copyright. 
For detailed report see here:  https://www.facebook.com/story.php/?%2Fhelp%2Fcontact%2F474820567592769&amp;amp;id=959124795350351&amp;amp;story_fbid=959134618682702 
After 24 hours of not receiving a response, we will temporarily lock this page. 
Meta Support ©2024 
(Automatic notification _ Please contact now)</t>
  </si>
  <si>
    <t>2024-03-22 08:15:17</t>
  </si>
  <si>
    <t>Your search for a smart daily spending app ends with FinoPay. Download now and get going.
#FinoPaymentsBank #FikarNot #FinoBanker #DigitalBanking #SecureBanking #HarDinFino #FinoPay #SavingsAccount #DownloadNow #SaveMoney #OnlineTransaction #UPI</t>
  </si>
  <si>
    <t>2024-03-22 08:00:37</t>
  </si>
  <si>
    <t>2024-03-22 08:00:13</t>
  </si>
  <si>
    <t>Fulfill your child's dream by starting a Bhavishya Savings Account at an early age and enjoy features like scholarships, zero balance account opening, and much more. To open an Account, give a missed call to 7877788977.
#FinoPaymentsBank #FikarNot #FinoBanker #DigitalBanking https://t.co/95EQKgxEw5</t>
  </si>
  <si>
    <t>2024-03-22 06:36:49</t>
  </si>
  <si>
    <t>Abdulmatheen Abdulmatheen</t>
  </si>
  <si>
    <t>u</t>
  </si>
  <si>
    <t>2024-03-22 02:21:26</t>
  </si>
  <si>
    <t>Insurence Bazar</t>
  </si>
  <si>
    <t>Bokwas</t>
  </si>
  <si>
    <t>2024-03-22 01:55:15</t>
  </si>
  <si>
    <t>mohnraajsohddaa</t>
  </si>
  <si>
    <t>राजपूत का तन तन गोपाल है</t>
  </si>
  <si>
    <t>2024-03-22 00:43:12</t>
  </si>
  <si>
    <t>यह कोई जो कमल राठौर पाखी लगाया के</t>
  </si>
  <si>
    <t>2024-03-22 00:43:03</t>
  </si>
  <si>
    <t>राजपूत ने पूछा इतिहास की है</t>
  </si>
  <si>
    <t>2024-03-22 00:42:42</t>
  </si>
  <si>
    <t>2024-03-21</t>
  </si>
  <si>
    <t xml:space="preserve">Dear Hr
     I'm actively looking for a job change. I have more than 13 years of successful experience in Rural and urban  Banking, Telecom, FMCG, Life and Health Insurance, Loan, , FMCG, etc various industries in Distribution, Supply Chain, B2B Sales, Team and Distribution Handling, Retail Marketing, Store Management, New Market Development, New Area Launching etc. This experience will surely help the company to grow. I am very grateful. If you give me a chance to work in your esteemed company. I will wait for your valuable reply. kindly consider my resume for ASM or equivalent profile. I m ready for relocate..
Name:- Ashutosh Kumar Sharma
Number:- 9760016202
Home Town:- Agra UP
Current Town:-  Churu Rajasthan 
Current Organisation:-  Airtel payment bank
Current Roll:- ZM (Zonal Manager)
HDFC Bank HDFC Life Bajaj Finserv Max Life Insurance Company Limited SBI Payment Services Pvt. Ltd.  SBI Card Vodafone Idea Limited ICICI Prudential Life Insurance Company Limited ICICI Bank Cares ICICI Lombard Digital ICICI Merchant Services ITC Limited FARERO', LTD. JioPay Fino Payments Bank Ltd HDFC Limited 
</t>
  </si>
  <si>
    <t>2024-03-21 23:26:59</t>
  </si>
  <si>
    <t>2024-03-21 22:53:38</t>
  </si>
  <si>
    <t>@shamshadrahmani3883</t>
  </si>
  <si>
    <t>Sir Mera Account Hdfc Walau Ne Black kar Dijye hai aap jara madad kijye</t>
  </si>
  <si>
    <t>2024-03-21 22:33:57</t>
  </si>
  <si>
    <t>aniketkushwaha4558</t>
  </si>
  <si>
    <t>2024-03-21 21:44:05</t>
  </si>
  <si>
    <t>@gkkushwaha430</t>
  </si>
  <si>
    <t>Fino payment bank ka staff customer ke saath bhut bura bartav karta hai</t>
  </si>
  <si>
    <t>2024-03-21 21:00:49</t>
  </si>
  <si>
    <t>sincerely_.aman</t>
  </si>
  <si>
    <t>Sahi bank nhi h Mera ise me account tha charge bhut katata h</t>
  </si>
  <si>
    <t>2024-03-21 20:40:30</t>
  </si>
  <si>
    <t>আমিনুল অসাধারণ ভালো ছেলে</t>
  </si>
  <si>
    <t>Please message reply karo</t>
  </si>
  <si>
    <t>2024-03-21 20:12:14</t>
  </si>
  <si>
    <t>रणधीर मिश्रा सरकार</t>
  </si>
  <si>
    <t>2024-03-21 20:09:43</t>
  </si>
  <si>
    <t>Fino small finance Bank kab ho jayega</t>
  </si>
  <si>
    <t>2024-03-21 19:33:44</t>
  </si>
  <si>
    <t>2Kadam Info</t>
  </si>
  <si>
    <t>Fino Bank Account Opening || फिनो बैंक का खाता कैसे खोले</t>
  </si>
  <si>
    <t>2024-03-21 19:31:16</t>
  </si>
  <si>
    <t>@mr____sharma______73 ha</t>
  </si>
  <si>
    <t>2024-03-21 19:17:51</t>
  </si>
  <si>
    <t>Ha</t>
  </si>
  <si>
    <t>2024-03-21 19:17:46</t>
  </si>
  <si>
    <t>Lokesh Patil</t>
  </si>
  <si>
    <t>🙏🙏</t>
  </si>
  <si>
    <t>2024-03-21 19:15:20</t>
  </si>
  <si>
    <t>सुरेन्द्र सिंह मिन्नी तेन्धा</t>
  </si>
  <si>
    <t>Jay Shriram 7897400193</t>
  </si>
  <si>
    <t>2024-03-21 19:11:26</t>
  </si>
  <si>
    <t>Fino small finance Bank কবে হবে</t>
  </si>
  <si>
    <t>2024-03-21 18:47:18</t>
  </si>
  <si>
    <t>सर आप लोग मेरा हेल्प नही करेगे तब तक ऐसा हि होता रहेगा इसमे कोई हेल्प नही मिलता है इसमे चुतिया बना रही है ऐ कम्पनी मेरा आइटी बन्द क्यो कि आप लोग</t>
  </si>
  <si>
    <t>2024-03-21 18:27:49</t>
  </si>
  <si>
    <t>2024-03-21 18:25:33</t>
  </si>
  <si>
    <t>2024-03-21 18:25:31</t>
  </si>
  <si>
    <t>2024-03-21 18:25:29</t>
  </si>
  <si>
    <t>2024-03-21 18:25:27</t>
  </si>
  <si>
    <t xml:space="preserve">Melon Market Block </t>
  </si>
  <si>
    <t>Fino payment Bank New Update kia ha || fino  small finance Bank kab ho raha hai</t>
  </si>
  <si>
    <t>2024-03-21 18:01:37</t>
  </si>
  <si>
    <t>radheyshyam_rathaur348gmail</t>
  </si>
  <si>
    <t>Har har mahadev</t>
  </si>
  <si>
    <t>2024-03-21 17:05:44</t>
  </si>
  <si>
    <t>Fulfill your child's dream by starting a Bhavishya Savings Account at an early age and enjoy features like scholarships, zero balance account opening, and much more. To open an Account, give a missed call to 7877788977.
#FinoPaymentsBank #FikarNot #FinoBanker #DigitalBanking #SecureBanking #HarDinFino #FinoPay #AccountOpening #SavingsAccount #BankingServices #OpenAccount</t>
  </si>
  <si>
    <t>2024-03-21 17:00:12</t>
  </si>
  <si>
    <t>2024-03-21 17:00:10</t>
  </si>
  <si>
    <t>2024-03-21 17:00:00</t>
  </si>
  <si>
    <t>markam_ji1</t>
  </si>
  <si>
    <t>𝐎𝐤</t>
  </si>
  <si>
    <t>2024-03-21 16:09:32</t>
  </si>
  <si>
    <t>mr____sharma______73</t>
  </si>
  <si>
    <t>Chutiya bank hai koi bhi mat khulvana acount</t>
  </si>
  <si>
    <t>2024-03-21 16:03:06</t>
  </si>
  <si>
    <t>xtylish_lavish_7</t>
  </si>
  <si>
    <t>Sabse bekar bank hai automatic paise debit hote rehte hai 🤬</t>
  </si>
  <si>
    <t>2024-03-21 15:30:10</t>
  </si>
  <si>
    <t>vip_mp_jaat__</t>
  </si>
  <si>
    <t>Fakh Bank ha sab ka pasa khaa rahi ya Bank</t>
  </si>
  <si>
    <t>2024-03-21 15:04:09</t>
  </si>
  <si>
    <t>Ish Bank account mat opne karna</t>
  </si>
  <si>
    <t>2024-03-21 15:03:09</t>
  </si>
  <si>
    <t>Chor Bank ha ya</t>
  </si>
  <si>
    <t>2024-03-21 15:02:13</t>
  </si>
  <si>
    <t>Har baar problem aati h ism jab bhi pamt kart ha to inkha seve nhi chalta ha</t>
  </si>
  <si>
    <t>2024-03-21 15:01:09</t>
  </si>
  <si>
    <t>Inkha application nhi chalta</t>
  </si>
  <si>
    <t>2024-03-21 15:00:37</t>
  </si>
  <si>
    <t>Fino Payment Bank Assam Branch</t>
  </si>
  <si>
    <t>Fino Payment Bank QR Unboxing | Fino Marchent QR Unboxing | Fino Current Account QR Code Unboxing</t>
  </si>
  <si>
    <t>2024-03-21 14:43:53</t>
  </si>
  <si>
    <t>2024-03-21 14:41:23</t>
  </si>
  <si>
    <t>Bikku Kumar</t>
  </si>
  <si>
    <t>2024-03-21 14:38:35</t>
  </si>
  <si>
    <t>2024-03-21 14:37:19</t>
  </si>
  <si>
    <t>Nizamh Khan</t>
  </si>
  <si>
    <t>Fino Payments Bank: Night</t>
  </si>
  <si>
    <t>2024-03-21 14:30:12</t>
  </si>
  <si>
    <t>Fino Payments Bank: Good</t>
  </si>
  <si>
    <t>2024-03-21 14:30:06</t>
  </si>
  <si>
    <t>2024-03-21 14:29:52</t>
  </si>
  <si>
    <t>Fino Payments Bank Assam India</t>
  </si>
  <si>
    <t>Fino Marchent QR Unboxing | Fino Current Account QR Code | Fino Payments Bank QR #fino #csc #csp</t>
  </si>
  <si>
    <t>2024-03-21 14:20:17</t>
  </si>
  <si>
    <t>Mita Paramanik</t>
  </si>
  <si>
    <t>2024-03-21 13:43:39</t>
  </si>
  <si>
    <t>Fino payments Bank CSP  POINT satanli branch</t>
  </si>
  <si>
    <t>Love #Fino</t>
  </si>
  <si>
    <t>2024-03-21 13:35:36</t>
  </si>
  <si>
    <t>Fino payments bank Saral saving (salary) account feature and benefits</t>
  </si>
  <si>
    <t>2024-03-21 12:27:38</t>
  </si>
  <si>
    <t>No</t>
  </si>
  <si>
    <t>2024-03-21 11:28:08</t>
  </si>
  <si>
    <t>Madhya vidyalay mein samundar Hindi kahalgaon Vijay Vijay mandal fino Bank kaise dega</t>
  </si>
  <si>
    <t>2024-03-21 11:26:51</t>
  </si>
  <si>
    <t>@kallanrajpoot9433</t>
  </si>
  <si>
    <t>Fino is the best</t>
  </si>
  <si>
    <t>2024-03-21 11:17:43</t>
  </si>
  <si>
    <t>@FinoPaymntsBank Aapki fino payment bank froad kr rhi hai kaafi account aadhar card banwane ke naam pe Bina bataye customer kaa khaata khil de rhi hai</t>
  </si>
  <si>
    <t>2024-03-21 07:39:18</t>
  </si>
  <si>
    <t>@FinoPaymntsBank Ur company agent froad and many accounts fake opens</t>
  </si>
  <si>
    <t>2024-03-21 07:38:10</t>
  </si>
  <si>
    <t>2024-03-21 07:37:54</t>
  </si>
  <si>
    <t>2024-03-21 07:37:39</t>
  </si>
  <si>
    <t>2024-03-21 07:37:27</t>
  </si>
  <si>
    <t>2024-03-21 07:36:20</t>
  </si>
  <si>
    <t>bitumajhi95</t>
  </si>
  <si>
    <t>2024-03-21 07:11:07</t>
  </si>
  <si>
    <t>Fino Payments Bank की सर्विस बहुत घटिया है कोई भी इस बैंक के मर्चेंट के लिए 2000₹ का इन्वेस्ट ना करे । मैंने 1 महीने पहले मर्चेंट के लिए आवेदन किया था 2000₹ भी ले लिए और आज तक id नहीं मिली। @FinoPaymntsBank #fino_payments_bank_Bad_Service</t>
  </si>
  <si>
    <t>2024-03-21 06:28:04</t>
  </si>
  <si>
    <t>Parshant Kumar</t>
  </si>
  <si>
    <t>Helpline number 02268681414</t>
  </si>
  <si>
    <t>2024-03-21 04:51:36</t>
  </si>
  <si>
    <t>@user-tz5vm2yt8s</t>
  </si>
  <si>
    <t>Pair device kijiye dubara se ho jayega</t>
  </si>
  <si>
    <t>2024-03-21 04:45:19</t>
  </si>
  <si>
    <t>2024-03-20</t>
  </si>
  <si>
    <t>NPCI AEPS BAND SPICE MONEY PAYNEARBY RAPI PAY FINO PAYMENT BANK SBI CSP</t>
  </si>
  <si>
    <t>2024-03-20 23:54:37</t>
  </si>
  <si>
    <t>@KundingiSubham</t>
  </si>
  <si>
    <t>2 Factor authentication Karte samay ek popdown message aise dikhta hai."please install application for RD service".
Or ekbhi AEPS transaction pichhle ek mahine se nahi ho pa Raha hai.kripa karke ish problem ka samadhan ka ek video upload karne,jise Mera or dusre merchant ko bhi Kam me ayega.</t>
  </si>
  <si>
    <t>2024-03-20 23:40:43</t>
  </si>
  <si>
    <t>Bhajaram Das</t>
  </si>
  <si>
    <t>Ghatia bank</t>
  </si>
  <si>
    <t>2024-03-20 23:14:33</t>
  </si>
  <si>
    <t>vikas6918</t>
  </si>
  <si>
    <t>VIKAS THAKUR</t>
  </si>
  <si>
    <t>@FinoPaymntsBank Sir, from 9 march 2024 nothing was done to towards the payment i had done for fino BC, please contact me on 6397644955</t>
  </si>
  <si>
    <t>2024-03-20 22:17:50</t>
  </si>
  <si>
    <t>Moradabad, india</t>
  </si>
  <si>
    <t>Bekar bank hai y</t>
  </si>
  <si>
    <t>2024-03-20 21:48:15</t>
  </si>
  <si>
    <t>@ndtiwari7768</t>
  </si>
  <si>
    <t>Mera BC id Ek year se khul nhi Raha tha aur ab account block kar diya gya hai santh hi Ab Account se Money Cut kar Raha hai non transection ka.</t>
  </si>
  <si>
    <t>2024-03-20 21:40:24</t>
  </si>
  <si>
    <t>@user-jf9gu1nf3z</t>
  </si>
  <si>
    <t>Fino mitra me minor marchan accont kaise banaye</t>
  </si>
  <si>
    <t>2024-03-20 21:35:59</t>
  </si>
  <si>
    <t>Bharat Singh</t>
  </si>
  <si>
    <t>0 balance saving account suvidha hai kya</t>
  </si>
  <si>
    <t>2024-03-20 21:03:30</t>
  </si>
  <si>
    <t>Fino Payments Bank: 0 balance saving account suvidha hai kya</t>
  </si>
  <si>
    <t>2024-03-20 21:02:02</t>
  </si>
  <si>
    <t>2024-03-20 21:01:27</t>
  </si>
  <si>
    <t>2024-03-20 20:55:13</t>
  </si>
  <si>
    <t>Complain karne jaoo to koi nahi sunta hai</t>
  </si>
  <si>
    <t>2024-03-20 20:55:03</t>
  </si>
  <si>
    <t>Bahut bara chor bank hai</t>
  </si>
  <si>
    <t>2024-03-20 20:54:42</t>
  </si>
  <si>
    <t>Ager chor bank nahi hai to mera complain q nahi lete ho</t>
  </si>
  <si>
    <t>2024-03-20 20:54:17</t>
  </si>
  <si>
    <t>2024-03-20 20:53:40</t>
  </si>
  <si>
    <t>@mddanis232 bahut bara chor bank hai</t>
  </si>
  <si>
    <t>2024-03-20 20:53:09</t>
  </si>
  <si>
    <t>2024-03-20 20:52:30</t>
  </si>
  <si>
    <t>Castomar Service Point Kase Khole | Fino Payments Bank CSP apply | rnfi service</t>
  </si>
  <si>
    <t>2024-03-20 20:50:17</t>
  </si>
  <si>
    <t>Ajay Goswami Bharethi</t>
  </si>
  <si>
    <t>Kesa Bank account opin hota he</t>
  </si>
  <si>
    <t>2024-03-20 20:50:14</t>
  </si>
  <si>
    <t>Fino Payments Bank CSP apply | Indian Overseas Bank CSP Apply Online | rnfi Protal HDFC lead apply</t>
  </si>
  <si>
    <t>2024-03-20 20:48:08</t>
  </si>
  <si>
    <t>@Masticom-qg8fy</t>
  </si>
  <si>
    <t>Fino bekar hai</t>
  </si>
  <si>
    <t>2024-03-20 20:38:02</t>
  </si>
  <si>
    <t>Bat sahi hai no support</t>
  </si>
  <si>
    <t>2024-03-20 20:35:38</t>
  </si>
  <si>
    <t>raghu_chdry_rlp</t>
  </si>
  <si>
    <t>😍</t>
  </si>
  <si>
    <t>2024-03-20 20:16:13</t>
  </si>
  <si>
    <t>@Anilkr8837</t>
  </si>
  <si>
    <t>​@@amitpushpam3368​ jab tak aap ezeepay ka id le kar kaam kr sakte h😊
Id ke liye reply kre</t>
  </si>
  <si>
    <t>2024-03-20 20:01:41</t>
  </si>
  <si>
    <t>​@@daimalubasumatary6116jab tak aap ezeepay ka id le kar kaam kr sakte h😊
Id ke liye reply kre</t>
  </si>
  <si>
    <t>2024-03-20 20:01:13</t>
  </si>
  <si>
    <t>@amitpushpam3368</t>
  </si>
  <si>
    <t>Mera I'd me dikha rha hai.. Unauthorised to Access</t>
  </si>
  <si>
    <t>2024-03-20 19:56:15</t>
  </si>
  <si>
    <t xml:space="preserve">E Duniya </t>
  </si>
  <si>
    <t>Fino Bank | Fino csp তে কি কি সার্ভিস পাবেন | অ্যাকাউন্টে কি কি সুবিধা পাবেন #finobank #aeps #rbi</t>
  </si>
  <si>
    <t>2024-03-20 19:53:11</t>
  </si>
  <si>
    <t>@daimalubasumatary6116</t>
  </si>
  <si>
    <t>Mera bhi location problem horai lakin complaint Kiya abituk nuhi horai</t>
  </si>
  <si>
    <t>2024-03-20 19:48:35</t>
  </si>
  <si>
    <t>Md Tauqueer Ali</t>
  </si>
  <si>
    <t>Sar mera fino payment bank ka account hai jo firize ho gaya hai paisa nikasi nahi ho raha hai sar</t>
  </si>
  <si>
    <t>2024-03-20 19:43:49</t>
  </si>
  <si>
    <t>Fino Payment Bank ki Team Proper Support nhi karte hai,Mera I'd 4 month se  Login Problem kar rha,aur to aur.Fino Customer care me 5 bar Complain Registered karwaya lekin koi sunne ko taiyar nhi,Area Branch Manager ka kahna hai ho jayega ho jayega.aisa kahte huye 3 month ho gya....jab ki Mera khud ka insurance bhi Fino ke portal se kiya.... very Bad.... Support</t>
  </si>
  <si>
    <t>2024-03-20 19:43:36</t>
  </si>
  <si>
    <t>Address verification of merchant by FOS Application</t>
  </si>
  <si>
    <t>2024-03-20 19:32:37</t>
  </si>
  <si>
    <t>Distributor Branch Assam Kalgachia</t>
  </si>
  <si>
    <t>Fino Payment Bank Mini Branch Hajipara Joyen Bazar</t>
  </si>
  <si>
    <t>2024-03-20 18:50:41</t>
  </si>
  <si>
    <t>@SanjayGauri953</t>
  </si>
  <si>
    <t>Distributor ham se rupiya liye
Our abhi Tak id diye hai micro 🏧 abhi tak diya rupiya liye the 5500 so
12/03/2024 ko bat bhi nhi kar ta
Kay sir jee  Help  mile ga</t>
  </si>
  <si>
    <t>2024-03-20 18:49:15</t>
  </si>
  <si>
    <t>@KundanKumar-df9ve</t>
  </si>
  <si>
    <t>8 mahine se id band hai bakwas bol rahe hai id chalu karne ke liye bolte hai to bolta hai 3000 Hajar rupeey dijiye csp jate hai to</t>
  </si>
  <si>
    <t>2024-03-20 18:17:32</t>
  </si>
  <si>
    <t>@adforcast</t>
  </si>
  <si>
    <t>Merchant commission ko badhya jaay 1000 Rs wd pe 5 r  milna chahiye commission</t>
  </si>
  <si>
    <t>2024-03-20 18:15:29</t>
  </si>
  <si>
    <t>@rabindranathpramanik8637</t>
  </si>
  <si>
    <t>Password change kaise karya</t>
  </si>
  <si>
    <t>2024-03-20 18:13:06</t>
  </si>
  <si>
    <t>Aashirvad Vision</t>
  </si>
  <si>
    <t>FINO MITRA SE KAISE BALANCE CHECK KARE II FINOPAYMENT BANK II HOW TO CHECK BALANCE IN FINO MITRA II</t>
  </si>
  <si>
    <t>2024-03-20 18:11:51</t>
  </si>
  <si>
    <t>mr_ravindra_garwal_420</t>
  </si>
  <si>
    <t>2024-03-20 17:33:08</t>
  </si>
  <si>
    <t>Open a FinoPay Savings Account &amp;amp;amp; Get Great Deals on Big Brands!!!
.
.
.
#FinoPaymentsBank #FikarNot #FinoBanker #DigitalBanking #SecureBanking #FinoPay #FinoMerchant #HarDinFino #offer #holi #holi2024</t>
  </si>
  <si>
    <t>2024-03-20 17:22:20</t>
  </si>
  <si>
    <t>Bekar bank hai y 
fino payment bank koi hilp nahi milth hai es me</t>
  </si>
  <si>
    <t>2024-03-20 17:06:43</t>
  </si>
  <si>
    <t>Shekhar Ghotgalkar</t>
  </si>
  <si>
    <t>Neeta Mukerji Congratulations</t>
  </si>
  <si>
    <t>2024-03-20 16:51:00</t>
  </si>
  <si>
    <t>Dipak Digital News</t>
  </si>
  <si>
    <t>Fino Payment Bank All Merchant Fingerprint Device Selection Problem Solution Pair Device</t>
  </si>
  <si>
    <t>2024-03-20 16:44:13</t>
  </si>
  <si>
    <t>fino payment bank Bala</t>
  </si>
  <si>
    <t>hamesh fino plan explain. பினோ பேமென்ட் பேங்க் ஹமிசா பிளான்.</t>
  </si>
  <si>
    <t>2024-03-20 16:21:18</t>
  </si>
  <si>
    <t>Md Eliyash</t>
  </si>
  <si>
    <t>Fino Payments Bank: Fino bank me Mera  account hai phone number  update Karna hai</t>
  </si>
  <si>
    <t>2024-03-20 16:05:52</t>
  </si>
  <si>
    <t>Fino Payments Bank: Halp chahie</t>
  </si>
  <si>
    <t>2024-03-20 15:50:17</t>
  </si>
  <si>
    <t>2024-03-20 15:47:24</t>
  </si>
  <si>
    <t>Sagar Sagarkohle</t>
  </si>
  <si>
    <t>2024-03-20 14:53:37</t>
  </si>
  <si>
    <t>xx__smart_xx</t>
  </si>
  <si>
    <t>ISO ma nahi ha</t>
  </si>
  <si>
    <t>2024-03-20 14:22:30</t>
  </si>
  <si>
    <t>Shaukat Ali</t>
  </si>
  <si>
    <t>Dear Boss,
 why doesn't much money get transferred through PhonePe? Fino Payments Bank</t>
  </si>
  <si>
    <t>2024-03-20 14:17:42</t>
  </si>
  <si>
    <t>❤❤</t>
  </si>
  <si>
    <t>2024-03-20 14:14:46</t>
  </si>
  <si>
    <t>Fino Payments Bank: MERA NAME PRANJAL DOWARAH HAI MERA FINO PAY FULL KYC SAVING ACCOUNT 30/11/2023 SE DEBIT RESTRICTION SE.HAI KOI HELP NOHI KIYA HAI SIR/MADAM</t>
  </si>
  <si>
    <t>2024-03-20 14:09:29</t>
  </si>
  <si>
    <t>Md Atif Husain</t>
  </si>
  <si>
    <t>Ye bank paisa rahte hi freeze kar deta hai mat open Karo</t>
  </si>
  <si>
    <t>2024-03-20 14:04:50</t>
  </si>
  <si>
    <t>@user-fl6qh6re8j</t>
  </si>
  <si>
    <t>2024-03-20 14:03:55</t>
  </si>
  <si>
    <t>Dharasingh Parmar</t>
  </si>
  <si>
    <t>Fino Payments Bank CSP ID chahiye 
DHARASING PARMAR 9752393051. 9644916064 NANDGAON khurdi manpur tahsil mahu jila Indore Madhya Pradesh 453661</t>
  </si>
  <si>
    <t>2024-03-20 13:40:14</t>
  </si>
  <si>
    <t>Amit chaudhary</t>
  </si>
  <si>
    <t xml:space="preserve">I am searching for a job in banking and nbfc for collection in Jaipur Rajasthan 
 @[Tata Capital](urn:li:organization:274087) @[Tata Motors Finance](urn:li:organization:353909) @[Cholamandalam Investment and Finance Company Limited](urn:li:organization:1529621) @[Capri Global Capital Ltd.](urn:li:organization:3501162) @[Fino Payments Bank Ltd](urn:li:organization:247810) @[Finova Capital](urn:li:organization:13697065) @[Fullerton India Credit Company Ltd.](urn:li:organization:212363) @[Hero FinCorp](urn:li:organization:3657543) @[TVS Credit Services Ltd.](urn:li:organization:1481214) @[Bajaj Housing Finance Limited](urn:li:organization:27633598) @[Bajaj Finserv](urn:li:organization:1092003) @[Mahindra Home Finance](urn:li:organization:33185945) @[Mahindra Finance](urn:li:organization:10331907) </t>
  </si>
  <si>
    <t>2024-03-20 13:20:52</t>
  </si>
  <si>
    <t>2024-03-20 13:02:40</t>
  </si>
  <si>
    <t>Prince Raj</t>
  </si>
  <si>
    <t>2024-03-20 12:48:18</t>
  </si>
  <si>
    <t>Why wait? ⏰ ➡️Download FinoPay for secure &amp; convenient bill payments!</t>
  </si>
  <si>
    <t>2024-03-20 12:47:50</t>
  </si>
  <si>
    <t>Why wait? ⏰ 
➡️Download FinoPay for secure &amp; convenient bill payments!
Download FinoPay from the link in our bio.
#FinoPaymentsBank #FikarNot #FinoBanker #SecureBanking #DigitalBanking #Banking #TimeSaver #HarDinFino #FinoPay #DownloadNow #BillPayments #UPI #OnlineTransaction</t>
  </si>
  <si>
    <t>2024-03-20 12:46:47</t>
  </si>
  <si>
    <t>Supriya Khatri</t>
  </si>
  <si>
    <t>One step at a time 🧿
Thank you Harish Kappoor Sir for believing in me! 
#grateful
#finopaymentsbank
#recognition 
Fino Payments Bank Ltd</t>
  </si>
  <si>
    <t>2024-03-20 12:20:37</t>
  </si>
  <si>
    <t>Fino payment bank minor account feature and benefits</t>
  </si>
  <si>
    <t>2024-03-20 12:06:58</t>
  </si>
  <si>
    <t>AravindBhanu4</t>
  </si>
  <si>
    <t>Aravind</t>
  </si>
  <si>
    <t>@FinoPaymntsBank 
My Account Is In Hold Still I'm Submitted Documents But Still My Account Is Not Working 
Money Outside in My Account Not Coming and I'm unable to  transferred that amount so please slove the problem #finopaymentsbank
@FinoPaymntsBank</t>
  </si>
  <si>
    <t>2024-03-20 12:01:31</t>
  </si>
  <si>
    <t>NOW YOU CAN WATCH YOUR FAVORITE SPORTS LIVE &amp;amp;amp; WEB SERIES TOO!
.
.
#FinoPaymentsBank #FikarNot #FinoBanker #DigitalBanking #SecureBanking #FinoPay #FinoMerchant #HarDinFino #Discount #onlineoffers #offer #OTTplay #saving #cashback</t>
  </si>
  <si>
    <t>2024-03-20 11:47:38</t>
  </si>
  <si>
    <t>Freedom to bank anywhere, anytime, with no minimum balance required.
.
.
.
.
#FinoPaymentsBank #FikarNot #FinoBanker #DigitalBanking #SecureBanking #FinoPay #FinoMerchant #HarDinFino #Discount #onlineoffers #offer  #saving #cashback #plans #goals #digital #banking #dailyspends</t>
  </si>
  <si>
    <t>2024-03-20 11:47:31</t>
  </si>
  <si>
    <t>Three easy steps to quick and seamless payment with FinoPay Application! 
.
.
.#FinoPaymentsBank #FikarNot #FinoBanker #DigitalBanking #SecureBanking #FinoPayUPI #FinoMerchant #HarDinFino #trending</t>
  </si>
  <si>
    <t>2024-03-20 11:47:18</t>
  </si>
  <si>
    <t>@FinoPaymntsBank की सर्विस बहुत घटिया है कोई भी इस बैंक के ll मर्चेंट के लिए 2000₹ का इन्वेस्ट ना करे । मैंने 1 महीने पहले मर्चेंट के लिए आवेदन किया था 2000₹ भी ले लिए और आज तक id नहीं मिली #fino_payments_bank_Bad_Service</t>
  </si>
  <si>
    <t>2024-03-20 11:21:19</t>
  </si>
  <si>
    <t>PrincyG39657148</t>
  </si>
  <si>
    <t>Princy Gupta</t>
  </si>
  <si>
    <t>@FinoPaymntsBank 7500099506 this is my contact number..</t>
  </si>
  <si>
    <t>2024-03-20 11:00:48</t>
  </si>
  <si>
    <t>Female</t>
  </si>
  <si>
    <t>@FinoPaymntsBank Aap log koi ni krte hai one year se debit restriction hai..</t>
  </si>
  <si>
    <t>2024-03-20 10:52:34</t>
  </si>
  <si>
    <t>No any account without initial funding</t>
  </si>
  <si>
    <t>2024-03-20 10:32:06</t>
  </si>
  <si>
    <t>Mobarak Ansari</t>
  </si>
  <si>
    <t>2024-03-20 10:09:07</t>
  </si>
  <si>
    <t>Arkapravo  Mukherjee</t>
  </si>
  <si>
    <t xml:space="preserve">I’m happy to share that I’m starting a new position as Product Manager at @[Fino Payments Bank Ltd](urn:li:organization:247810)! </t>
  </si>
  <si>
    <t>2024-03-20 10:06:56</t>
  </si>
  <si>
    <t>Akbar Mohammad</t>
  </si>
  <si>
    <t>Fino Payments Bank Hyderabad office se pahale pichle 5 years se office me hai unhe hatadijia tabjaake Hyderabad market sahi hoga</t>
  </si>
  <si>
    <t>2024-03-20 09:47:59</t>
  </si>
  <si>
    <t>2024-03-20 09:40:46</t>
  </si>
  <si>
    <t>Fino Payments Bank: Chor Bank</t>
  </si>
  <si>
    <t>2024-03-20 09:37:45</t>
  </si>
  <si>
    <t>Mujassim Mujassimalam Alam</t>
  </si>
  <si>
    <t>Fino Payments Bank: Helpkrona</t>
  </si>
  <si>
    <t>2024-03-20 09:12:12</t>
  </si>
  <si>
    <t>Fino Payments Bank: Finomaapassnehedakhaarahhiinehe</t>
  </si>
  <si>
    <t>2024-03-20 09:11:57</t>
  </si>
  <si>
    <t>2024-03-20 09:11:10</t>
  </si>
  <si>
    <t>finobank_spicemoney_distibutor</t>
  </si>
  <si>
    <t>2024-03-20 08:49:57</t>
  </si>
  <si>
    <t>Fino Payments Bank: Sabse ghatiya Bank hai yah koi help nahin karta hai majburan Mein Mujhe comment karna pad raha hai</t>
  </si>
  <si>
    <t>2024-03-20 08:35:18</t>
  </si>
  <si>
    <t>Fino Payments Bank: Branch mein jao to branch wale Nahin sunte vah to aur ghatiya Hai sale call bhi receive Nahin Karte Hain Log</t>
  </si>
  <si>
    <t>2024-03-20 08:35:09</t>
  </si>
  <si>
    <t>2024-03-20 08:34:09</t>
  </si>
  <si>
    <t>2024-03-20 08:34:06</t>
  </si>
  <si>
    <t>2024-03-20 08:34:05</t>
  </si>
  <si>
    <t>Market ka system sahi kariye...</t>
  </si>
  <si>
    <t>2024-03-20 08:19:56</t>
  </si>
  <si>
    <t>At Fino, your happiness is our priority. Our products are designed to meet your banking needs. Go ahead, open an account with Fino and bank happily!
#FinoPaymentsBank #FikarNot #FinoBanker #DigitalBanking #SecureBanking #HarDinFino #FinoPay #InternationalDayOfHappiness #HappyMoments2024 #CustomerHappiness #BankdingServices</t>
  </si>
  <si>
    <t>2024-03-20 08:13:46</t>
  </si>
  <si>
    <t>2024-03-20 08:13:40</t>
  </si>
  <si>
    <t>At Fino, your happiness is our priority. Our products are designed to meet your banking needs. Go ahead, open an account with Fino and bank happily!
#FinoPaymentsBank #FikarNot #FinoBanker #DigitalBanking #SecureBanking #InternationalDayOfHappiness #CustomerHappiness https://t.co/1O7sHRpe8u</t>
  </si>
  <si>
    <t>2024-03-20 08:03:54</t>
  </si>
  <si>
    <t>ShyamjeeJha</t>
  </si>
  <si>
    <t>Shyamjee Jha</t>
  </si>
  <si>
    <t>2024-03-20 08:03:32</t>
  </si>
  <si>
    <t>New delhi, india</t>
  </si>
  <si>
    <t>At Fino, your happiness is our priority. Our products are designed to meet your banking needs. Go ahead, open an account with Fino and bank happily!
#FinoPaymentsBank #FikarNot #FinoBanker #DigitalBanking #SecureBanking #InternationalDayOfHappiness #CustomerHappiness https://t.co/ANc9Fu38VT</t>
  </si>
  <si>
    <t>2024-03-20 08:02:49</t>
  </si>
  <si>
    <t>2024-03-20 08:00:30</t>
  </si>
  <si>
    <t>2024-03-20 08:00:00</t>
  </si>
  <si>
    <t>FalakKalyani</t>
  </si>
  <si>
    <t>Falak Kalyani</t>
  </si>
  <si>
    <t>@PositiveGamma Did you tracked Fino? They are building with 'Bank as a Service' model. No credit at the moment and even after SFB, it will be very less. Only interested in fees. BC acts as branches. ICICI roots. Really interesting.</t>
  </si>
  <si>
    <t>2024-03-20 07:26:32</t>
  </si>
  <si>
    <t>Ahmadabad city, india</t>
  </si>
  <si>
    <t>b_sakhi1935</t>
  </si>
  <si>
    <t>Rinki B.C Sakhi</t>
  </si>
  <si>
    <t>@FinoPaymntsBank नमस्ते खाते खोलने के ऑप्शन नही आ रहे है कासा अकाउंट 
केसे खोले 450रूपए वाला Plz help</t>
  </si>
  <si>
    <t>2024-03-20 07:06:44</t>
  </si>
  <si>
    <t>Insurance ka commission nahi diya 3 saal ho gaya</t>
  </si>
  <si>
    <t>2024-03-20 00:42:44</t>
  </si>
  <si>
    <t>2024-03-19</t>
  </si>
  <si>
    <t>2024-03-19 23:53:12</t>
  </si>
  <si>
    <t>2024-03-19 23:52:57</t>
  </si>
  <si>
    <t>2024-03-19 23:52:51</t>
  </si>
  <si>
    <t>2024-03-19 23:52:42</t>
  </si>
  <si>
    <t>2024-03-19 22:42:57</t>
  </si>
  <si>
    <t>amit_raj3131</t>
  </si>
  <si>
    <t>froud bank. ye Bank mera 25 hazar chori kiya 🔥</t>
  </si>
  <si>
    <t>2024-03-19 22:18:17</t>
  </si>
  <si>
    <t>Amresh Mandal</t>
  </si>
  <si>
    <t>Thora retailer ko bhi subidha dijiye ❌</t>
  </si>
  <si>
    <t>2024-03-19 21:39:56</t>
  </si>
  <si>
    <t>@UmeshKumar-rc7nm</t>
  </si>
  <si>
    <t>आधार से पैसा निकासी नही हो रहा है</t>
  </si>
  <si>
    <t>2024-03-19 21:27:22</t>
  </si>
  <si>
    <t>Bank sahi he but employee galat he .chore he</t>
  </si>
  <si>
    <t>2024-03-19 20:29:53</t>
  </si>
  <si>
    <t>VijayBombl7720</t>
  </si>
  <si>
    <t>Vijay Bomble</t>
  </si>
  <si>
    <t>#MintBFSI2024 At the Mint Annual BFSI Summit and Awards, we spoke with Rishi Gupta, MD &amp;amp; CEO at Fino Payments Bank, &amp;amp; YS Chakravarti, MD &amp;amp; CEO at Shriram Finance, about the reform they wish to see in the forthcoming budget.
@LICIndiaForever @ManipalCigna @BankofIndia_IN https://t.co/LvKbHHe2A8</t>
  </si>
  <si>
    <t>2024-03-19 20:19:04</t>
  </si>
  <si>
    <t>Pune maharashtra  india</t>
  </si>
  <si>
    <t>TechnicalBalram Kumar</t>
  </si>
  <si>
    <t>I am retailer not comsion earn best'</t>
  </si>
  <si>
    <t>2024-03-19 20:04:55</t>
  </si>
  <si>
    <t>viraj_el_nino</t>
  </si>
  <si>
    <t>😊😊👍🏻👍🏻</t>
  </si>
  <si>
    <t>2024-03-19 19:49:34</t>
  </si>
  <si>
    <t>Jahangir DA</t>
  </si>
  <si>
    <t>NDUSIND BANK इंडसइंड बैंक आरडीसीएसपी | एक क्लिक में सारा पैसा कैसे निकालें? इंडासिन बैंकमेंनई समस्या</t>
  </si>
  <si>
    <t>2024-03-19 19:06:58</t>
  </si>
  <si>
    <t>santuku96</t>
  </si>
  <si>
    <t>Santu Kumar</t>
  </si>
  <si>
    <t>@FinoPaymntsBank ios me bhi fino pay de do sir</t>
  </si>
  <si>
    <t>2024-03-19 19:05:02</t>
  </si>
  <si>
    <t>Shailesh N Shenmare</t>
  </si>
  <si>
    <t>New id  chalu nhi ho rhi hai</t>
  </si>
  <si>
    <t>2024-03-19 18:02:20</t>
  </si>
  <si>
    <t>BombayChamber</t>
  </si>
  <si>
    <t>Bombay Chamber</t>
  </si>
  <si>
    <t>Join us for a Panel Discussion on "Small Finance: Challenges and Opportunities" featuring Rishi Gupta, MD &amp;amp; CEO of Fino Payments Bank Ltd! 
Register Now: https://t.co/QlMAPTv2na 
#SmallFinance #EconomicGrowth #PanelDiscussion #BombayChamber https://t.co/ZkL3OW0sCV</t>
  </si>
  <si>
    <t>2024-03-19 17:27:44</t>
  </si>
  <si>
    <t>Mumbai</t>
  </si>
  <si>
    <t>Bombay Chamber of Commerce and Industry</t>
  </si>
  <si>
    <t xml:space="preserve"> Join us for an enlightening Panel Discussion on "Small Finance: Challenges and Opportunities" as we delve into the theme of "Empowering India's Economic Growth Through Small Finance." 
We're excited to announce Rishi Gupta, MD &amp; CEO of Fino Payments Bank Ltd, as one of our esteemed panelists! Join Mr. Gupta and other industry leaders as they share insights and expertise on navigating the intricacies of small finance.
Date: March 27th, 2024
Time: 10:30 AM
Venue: Conference Hall, The Ruby, 4th Floor, Dadar (W), MUMBAI
Don't miss this opportunity to gain valuable knowledge and perspectives on driving economic growth through small finance. See you there!
#paneldiscussion  #SmallFinance #challengesandopportunities  #economicgrowth  #FinoPaymentsBank #BombayChamber</t>
  </si>
  <si>
    <t>2024-03-19 17:06:39</t>
  </si>
  <si>
    <t>Shubh Savings Account brings you great benefits and features to help you save and grow your money. To open an account, give a missed call to 7877788977.
#FinoPaymentsBank #FikarNot #FinoBanker #DigitalBanking #SecureBanking #AccountOpening #SavingsAccount #BankingServices https://t.co/ISgwWmi0eA</t>
  </si>
  <si>
    <t>2024-03-19 17:04:06</t>
  </si>
  <si>
    <t>Shubh Savings Account brings you great benefits and features to help you save and grow your money. To open an account, give a missed call to 7877788977. 
#FinoPaymentsBank #FikarNot #FinoBanker #DigitalBanking #SecureBanking #HarDinFino #FinoPay #AccountOpening #SavingsAccount #BankingServices #EASYPROCESS #OpenAccount</t>
  </si>
  <si>
    <t>2024-03-19 17:00:07</t>
  </si>
  <si>
    <t>2024-03-19 17:00:00</t>
  </si>
  <si>
    <t>livemint</t>
  </si>
  <si>
    <t>Mint</t>
  </si>
  <si>
    <t>2024-03-19 16:37:09</t>
  </si>
  <si>
    <t>@javeedkhan2670</t>
  </si>
  <si>
    <t>No. Serives fake</t>
  </si>
  <si>
    <t>2024-03-19 15:54:33</t>
  </si>
  <si>
    <t>At Fino, your happiness is our priority. Our products are designed to meet your banking needs. Go ahead, open an account with Fino and bank happily!
{hashtag|\#|FinoPaymentsBank} {hashtag|\#|FikarNot} {hashtag|\#|FinoBanker} {hashtag|\#|DigitalBanking} {hashtag|\#|SecureBanking} {hashtag|\#|HarDinFino} {hashtag|\#|FinoPay} {hashtag|\#|InternationalDayOfHappiness} {hashtag|\#|HappyMoments2024} {hashtag|\#|CustomerHappiness} {hashtag|\#|BankdingServices}</t>
  </si>
  <si>
    <t>2024-03-19 15:39:46</t>
  </si>
  <si>
    <t>Chhotu7650</t>
  </si>
  <si>
    <t>Chhotu</t>
  </si>
  <si>
    <t>@FinoPaymntsBank #FinoPaymentsBank #FikarNot
#FinoBanker
 #DigitalBanking
#SecureBanking #FinoPay
#UPITransactions #OneAppForAll
#FundTransfer - mere account par debit restriction lagi Hui hai mere account se jaldi se restriction ko hataye mujhe bahut pareshani ho rhi hai  call me 8707606376</t>
  </si>
  <si>
    <t>2024-03-19 15:31:21</t>
  </si>
  <si>
    <t xml:space="preserve">Jhansi </t>
  </si>
  <si>
    <t>@FinoPaymntsBank Mere account par debit restriction lagi hai mene mail bhi kya call bhi Kiya koi help nahi ho rhi hai 870606376 call me</t>
  </si>
  <si>
    <t>2024-03-19 15:28:04</t>
  </si>
  <si>
    <t>@FinoPaymntsBank Mera Bank account par debit restriction kyu laga di hai</t>
  </si>
  <si>
    <t>2024-03-19 15:27:27</t>
  </si>
  <si>
    <t>Sagar Bairy</t>
  </si>
  <si>
    <t>Fino Bank 👑</t>
  </si>
  <si>
    <t>2024-03-19 14:19:49</t>
  </si>
  <si>
    <t>@Mohit_5355 @SpiceMoneyIndia @Spicemoneysales @RnfiServices @FinoPaymntsBank @NPCI_NPCI Hi Mohit, thank you for sharing this concern with us. We would like an opportunity to talk and investigate your feedback further. Kindly share with us your concern and your registered mobile no. here: https://t.co/5BjbPnALSa we'll get back to you as soon as possible.
Thanks.</t>
  </si>
  <si>
    <t>2024-03-19 13:04:58</t>
  </si>
  <si>
    <t>Jan saving account kese open karein fino payment bank #fino</t>
  </si>
  <si>
    <t>2024-03-19 12:57:45</t>
  </si>
  <si>
    <t>Sathish Kumar</t>
  </si>
  <si>
    <t xml:space="preserve">I’m happy to share that I’m starting a new position as Assistant Manager at @[Fino Payments Bank Ltd](urn:li:organization:247810)! </t>
  </si>
  <si>
    <t>2024-03-19 12:12:28</t>
  </si>
  <si>
    <t xml:space="preserve">I’m happy to share that I’m starting a new position as Assistant Manager at Fino Payments Bank Ltd! </t>
  </si>
  <si>
    <t>2024-03-19 12:04:40</t>
  </si>
  <si>
    <t>Hsc001</t>
  </si>
  <si>
    <t>alert 🚨😦 oroboro loan froud FINO PAYMENT BANK ke sath</t>
  </si>
  <si>
    <t>2024-03-19 10:02:18</t>
  </si>
  <si>
    <t>Fino Payment Bank Kanpur Nagar</t>
  </si>
  <si>
    <t>Fino Payment Bank Kanpur Nagar is live</t>
  </si>
  <si>
    <t>2024-03-19 09:30:48</t>
  </si>
  <si>
    <t>Naturefit</t>
  </si>
  <si>
    <t xml:space="preserve">🎉🎊 NatureFit is thrilled to announce the Fitness Carnival 2024 at @[Mindspace Business Parks](urn:li:organization:31274528), an unforgettable experience filled with Zumba, fun games, and fitness activities that will leave you feeling energized and rejuvenated! 💪🏋️‍♀️🧘‍♂️
We're excited to have the following participants join us for this event:
@[ReBIT \| Reserve Bank Information Technology Pvt. Ltd. ](urn:li:organization:13253022)
@[Cyient](urn:li:organization:164361)
@[ICICI Bank](urn:li:organization:2967)
@[IDFC FIRST Bank](urn:li:organization:21175)
@[Fino Payments Bank Ltd](urn:li:organization:247810)
But that's not all! You'll also have the opportunity to book consultations with Ayurvedic, Yoga, and Siddha experts online. It's time to embrace a healthier lifestyle with NatureFit! 🌿🍃
Don't miss out on our next exciting event! Let's make 2024 a year of health and happiness! 🥳🎈
{hashtag|\#|NatureFit} {hashtag|\#|FitnessCarnival2024} {hashtag|\#|Zumba} {hashtag|\#|FunGames} {hashtag|\#|HealthyLifestyle} {hashtag|\#|AyurvedicConsultation} {hashtag|\#|Yoga} {hashtag|\#|Siddha} {hashtag|\#|MindspaceBusinessParks}
</t>
  </si>
  <si>
    <t>2024-03-19 08:43:49</t>
  </si>
  <si>
    <t>Fino payment bank shubh saving account feature&amp;amp; benefit</t>
  </si>
  <si>
    <t>2024-03-19 08:39:44</t>
  </si>
  <si>
    <t>Rupesh Prajapat</t>
  </si>
  <si>
    <t>Fino Payments Bank yas</t>
  </si>
  <si>
    <t>2024-03-19 07:39:43</t>
  </si>
  <si>
    <t>Employee Behaviour Issue @SpiceMoneyIndia @Spicemoneysales @RnfiServices @PayNearby @FinoPaymntsBank @NPCI_NPCI https://t.co/IasKg1Bd1c</t>
  </si>
  <si>
    <t>2024-03-19 07:21:40</t>
  </si>
  <si>
    <t xml:space="preserve"> help tech </t>
  </si>
  <si>
    <t>fino Mitra se fino payment Bank account me Paisa kaise jama kare</t>
  </si>
  <si>
    <t>2024-03-19 07:09:28</t>
  </si>
  <si>
    <t>2024-03-18</t>
  </si>
  <si>
    <t>Kuch nahi hone wala</t>
  </si>
  <si>
    <t>2024-03-18 23:58:25</t>
  </si>
  <si>
    <t>Bank sahi he but employee galat he</t>
  </si>
  <si>
    <t>2024-03-18 23:58:07</t>
  </si>
  <si>
    <t>NPCI AEPS BMD NEW UPDATE SPICE MONEY PAYNEARBY RAPI PAY FINO PAYMENT SBI CSP</t>
  </si>
  <si>
    <t>2024-03-18 23:48:16</t>
  </si>
  <si>
    <t>Anushka Sharma</t>
  </si>
  <si>
    <t>2024-03-18 23:44:04</t>
  </si>
  <si>
    <t>VarunMunjal19</t>
  </si>
  <si>
    <t>Varun Munjal</t>
  </si>
  <si>
    <t>@FinoPaymntsBank Wrost bank</t>
  </si>
  <si>
    <t>2024-03-18 23:41:54</t>
  </si>
  <si>
    <t>2024-03-18 23:35:59</t>
  </si>
  <si>
    <t>shivrajsinghthakur168</t>
  </si>
  <si>
    <t>🙌</t>
  </si>
  <si>
    <t>2024-03-18 23:05:38</t>
  </si>
  <si>
    <t>RAOSAHIL50</t>
  </si>
  <si>
    <t>RAO SAHIL</t>
  </si>
  <si>
    <t>@FinoPaymntsBank Isse jayada ghatiya service kisi ki nhi hai</t>
  </si>
  <si>
    <t>2024-03-18 22:46:26</t>
  </si>
  <si>
    <t>भारत</t>
  </si>
  <si>
    <t>@FinoPaymntsBank Sabse jayada ghatiya service hai iss fino ki</t>
  </si>
  <si>
    <t>2024-03-18 22:46:13</t>
  </si>
  <si>
    <t>Airtel Payment Bank Heden Charge 2024 | Airtel Payment Bank Heden 5 Charge | Reatiler Nayan</t>
  </si>
  <si>
    <t>2024-03-18 21:00:05</t>
  </si>
  <si>
    <t>@editoramar20</t>
  </si>
  <si>
    <t>Mam Mera fino merchant account atleast 5 month ho gaya nahin aeps service aaya aur account opening service aaya tha wapas chala gaya</t>
  </si>
  <si>
    <t>2024-03-18 20:08:59</t>
  </si>
  <si>
    <t>Mltn Marak</t>
  </si>
  <si>
    <t>Mujhe bhi  koi help nahi mila hai is bank me chor hi chor beta hua hai sirf paisa chahiye un logo ko samasya ka haal nahi nikal pata hai...</t>
  </si>
  <si>
    <t>2024-03-18 20:06:07</t>
  </si>
  <si>
    <t>itz__bhavy__.2.0</t>
  </si>
  <si>
    <t>Ab atm tod Diya fir to</t>
  </si>
  <si>
    <t>2024-03-18 19:52:45</t>
  </si>
  <si>
    <t>Sh har baar mainash_ kar data 2000 kaya ha</t>
  </si>
  <si>
    <t>2024-03-18 19:52:25</t>
  </si>
  <si>
    <t>Atm</t>
  </si>
  <si>
    <t>2024-03-18 19:51:37</t>
  </si>
  <si>
    <t>Mara pass ga Gaya ha</t>
  </si>
  <si>
    <t>2024-03-18 19:51:31</t>
  </si>
  <si>
    <t>mukesh_jagtiya9</t>
  </si>
  <si>
    <t>Fino matlab fikra not...plz Checkbook jari karo</t>
  </si>
  <si>
    <t>2024-03-18 19:47:00</t>
  </si>
  <si>
    <t>Vishwanath Seshadri</t>
  </si>
  <si>
    <t xml:space="preserve">Congratulations. Both Anita Pai and Neeta Mukerji are an excellent addition to the Board being very competent and having a wealth of experience.
Best wishes </t>
  </si>
  <si>
    <t>2024-03-18 19:38:33</t>
  </si>
  <si>
    <t>Jahangir Da Technical</t>
  </si>
  <si>
    <t>INDUSIND BANK RDCSP | একটি ক্লিকে কিভাবে সমস্ত টাকা Out করে দেয়  |  নতুন প্রবলেম  ইন্দাসিন ব্যাংকে</t>
  </si>
  <si>
    <t>2024-03-18 19:13:37</t>
  </si>
  <si>
    <t>Reyaz9599</t>
  </si>
  <si>
    <t>Reyazuddin</t>
  </si>
  <si>
    <t>@FinoPaymntsBank  Very bad services</t>
  </si>
  <si>
    <t>2024-03-18 19:05:39</t>
  </si>
  <si>
    <t>Darbhanga, india</t>
  </si>
  <si>
    <t>@FinoPaymntsBank  No one help me</t>
  </si>
  <si>
    <t>2024-03-18 19:05:37</t>
  </si>
  <si>
    <t>Fino Payments Bank  सर हेल्प करना है तो ठीक नहीं तो कोई बात नही सर मै तो फस गाया हु मगर दुसरे किसी को नही फसने दूँगा  कोइ हेल्प नही करता है ना हि कोइ कौल रिसिभ करता है इस बैक मे</t>
  </si>
  <si>
    <t>2024-03-18 19:00:29</t>
  </si>
  <si>
    <t>Manish Garg</t>
  </si>
  <si>
    <t>Fino Payments Bank: Share ur number</t>
  </si>
  <si>
    <t>2024-03-18 18:41:42</t>
  </si>
  <si>
    <t>Deepak Kumar</t>
  </si>
  <si>
    <t>Poor service 🐕‍🦺</t>
  </si>
  <si>
    <t>2024-03-18 18:40:27</t>
  </si>
  <si>
    <t>Fino Payments Bank आप लोग अन्धे हो क्यो कि  नम्बर कितना बार दे आप लोगो को दिखाइ नही दे रहा है सर अगर हेल्प नही करना है तो कोई बात नही मेरा जो काम है व हम कर रहे है</t>
  </si>
  <si>
    <t>2024-03-18 18:39:26</t>
  </si>
  <si>
    <t>@Reyaz9599  Namaste, Please share your contact number. Someone from our team will get in touch with you. Thanks!</t>
  </si>
  <si>
    <t>2024-03-18 18:32:04</t>
  </si>
  <si>
    <t xml:space="preserve">Male
</t>
  </si>
  <si>
    <t>2024-03-18 18:31:39</t>
  </si>
  <si>
    <t>@ven_om_____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</si>
  <si>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2024-03-18 18:30:10</t>
  </si>
  <si>
    <t>Manish Garg: Namaste! How can we help you ?</t>
  </si>
  <si>
    <t>2024-03-18 18:26:06</t>
  </si>
  <si>
    <t>2024-03-18 18:25:50</t>
  </si>
  <si>
    <t>Ajeet Ajeet: Hi Sir, Please call in Consumer Helpdesk- 022 6868 1414</t>
  </si>
  <si>
    <t>2024-03-18 18:24:20</t>
  </si>
  <si>
    <t>Ajeet Ajeet: Namaste! How can we help you ?</t>
  </si>
  <si>
    <t>2024-03-18 18:23:28</t>
  </si>
  <si>
    <t>Koi fino ka bank open mat karwana</t>
  </si>
  <si>
    <t>2024-03-18 18:23:24</t>
  </si>
  <si>
    <t>Fino matlab fikar kro😢</t>
  </si>
  <si>
    <t>2024-03-18 18:22:59</t>
  </si>
  <si>
    <t>North Tripura North Tripura   Namaste, Please share your query and contact number. Someone from our team will get in touch with you. Thanks!</t>
  </si>
  <si>
    <t>2024-03-18 18:22:55</t>
  </si>
  <si>
    <t>Raja Brahma: Namaste! How can we help you ?</t>
  </si>
  <si>
    <t>2024-03-18 18:21:34</t>
  </si>
  <si>
    <t>acpdileep</t>
  </si>
  <si>
    <t>𝐃𝐢𝐥𝐞𝐞𝐩(𝐃.𝐊.)⬆️</t>
  </si>
  <si>
    <t>@FinoPaymntsBank मैं सोशल मीडिया पर नंबर शेयर कर दूं?
प्राइवेट sms भेजने में तो रोक लगा रखी है।</t>
  </si>
  <si>
    <t>2024-03-18 18:21:17</t>
  </si>
  <si>
    <t>@acpdileep Namaste, Please share your query and contact number. Someone from our team will get in touch with you. Thanks!</t>
  </si>
  <si>
    <t>2024-03-18 18:18:53</t>
  </si>
  <si>
    <t>@FinoPaymntsBank 8174000928</t>
  </si>
  <si>
    <t>2024-03-18 18:10:28</t>
  </si>
  <si>
    <t>@sahuabhishek123 Hi Sir, Please call in Consumer Helpdesk- 022 6868 1414</t>
  </si>
  <si>
    <t>2024-03-18 18:09:27</t>
  </si>
  <si>
    <t>@PrincyG39657148 Namaste, Please share your query and contact number. Someone from our team will get in touch with you. Thanks!</t>
  </si>
  <si>
    <t>2024-03-18 18:06:26</t>
  </si>
  <si>
    <t>2024-03-18 18:05:53</t>
  </si>
  <si>
    <t>@Russ23083796234 Namaste, Please share your query and contact number. Someone from our team will get in touch with you. Thanks!</t>
  </si>
  <si>
    <t>2024-03-18 18:04:13</t>
  </si>
  <si>
    <t>Rupesh Prajapat   Namaste! How can we help you ?</t>
  </si>
  <si>
    <t>2024-03-18 18:01:49</t>
  </si>
  <si>
    <t>2024-03-18 18:01:17</t>
  </si>
  <si>
    <t>Amarsigh Baberiya   Namaste! How can we help you ?</t>
  </si>
  <si>
    <t>2024-03-18 18:01:06</t>
  </si>
  <si>
    <t>@b_sakhi1935 Namaste, Please share your query and contact number. Someone from our team will get in touch with you. Thanks!</t>
  </si>
  <si>
    <t>2024-03-18 18:00:45</t>
  </si>
  <si>
    <t>Widana Pathirana   Namaste! How can we help you ?</t>
  </si>
  <si>
    <t>2024-03-18 18:00:08</t>
  </si>
  <si>
    <t>2024-03-18 17:59:15</t>
  </si>
  <si>
    <t>2024-03-18 17:58:39</t>
  </si>
  <si>
    <t>Jay Shriram   Namaste, Please share your query and contact number. Someone from our team will get in touch with you. Thanks! Namaste, Please share your query and contact number. Someone from our team will get in touch with you. Thanks!</t>
  </si>
  <si>
    <t>2024-03-18 17:58:10</t>
  </si>
  <si>
    <t>🙌🙌🙌</t>
  </si>
  <si>
    <t>2024-03-18 17:51:46</t>
  </si>
  <si>
    <t>Skip the queues and enjoy hassle-free payments through FinoPay. Download the app now.</t>
  </si>
  <si>
    <t>2024-03-18 17:51:09</t>
  </si>
  <si>
    <t>Life is too short for long queues at the bill payment counters. Skip the queues and enjoy hassle-free payments through FinoPay. Download the app from the link on our bio.
#FikarNot #EasyPayments #DigitalBanking #SecureBanking #SmartPayments #HarDinFino #FinoPay #DownloadNow #BillPayments #UPI</t>
  </si>
  <si>
    <t>2024-03-18 17:49:25</t>
  </si>
  <si>
    <t>2024-03-18 17:47:45</t>
  </si>
  <si>
    <t>सबसे बेकार बैक है ऐ कोइ हेल्प नही  6 महिना से बोल रहे है मगर इस चोर कम्पनी को सुनाई ना दिखाई दे रहा है नम्बर दिए मगर कम्पनी अभी तक कोइ कौल नही आया है ना हि आइटी खुला बेकार बैक है ऐ कोइ हेल्प नही</t>
  </si>
  <si>
    <t>2024-03-18 17:24:06</t>
  </si>
  <si>
    <t>2024-03-18 17:21:16</t>
  </si>
  <si>
    <t>2024-03-18 17:21:11</t>
  </si>
  <si>
    <t>आधार से पैसा निकासी नहीं हो रहा है अभी तक मेरा दुकान भी है</t>
  </si>
  <si>
    <t>2024-03-18 17:14:46</t>
  </si>
  <si>
    <t>GOLAM NABI SHOP 07</t>
  </si>
  <si>
    <t>NEW DELHI GORMENT FINO BANK KE PASS MY NUMBER 7763042688 #shorts</t>
  </si>
  <si>
    <t>2024-03-18 16:05:20</t>
  </si>
  <si>
    <t>Fino adds to its strength by bringing on two new independent directors - Anita Sudhir Pai and Neeta Mukerji, for the next phase of digital-led growth.
Read the full article here!
#FinoPaymentsBank #FikarNot #FinoBanker #DigitalBanking #SecureBanking #DigitalGrowth</t>
  </si>
  <si>
    <t>2024-03-18 15:37:29</t>
  </si>
  <si>
    <t>Fino adds to its strength by bringing on two new independent directors - Anita Sudhir Pai and Neeta Mukerji, for the next phase of digital-led growth.
Read the full article here!
https://t.co/UOdUN0OjEj
#FinoPaymentsBank #FikarNot #FinoBanker #DigitalBanking #SecureBanking</t>
  </si>
  <si>
    <t>2024-03-18 15:37:17</t>
  </si>
  <si>
    <t>2024-03-18 15:36:27</t>
  </si>
  <si>
    <t>Fino adds to its strength by bringing on two new independent directors - Anita Sudhir Pai and Neeta Mukerji, for the next phase of digital-led growth.
Read the full article here!
https://lnkd.in/dWmV7exm
{hashtag|\#|FinoPaymentsBank} {hashtag|\#|FikarNot} {hashtag|\#|FinoBanker} {hashtag|\#|DigitalBanking} {hashtag|\#|SecureBanking} {hashtag|\#|DigitalGrowth}</t>
  </si>
  <si>
    <t>2024-03-18 15:35:53</t>
  </si>
  <si>
    <t>2024-03-18 15:25:20</t>
  </si>
  <si>
    <t>2024-03-18 15:21:27</t>
  </si>
  <si>
    <t>2024-03-18 15:15:19</t>
  </si>
  <si>
    <t>QM-FINO-E676</t>
  </si>
  <si>
    <t>Widana Pathirana</t>
  </si>
  <si>
    <t>Hello dear I am Widana Pathirana</t>
  </si>
  <si>
    <t>2024-03-18 15:10:04</t>
  </si>
  <si>
    <t>@FinoPaymntsBank श्री मान मेरी ज्यूडिशियल वेरिफिकेशन 07/10/2022 को 177 रूपए कटा गया और अभी तक अकाउंट ओपन करने के ऑप्शन नही आए कस्टमर केयर कॉल करके भी बता दिया पर कोइ हल नही हुआ 
बताए अब कहा कंप्लेंट करे</t>
  </si>
  <si>
    <t>2024-03-18 14:09:29</t>
  </si>
  <si>
    <t>Fino payment bank benefit of account opening</t>
  </si>
  <si>
    <t>2024-03-18 13:52:33</t>
  </si>
  <si>
    <t>Denise985629444</t>
  </si>
  <si>
    <t>Denise</t>
  </si>
  <si>
    <t>@Punkambrose @FinoPaymntsBank Send a direct Message request for immediate solution regarding your issue #steshcyber_crack on Instagram is reliable and fast</t>
  </si>
  <si>
    <t>2024-03-18 10:57:27</t>
  </si>
  <si>
    <t>United states</t>
  </si>
  <si>
    <t>Fino payment bank account band kaise kare फिनो का अकाउंट बंद कैसे करे</t>
  </si>
  <si>
    <t>2024-03-18 10:15:01</t>
  </si>
  <si>
    <t>Zahid Hussain</t>
  </si>
  <si>
    <t xml:space="preserve">It’s been a while since I started my role at @[Fino Payments Bank Ltd](urn:li:organization:247810) as a Banking Assistant, but I wanted to share this update with everyone. </t>
  </si>
  <si>
    <t>2024-03-18 09:57:06</t>
  </si>
  <si>
    <t>Amarsigh Baberiya</t>
  </si>
  <si>
    <t>2024-03-18 09:53:20</t>
  </si>
  <si>
    <t>AEPS Banking New Update: 1 अप्रैल से बदल जायेंगे Aeps के 7 नियम | Spice money &amp;amp; Paynearby</t>
  </si>
  <si>
    <t>2024-03-18 09:27:12</t>
  </si>
  <si>
    <t>Fino payment bank all accounts details type/Types of Fino Payment Bank Zero Balance Account</t>
  </si>
  <si>
    <t>2024-03-18 09:05:03</t>
  </si>
  <si>
    <t>2024-03-18 04:50:04</t>
  </si>
  <si>
    <t>2024-03-18 04:49:56</t>
  </si>
  <si>
    <t>1_Sociallist</t>
  </si>
  <si>
    <t>Kcc 8</t>
  </si>
  <si>
    <t>@airtelbank 
@KotakBankLtd 
@FinoPaymntsBank 
Hey I have airtel payment bank CSP POINT BUT I AM UNABLE TO OPEN CUSTOMER BANK ACCOUNT DUE TO AIRTEL PATHETIC SERVICE COULD YOU HELP ME BECAUSE AIRTEL WALO KA TO PET BHARA HUA HAI WO NHI SUNEGE</t>
  </si>
  <si>
    <t>2024-03-18 00:53:01</t>
  </si>
  <si>
    <t>2024-03-17</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</si>
  <si>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@Microsoft @amazon @Infosys @telegram</t>
  </si>
  <si>
    <t>2024-03-17 22:44:30</t>
  </si>
  <si>
    <t>Fino Kosh Se Saving Account Platinum Rupay Combo Kit Order Kaise Lgaye</t>
  </si>
  <si>
    <t>2024-03-17 20:59:17</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</si>
  <si>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@Microsoft @amazon @Infosys @elonmusk Headhunting and Headhunting induced datasets submitted to me
Datasets executed</t>
  </si>
  <si>
    <t>2024-03-17 20:08:42</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</si>
  <si>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@Microsoft @amazon @Infosys @elonmusk</t>
  </si>
  <si>
    <t>2024-03-17 19:34:01</t>
  </si>
  <si>
    <t>fino bank business/Fino Bank CSP Mitra को कई प्रकार की सुविधाएं है प्रदान की जाने वाली कुछ प्रकार ?</t>
  </si>
  <si>
    <t>2024-03-17 18:06:36</t>
  </si>
  <si>
    <t>Russ23083796234</t>
  </si>
  <si>
    <t>Russ</t>
  </si>
  <si>
    <t>They are incredibly hardworking. Beyond that they are an impressive [soft skill] able to result all accounts issues and damages
https://t.co/aAivoynVhz HERE ON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</si>
  <si>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18:04:28</t>
  </si>
  <si>
    <t>LosaWebari8828</t>
  </si>
  <si>
    <t>Losa</t>
  </si>
  <si>
    <t>I recommend you to,,,,
https://t.co/z4z888KBaL
  HERE ON INSTAGRAM FOR ALL YOUR ACCOUNTS RECOVERY TRY THEM OUT AND THANK ME LATER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</si>
  <si>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18:04:18</t>
  </si>
  <si>
    <t>lisaniceris</t>
  </si>
  <si>
    <t>Dragon</t>
  </si>
  <si>
    <t>Go message,,,, 
https://t.co/j9tmKnhnPX
HERE ON TWITTER FOR YOUR ACCOUNT RECOVERY THEY ARE 100% GOOD LEGIT AND TRUSTWORTHY TRY THEM OUT AND THNK ME LATER WISH YOU BEST OF LUCK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</si>
  <si>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18:04:10</t>
  </si>
  <si>
    <t>Nicerisanick</t>
  </si>
  <si>
    <t>Nice</t>
  </si>
  <si>
    <t>https://t.co/RYFzSUVQQI 
HERE ON TWITTER ARE GOOD AND LEGIT IN ALL ACCOUNTS RECOVERY THEY DID MINE ALSO WHEN MY ACCOUNT GOT HACKED I THINK YOU SHOULD CHECK THEM OUT ALSO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</si>
  <si>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18:04:02</t>
  </si>
  <si>
    <t>JorgeKihos53480</t>
  </si>
  <si>
    <t>Jorge</t>
  </si>
  <si>
    <t>Same thing happen to me and I wasn’t able to login my account regardless I have made several complain to there team but luckily I was directed to 
https://t.co/zH3tZjgGuH  
HERE ON TWITTER and they help me fix my account back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</si>
  <si>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18:03:54</t>
  </si>
  <si>
    <t>dimifo7155</t>
  </si>
  <si>
    <t>B</t>
  </si>
  <si>
    <t>Don't be disturbed just meet  https://t.co/NFORToOxFZ 
HERE ON TWITTER he will help you out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</si>
  <si>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18:03:47</t>
  </si>
  <si>
    <t>Leraytk</t>
  </si>
  <si>
    <t>Lera</t>
  </si>
  <si>
    <t>I had same experience when my account got issues, I contacted the customer support team for more than a week, but they wouldn't reply me.....not until I got referred to 
      @https://x.com/kingtechprogra1?s=21
HERE ON TWITTER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</si>
  <si>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18:03:40</t>
  </si>
  <si>
    <t>hkghkn</t>
  </si>
  <si>
    <t>Bridget</t>
  </si>
  <si>
    <t>My account had same similar problem and i contacted support service but they were of no help. I got referred to
https://t.co/8e19fZQZA6 
HERE ON TWITTER and they fixed successfully,,message, them they are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</si>
  <si>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18:03:32</t>
  </si>
  <si>
    <t>favejayh</t>
  </si>
  <si>
    <t>David</t>
  </si>
  <si>
    <t>Reach out to 
https://t.co/5gpVFU8HXB 
ON TWITTER  he'll help you on recovering your account he is very fast and he will help you with immediate effect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</si>
  <si>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18:03:25</t>
  </si>
  <si>
    <t>Novak106051</t>
  </si>
  <si>
    <t>Novak</t>
  </si>
  <si>
    <t>Try contacting   
https://t.co/1zPTUv4Aih 
HERE ON TWITTER for help he's fast and accurate he can be of help to you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</si>
  <si>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18:03:18</t>
  </si>
  <si>
    <t>Pickfirere</t>
  </si>
  <si>
    <t>Pick</t>
  </si>
  <si>
    <t>I currently discovered that 
https://t.co/ejmTVXt5hv 
here on twitter  are the most reliable and safe team who can help you out in this kind of case.. 
  Quoted Tweet : @PrincyG39657148 : @RBI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</si>
  <si>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18:03:12</t>
  </si>
  <si>
    <t>@RBI please help @FinoPaymntsBank fraud hai . Isme  mere 26k hai aur is bank ne last year se mere account pr debit restriction lga rakhi hai .bank koi help ni krta hai ..bs ek farji mail ID dete hai help ke Naam pr jiskpr koi reply ni krta hai customer support baat ni sunta hai .</t>
  </si>
  <si>
    <t>2024-03-17 18:01:52</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</si>
  <si>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@Teleperformance @onidalive https://t.co/maZtHkBJhB
All similar cases
Returned to the losing people institutions etc</t>
  </si>
  <si>
    <t>2024-03-17 18:00:59</t>
  </si>
  <si>
    <t>@RBI please help @FinoPaymntsBank is Fraud..ye bank account ko Bina kisi valid reason ke freeze kr deti hai .debit restriction lagate hai ..aur inka customer support koi bhi help ni krta hai. Mera account last one year se restrict h Inhone koi help ni ki h ..</t>
  </si>
  <si>
    <t>2024-03-17 17:58:18</t>
  </si>
  <si>
    <t>@FinoPaymntsBank bilkul bekar h bank h aapki aap faltu Mai apne customers le account pr debit restriction lgaate  hai aur help bhi ni krte hai fraud h fino bank ....@rbi</t>
  </si>
  <si>
    <t>2024-03-17 17:55:06</t>
  </si>
  <si>
    <t>Moral Responsibility</t>
  </si>
  <si>
    <t>fino Payment Bank customer care number |Fino Payment Bank help line number</t>
  </si>
  <si>
    <t>2024-03-17 17:30:27</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</si>
  <si>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@Teleperformance @onidalive</t>
  </si>
  <si>
    <t>2024-03-17 17:17:49</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</si>
  <si>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@Teleperformance @AadhanTelugu</t>
  </si>
  <si>
    <t>2024-03-17 16:59:05</t>
  </si>
  <si>
    <t>@ASHU__RAJPUT134</t>
  </si>
  <si>
    <t>Maha Chutiya bank</t>
  </si>
  <si>
    <t>2024-03-17 16:29:23</t>
  </si>
  <si>
    <t>Akash Kabir</t>
  </si>
  <si>
    <t>Fino Payments Bank: I want to work with your company</t>
  </si>
  <si>
    <t>2024-03-17 16:26:17</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</si>
  <si>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@PetroleumMin @GCHQ</t>
  </si>
  <si>
    <t>2024-03-17 16:05:49</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</si>
  <si>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@PetroleumMin @EduMinOfIndia</t>
  </si>
  <si>
    <t>2024-03-17 15:58:52</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</si>
  <si>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@Media_SAI @GOVUK</t>
  </si>
  <si>
    <t>2024-03-17 15:49:24</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</si>
  <si>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@Google @mygovindia @TataCompanies @eenadulivenews</t>
  </si>
  <si>
    <t>2024-03-17 15:48:01</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</si>
  <si>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@Media_SAI @AmitShahOffice</t>
  </si>
  <si>
    <t>2024-03-17 15:16:48</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</si>
  <si>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@Media_SAI @MoHFW_INDIA</t>
  </si>
  <si>
    <t>2024-03-17 15:15:27</t>
  </si>
  <si>
    <t>fino payments Bank 🏦 jama and nikaasi</t>
  </si>
  <si>
    <t>Fino payment Bank 🏦 jama and nicasi ...aap ka Adi</t>
  </si>
  <si>
    <t>2024-03-17 15:14:54</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</si>
  <si>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@Media_SAI @nokia</t>
  </si>
  <si>
    <t>2024-03-17 15:13:55</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</si>
  <si>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@itel_india @SamsungIndia</t>
  </si>
  <si>
    <t>2024-03-17 15:13:34</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</si>
  <si>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@BAI_Media @Media_SAI</t>
  </si>
  <si>
    <t>2024-03-17 14:04:44</t>
  </si>
  <si>
    <t>Chandar Singh</t>
  </si>
  <si>
    <t>Mera PESA 3000dlva ye the k ha gya Surendar Kumar  ke nam se</t>
  </si>
  <si>
    <t>2024-03-17 14:00:24</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</si>
  <si>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 https://t.co/R6anUGjjha
Thank you for your kind report
Insurance etc paid by them to the victims
A few more accidents similar pending 
  Quoted Tweet : @TimesAlgebraIND : SHOCKING 🚨 Captain Zaharie Ahmad Shah had deliberately submerged Malaysian MH370 flight with 239 passengers into the ocean.
British Boeing expert &amp; researcher Simon Hardy said this in his finding.
Malaysian MH370 flight with 239 passengers had gone missing in March 2014, a… https://t.co/Cz14QkMGcE</t>
  </si>
  <si>
    <t>2024-03-17 12:53:59</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</si>
  <si>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 @Truecaller</t>
  </si>
  <si>
    <t>2024-03-17 12:42:51</t>
  </si>
  <si>
    <t>sahuabhishek123</t>
  </si>
  <si>
    <t>Abhishek Kumar sahu</t>
  </si>
  <si>
    <t>@FinoPaymntsBank Debit Card online payment OTP not received</t>
  </si>
  <si>
    <t>2024-03-17 10:42:25</t>
  </si>
  <si>
    <t>Ronak Agrawal</t>
  </si>
  <si>
    <t>Super insightful friday evening with some great fellow marketers 
Srivaths Varadharajan - the human encyclopaedia from Spice Money 
Prashant Choudhari - man with entrepreneurial marketing spirit from Fino Payments Bank Ltd 
Varsha Khandelwal - women power and behind the curtain success of Quantum Mutual Fund 
 Neha Sawant - leading lady with futuristic thoughts about crypto industry - ZebPay 
Sarvesh Bagla Neha Bawa Noopur Bhatia 
exchange4media Techmagnate: Digital Marketing Agency Choice  Choice Connect</t>
  </si>
  <si>
    <t>2024-03-17 10:07:23</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</si>
  <si>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@YashodaHospital @RIL_Updates</t>
  </si>
  <si>
    <t>2024-03-17 09:42:56</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</si>
  <si>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 Faking चोरी s being returned one by one along with law taking its course
కళాకారులు రూటే వేరయా</t>
  </si>
  <si>
    <t>2024-03-17 09:41:05</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</si>
  <si>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 @Olacabs @Uber</t>
  </si>
  <si>
    <t>2024-03-17 09:36:36</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</si>
  <si>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 @AdityaBirlaGrp @Paytm</t>
  </si>
  <si>
    <t>2024-03-17 09:34:02</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</si>
  <si>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 @IDFCFIRSTBank @bankofbaroda @TheJupiterApp @ltmhyd @RedHat @fedora</t>
  </si>
  <si>
    <t>2024-03-17 09:31:44</t>
  </si>
  <si>
    <t>@FinoPaymntsBank INKA KYC HO HI NHI RAHA HAI MAINE MENTION KIYA HAI RIGHT DETAILS OF DATE OF BIRTH MAGAR SYSTEM ME INKA CUSTOMER CARE EXECUTIVE NE BOLA SIR WRONG SHOW HO RHA HAI CHUTIYA BANA DIYABIN LOGO NE @RBI</t>
  </si>
  <si>
    <t>2024-03-17 09:11:10</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</si>
  <si>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 @AxisBank @ANZ_AU</t>
  </si>
  <si>
    <t>2024-03-17 08:22:35</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</si>
  <si>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@Citibank</t>
  </si>
  <si>
    <t>2024-03-17 08:05:19</t>
  </si>
  <si>
    <t>FINO PAYMENTS BANK Calendar 2024 new Hindi CALENDAR #finopaymentbankcommission2024 #finobankcsp</t>
  </si>
  <si>
    <t>2024-03-17 07:13:50</t>
  </si>
  <si>
    <t>@FinoPaymntsBank Bekar bank.
Koi jawab nahi dete ye log.
Be careful</t>
  </si>
  <si>
    <t>2024-03-17 07:09:39</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</si>
  <si>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 https://t.co/EYd4z7FDvK
Good step
Revenue కోసం సిం లు డివైస్ లు భారీ గా అమ్మేయకండి
Removal authorised by me
Brute devices sim cards etc what's your take on them
Registration does not exist
Like a handmade tapancha of ranbir Sena bhima army or something just the same gun devices</t>
  </si>
  <si>
    <t>2024-03-17 05:33:09</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</si>
  <si>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 @RBI</t>
  </si>
  <si>
    <t>2024-03-17 04:59:01</t>
  </si>
  <si>
    <t>karthik92</t>
  </si>
  <si>
    <t>k.karthik</t>
  </si>
  <si>
    <t>@SpiceMoneyIndia @PayNearby @SpiceMoneyIndia @RnfiServices @VidcomS @rapipay @airtelbank@FinoPaymntsBank @roinetsol Jitendra Singh Kushwah Bhind - ss460615 अब तक 2 लाख के लगभग का हुआ लोस्स (Loss – घ|टा ) 2साल में स्पाइस मनी ने नहीं की कोई सहायता 40 मेल कर चुका हूँ कई वॉर वॉट्सप ट्वीट भी किया है</t>
  </si>
  <si>
    <t>2024-03-17 00:50:23</t>
  </si>
  <si>
    <t>Jangareddigudem</t>
  </si>
  <si>
    <t>2024-03-17 00:05:54</t>
  </si>
  <si>
    <t>2024-03-16</t>
  </si>
  <si>
    <t>Mc bank he</t>
  </si>
  <si>
    <t>2024-03-16 23:33:17</t>
  </si>
  <si>
    <t>Saleha Noor</t>
  </si>
  <si>
    <t>ऐसे समस्त प्रचारको को ईश्वर जल्द ही अपने श्री चरणों में स्थान दें !
#teenpatti
https://h27.in/gold/49zs4
 इनकी  अंतिम यात्रा धूम धड़ाके से गाजे बाजे के साथ निकले     ॐ शांति ॐ शांति 
 🙏🙏🙏अग्रिम श्रद्धांजलि 🙏🙏🙏</t>
  </si>
  <si>
    <t>2024-03-16 22:40:05</t>
  </si>
  <si>
    <t>@teenpatti
https://h27.in/gold/ldf18k
 भाई मैंने बहुत सारे गेम खेलें लेकिन सबसे बेस्ट और रियल गेम मुझे यह लगा एक बार आप भी ट्राई करके देखो</t>
  </si>
  <si>
    <t>2024-03-16 22:40:04</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</si>
  <si>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@worldcoin</t>
  </si>
  <si>
    <t>2024-03-16 22:08:39</t>
  </si>
  <si>
    <t>Satyendra Yadav</t>
  </si>
  <si>
    <t>2024-03-16 21:47:46</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</si>
  <si>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 https://t.co/T0zYZNj0Ln
Returned to me in full</t>
  </si>
  <si>
    <t>2024-03-16 21:09:03</t>
  </si>
  <si>
    <t>Jan saving Account Open Fino Payment Bank</t>
  </si>
  <si>
    <t>2024-03-16 20:07:10</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</si>
  <si>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 @MEAIndia</t>
  </si>
  <si>
    <t>2024-03-16 19:39:20</t>
  </si>
  <si>
    <t>Raja Brahma</t>
  </si>
  <si>
    <t>2024-03-16 19:18:26</t>
  </si>
  <si>
    <t>CSP Help 2.2M</t>
  </si>
  <si>
    <t>how to open fino payment bank account | fino bank account opening process in hindi</t>
  </si>
  <si>
    <t>2024-03-16 19:00:03</t>
  </si>
  <si>
    <t>khomendrad</t>
  </si>
  <si>
    <t>Sirf bewkuf banae ka kam chal Raha hai</t>
  </si>
  <si>
    <t>2024-03-16 18:36:01</t>
  </si>
  <si>
    <t>Mukesh Kumar Offical</t>
  </si>
  <si>
    <t>Sabse chutiya bank</t>
  </si>
  <si>
    <t>2024-03-16 18:27:21</t>
  </si>
  <si>
    <t>North Tripura North Tripura</t>
  </si>
  <si>
    <t>Hi my name Suman deb my account number sir please send me</t>
  </si>
  <si>
    <t>2024-03-16 18:18:47</t>
  </si>
  <si>
    <t>Ajeet Ajeet</t>
  </si>
  <si>
    <t>Fino Payments Bank: Bhai ac se  pesa kis  baje se kata</t>
  </si>
  <si>
    <t>2024-03-16 17:15:27</t>
  </si>
  <si>
    <t>Fino Payments Bank: Hy</t>
  </si>
  <si>
    <t>2024-03-16 17:14:51</t>
  </si>
  <si>
    <t>अंशुल यादव कुसमरा</t>
  </si>
  <si>
    <t>Paytm की तरह तुम्हारा भी अंत निकट है 
तुम्हारे लोग जनता को ठग रहे हैं
पैसा लेकर खाता खोलते हैं फिर किसी का एटीएम बंद तो किसी का खाता बंद</t>
  </si>
  <si>
    <t>2024-03-16 15:09:58</t>
  </si>
  <si>
    <t>bhautik shah</t>
  </si>
  <si>
    <t>I am doing professional work of digital marketing work from 5 years and more...
I am doing share, like, comments of your post on Facebook, linkdin, Instagram, Twitter and more...
You will got higher revenue and orders and profit very much...
You can contact me on ± 91 9879263192...
Email bhautikkumarshah555@gmail.com, geniusroi789@gmail.com...   
You can see activity on LinkedIn facebook Instagram.</t>
  </si>
  <si>
    <t>2024-03-16 15:02:55</t>
  </si>
  <si>
    <t>Jay Shriram Dear Sir, Thank you for your interest. We request you to kindly elaborate your query details with us on WhatsApp Number 8602439150 for more Assistance. Our Team Will connect with you. Thank You.</t>
  </si>
  <si>
    <t>2024-03-16 14:52:03</t>
  </si>
  <si>
    <t>ManishDwvd</t>
  </si>
  <si>
    <t>Manish Dwivedi</t>
  </si>
  <si>
    <t>@FinoPaymntsBank UP East Zone, in collaboration with STEM NGO, launched the Mini Science Center at MATADIN SUKUL SMARAK INTER COLLEGE in the KESHARIPUR KHAS region of KASHIVIDYAPEETH, Varanasi. https://t.co/IcN3VKCIEh</t>
  </si>
  <si>
    <t>2024-03-16 14:44:08</t>
  </si>
  <si>
    <t>@FinoPaymntsBank UP East Zone, in collaboration with STEM NGO, launched the Mini Science Center at MATADIN SUKUL SMARAK INTER COLLEGE in the KESHARIPUR KHAS region of KASHIVIDYAPEETH, Varanasi. https://t.co/1m5rjN3iYj</t>
  </si>
  <si>
    <t>2024-03-16 14:42:57</t>
  </si>
  <si>
    <t>@[Fino Payments Bank Ltd](urn:li:organization:247810)  UP East Zone, in collaboration with STEM NGO, launched the Mini Science Center at MATADIN SUKUL SMARAK INTER COLLEGE in the KESHARIPUR KHAS region of KASHIVIDYAPEETH, Varanasi.</t>
  </si>
  <si>
    <t>2024-03-16 14:26:29</t>
  </si>
  <si>
    <t>Fino Payments Bank UP East Zone, in collaboration with STEM NGO, launched the Mini Science Center at MATADIN SUKUL SMARAK INTER COLLEGE in the KESHARIPUR KHAS region of KASHIVIDYAPEETH, Varanasi.</t>
  </si>
  <si>
    <t>2024-03-16 14:20:05</t>
  </si>
  <si>
    <t>Online Legal Center</t>
  </si>
  <si>
    <t>FINO Bank Account Freeze By Cyber Cell | FINO Bank Account Kaise Unfreeze Karen #shorts #bank #fino</t>
  </si>
  <si>
    <t>2024-03-16 14:06:57</t>
  </si>
  <si>
    <t>Fino payment bank ki frenchaicy kaise le sakte hai</t>
  </si>
  <si>
    <t>2024-03-16 14:04:58</t>
  </si>
  <si>
    <t>Shri balaji manpower and security services</t>
  </si>
  <si>
    <t>fino bank account//हाथों हाथ पासबुक और एटीएम#viral #shortvideo</t>
  </si>
  <si>
    <t>2024-03-16 13:55:56</t>
  </si>
  <si>
    <t>rupeshmourayanke</t>
  </si>
  <si>
    <t>Account charge</t>
  </si>
  <si>
    <t>2024-03-16 12:17:41</t>
  </si>
  <si>
    <t>@darsanlaxar9398</t>
  </si>
  <si>
    <t>Tap kya kare</t>
  </si>
  <si>
    <t>2024-03-16 12:16:33</t>
  </si>
  <si>
    <t>FT limit kadam honne keh baat kya kare remittance tho karna saktha hai sir</t>
  </si>
  <si>
    <t>2024-03-16 12:16:00</t>
  </si>
  <si>
    <t>2024-03-16 12:11:58</t>
  </si>
  <si>
    <t>Easiest bank ever seen. Hats off for digital bank. Bs subscription charge thoda zyda hai. ❤️❤️❤️❤️</t>
  </si>
  <si>
    <t>2024-03-16 10:08:32</t>
  </si>
  <si>
    <t>#PMEGP  से 35% #subsidy वाला लोन चाहिए या मुद्रा लोन चाहिए . WHATSAAPP 8607288523  HELLO करो . #emidateloan #लोन #loanapproval Everyone</t>
  </si>
  <si>
    <t>2024-03-16 10:05:25</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</si>
  <si>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 @ugc_india</t>
  </si>
  <si>
    <t>2024-03-16 10:00:45</t>
  </si>
  <si>
    <t>@acpdileep @FinoPaymntsBank 2 month pahle Amazon pay pr debit card recharge Kiye the, ab work karta hai kya nhi pta</t>
  </si>
  <si>
    <t>2024-03-16 08:36:46</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</si>
  <si>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 @ECISVEEP @MORTHIndia @FinMinIndia</t>
  </si>
  <si>
    <t>2024-03-16 08:26:15</t>
  </si>
  <si>
    <t>Smart Tag</t>
  </si>
  <si>
    <t>Airtel CSP vs Fino CSP Point 2024 | kis bank ka CSC BC Agent He best | best payment bank csp</t>
  </si>
  <si>
    <t>2024-03-16 08:00:05</t>
  </si>
  <si>
    <t>@FBI @canarabank @pnbindia @MyIndusIndBank @HDFC_Bank @ICICIBank @UnionBankTweets @NSDL_Depository @airtelindia @BSNLCorporate @FincareBank @FinoPaymntsBank @DBSBankIndia @AAI_Official @Bank_of_Japan_e @IPPBOnline @BBCWorld @UIDAI @oiioxford @timesofindia @Zoom @SlackHQ @Indiametdept @HospitalsApollo</t>
  </si>
  <si>
    <t>2024-03-16 04:10:37</t>
  </si>
  <si>
    <t>Samay Tiwari</t>
  </si>
  <si>
    <t>जय हिन्द जय भारत 🚩</t>
  </si>
  <si>
    <t>2024-03-16 01:02:26</t>
  </si>
  <si>
    <t>2024-03-15</t>
  </si>
  <si>
    <t>Fino Payments Bank: सर मैं सुपर डिस्ट्रीब्यूटर प्रशांत कुमार बिहार समस्तीपुर
मेरा आगरा है कि बी मर्चेंट को बा बैलेंस नहीं मिल रही है
मैं आपसे आगरा करता हूं कि बी मर्चेंट को बा बैलेंस मिले
उसके बाद उज्जीवन स्मॉल फाइनेंस का एटीएम से पैसा विड्रोल नहीं हो रहा है फिनो पेमेंट्स बैंक का अकाउंट से विड्रॉल किया जाता है तो 4.75 25000 तक का बेबी डॉल किया जाता है तो कितना ही कमीशन मिलता है
इसलिए मैं आगरा है कि तीनों पेमेंट बैंक का जो भी विड्रोल हो उसमें कमीशन का बढ़ाया जाए
जैसे मर्चेंट फिनो पेमेंट्स बैंक का विड्रॉल करते हैं उनका पैसा नहीं लेते हैं कमीशन बढ़ा दिया जाएगा तो कस्टमर के साथ उनको टेंशन नहीं होगा अकाउंट से तीन बार विड्रोल करने के बाद उनका चार्ज काटा जाता है कौन से इसलिए कस्टमर मेरे बी मर्चेंट भाई से झगड़ा करने लगते हैं जो फील्ड में वर्क कर रहे हैं मेरे किसी भाई उन सभी से आगरा है सर जो इस पर आप ध्यान दीजिए मैं आपका विश्वास हूं सुपर डिस्ट्रीब्यूटर प्रशांत कुमार
9525005467</t>
  </si>
  <si>
    <t>2024-03-15 23:05:29</t>
  </si>
  <si>
    <t>सर मैं सुपर डिस्ट्रीब्यूटर प्रशांत कुमार बिहार समस्तीपुर
मेरा आगरा है कि बी मर्चेंट को बा बैलेंस नहीं मिल रही है
मैं आपसे आगरा करता हूं कि बी मर्चेंट को बा बैलेंस मिले
उसके बाद उज्जीवन स्मॉल फाइनेंस का एटीएम से पैसा विड्रोल नहीं हो रहा है फिनो पेमेंट्स बैंक का अकाउंट से विड्रॉल किया जाता है तो 4.75 25000 तक का बेबी डॉल किया जाता है तो कितना ही कमीशन मिलता है
इसलिए मैं आगरा है कि तीनों पेमेंट बैंक का जो भी विड्रोल हो उसमें कमीशन का बढ़ाया जाए
जैसे मर्चेंट फिनो पेमेंट्स बैंक का विड्रॉल करते हैं उनका पैसा नहीं लेते हैं कमीशन बढ़ा दिया जाएगा तो कस्टमर के साथ उनको टेंशन नहीं होगा अकाउंट से तीन बार विड्रोल करने के बाद उनका चार्ज काटा जाता है कौन से इसलिए कस्टमर मेरे बी मर्चेंट भाई से झगड़ा करने लगते हैं जो फील्ड में वर्क कर रहे हैं मेरे किसी भाई उन सभी से आगरा है सर जो इस पर आप ध्यान दीजिए मैं आपका विश्वास हूं सुपर डिस्ट्रीब्यूटर प्रशांत कुमार
**********</t>
  </si>
  <si>
    <t>2024-03-15 23:05:27</t>
  </si>
  <si>
    <t>सर मैं सुपर डिस्ट्रीब्यूटर प्रशांत कुमार बिहार समस्तीपुर
मेरा आगरा है कि बी मर्चेंट को बा बैलेंस नहीं मिल रही है
मैं आपसे आगरा करता हूं कि बी मर्चेंट को बा बैलेंस मिले
उसके बाद उज्जीवन स्मॉल फाइनेंस का एटीएम से पैसा विड्रोल नहीं हो रहा है फिनो पेमेंट्स बैंक का अकाउंट से विड्रॉल किया जाता है तो 4.75 25000 तक का बेबी डॉल किया जाता है तो कितना ही कमीशन मिलता है
इसलिए मैं आगरा है कि तीनों पेमेंट बैंक का जो भी विड्रोल हो उसमें कमीशन का बढ़ाया जाए
जैसे मर्चेंट फिनो पेमेंट्स बैंक का विड्रॉल करते हैं उनका पैसा नहीं लेते हैं कमीशन बढ़ा दिया जाएगा तो कस्टमर के साथ उनको टेंशन नहीं होगा अकाउंट से तीन बार विड्रोल करने के बाद उनका चार्ज काटा जाता है कौन से इसलिए कस्टमर मेरे बी मर्चेंट भाई से झगड़ा करने लगते हैं जो फील्ड में वर्क कर रहे हैं मेरे किसी भाई उन सभी से आगरा है सर जो इस पर आप ध्यान दीजिए मैं आपका विश्वास हूं सुपर डिस्ट्रीब्यूटर प्रशांत कुमार
9525005467</t>
  </si>
  <si>
    <t>2024-03-15 23:05:18</t>
  </si>
  <si>
    <t>Sudhakar Thombare</t>
  </si>
  <si>
    <t>2024-03-15 22:47:55</t>
  </si>
  <si>
    <t>2024-03-15 22:47:45</t>
  </si>
  <si>
    <t>Fino Payments Bank ,super,sarvis,super bank,</t>
  </si>
  <si>
    <t>2024-03-15 22:47:15</t>
  </si>
  <si>
    <t>Rana</t>
  </si>
  <si>
    <t>Jay Shriram aap mujhe inbox kijiye, Problem will be resolved soon.</t>
  </si>
  <si>
    <t>2024-03-15 22:43:35</t>
  </si>
  <si>
    <t>ven_om_____</t>
  </si>
  <si>
    <t>How to get retailer I'd 🙏🏻</t>
  </si>
  <si>
    <t>2024-03-15 22:06:41</t>
  </si>
  <si>
    <t>@vinayakkumarchaupal2309</t>
  </si>
  <si>
    <t>2024-03-15 21:36:29</t>
  </si>
  <si>
    <t>Shashikant Yadav Shashikant Yadav</t>
  </si>
  <si>
    <t>Fino Payments Bank: Shashikant yadav</t>
  </si>
  <si>
    <t>2024-03-15 21:29:03</t>
  </si>
  <si>
    <t>Fino Payments Bank: 8668399751</t>
  </si>
  <si>
    <t>2024-03-15 21:27:49</t>
  </si>
  <si>
    <t>QM-FINO-E677</t>
  </si>
  <si>
    <t>Achha bank hai</t>
  </si>
  <si>
    <t>2024-03-15 20:43:46</t>
  </si>
  <si>
    <t>2024-03-15 20:43:42</t>
  </si>
  <si>
    <t>Raju Kanwa Rawar</t>
  </si>
  <si>
    <t>Fino Payments Bank: z</t>
  </si>
  <si>
    <t>2024-03-15 20:39:03</t>
  </si>
  <si>
    <t>@FinoPaymntsBank  Pls resolve my issue</t>
  </si>
  <si>
    <t>2024-03-15 18:10:13</t>
  </si>
  <si>
    <t>@FinoPaymntsBank  Very bad service from fino darbgabg branch they ask rs 550 for address verification I'd 119477468</t>
  </si>
  <si>
    <t>2024-03-15 18:10:06</t>
  </si>
  <si>
    <t>@FinoPaymntsBank very badcservices for merchantbaddress verification carge aak rs550 from darbhanga manger I'd 119477468</t>
  </si>
  <si>
    <t>2024-03-15 18:08:48</t>
  </si>
  <si>
    <t>mr_sahil_khan_082</t>
  </si>
  <si>
    <t>Iam using fino bank 1 year over 🔥🔥</t>
  </si>
  <si>
    <t>2024-03-15 17:25:28</t>
  </si>
  <si>
    <t>2024-03-15 17:03:47</t>
  </si>
  <si>
    <t>2024-03-15 17:03:17</t>
  </si>
  <si>
    <t>2024-03-15 17:03:16</t>
  </si>
  <si>
    <t>2024-03-15 17:03:12</t>
  </si>
  <si>
    <t>2024-03-15 17:03:10</t>
  </si>
  <si>
    <t>2024-03-15 17:03:09</t>
  </si>
  <si>
    <t>2024-03-15 17:03:06</t>
  </si>
  <si>
    <t>2024-03-15 17:03:05</t>
  </si>
  <si>
    <t>2024-03-15 17:03:00</t>
  </si>
  <si>
    <t>2024-03-15 17:02:59</t>
  </si>
  <si>
    <t>2024-03-15 17:02:57</t>
  </si>
  <si>
    <t>2024-03-15 17:02:56</t>
  </si>
  <si>
    <t>2024-03-15 17:02:55</t>
  </si>
  <si>
    <t>FinoPay app aapko deta hai funds transfer, UPI, merchant payments jaisi kayi suvidhayein. Aaj hi FinoPay app download karein aur befikar rahein.
#FinoPaymentsBank #FikarNot #FinoBanker #DigitalBanking #SecureBanking #HarDinFino #FinoPay #Download #DownloadNow #UPITransactions #OneAppForAll #EASYPROCESS #FundTransfer</t>
  </si>
  <si>
    <t>2024-03-15 17:00:30</t>
  </si>
  <si>
    <t>2024-03-15 17:00:04</t>
  </si>
  <si>
    <t>FinoPay app aapko deta hai funds transfer, UPI, merchant payments jaisi kayi suvidhayein. Aaj hi FinoPay app download karein aur befikar rahein
#FinoPaymentsBank #FikarNot #FinoBanker #DigitalBanking #SecureBanking #FinoPay #Download #UPITransactions #OneAppForAll #FundTransfer https://t.co/0HGueH1HVb</t>
  </si>
  <si>
    <t>2024-03-15 17:00:00</t>
  </si>
  <si>
    <t>vishnuagarwal64</t>
  </si>
  <si>
    <t>Vishnu Agarwal</t>
  </si>
  <si>
    <t>@MalhotraSaurabh @FinoPaymntsBank Enser Communications Limited's IPO is opening today, Got a chance to interview the promoter. Please find the link to it..
Interview:  https://t.co/9GZIb4rB1d
#IPO #EnserCommunications #UnlistedCompanies #PreIPO #InvestmentInsights #MerchantBanking</t>
  </si>
  <si>
    <t>2024-03-15 16:56:58</t>
  </si>
  <si>
    <t>Kolkata, west bengal</t>
  </si>
  <si>
    <t>2024-03-15 16:06:33</t>
  </si>
  <si>
    <t>@JANTAJANKARIOFFICIAL</t>
  </si>
  <si>
    <t>SIR MERA MURCHENT ID ME AEPS WITHDRAW KA OPTIONS NAHI AARAHA HAI KYA KRNA HOGA ID-158193641</t>
  </si>
  <si>
    <t>2024-03-15 15:46:06</t>
  </si>
  <si>
    <t>Fino is introducing a unique policy crafted to protect our customers. Stay tuned for updates!
#FinoPaymentsBank #FikarNot #FinoBanker #DigitalBanking #SecureBanking #ConsumerRights #ConsumerProtection #ConsumerSecurity #NewScheme #ComingSoon #StayTuned #ConsumerPolicy https://t.co/CRtm4hY3PT</t>
  </si>
  <si>
    <t>2024-03-15 15:41:20</t>
  </si>
  <si>
    <t>2024-03-15 15:22:11</t>
  </si>
  <si>
    <t>2024-03-15 15:21:48</t>
  </si>
  <si>
    <t>Logon Ko chutiya banaa rahi hai yah company</t>
  </si>
  <si>
    <t>2024-03-15 15:20:41</t>
  </si>
  <si>
    <t>Bekar bank hai y koi hilp nahi milth hai es me</t>
  </si>
  <si>
    <t>2024-03-15 15:20:22</t>
  </si>
  <si>
    <t>2024-03-15 15:19:43</t>
  </si>
  <si>
    <t>2024-03-15 15:19:41</t>
  </si>
  <si>
    <t>2024-03-15 15:19:39</t>
  </si>
  <si>
    <t>2024-03-15 15:19:36</t>
  </si>
  <si>
    <t>2024-03-15 15:19:32</t>
  </si>
  <si>
    <t>2024-03-15 15:19:31</t>
  </si>
  <si>
    <t>2024-03-15 15:19:30</t>
  </si>
  <si>
    <t>2024-03-15 15:19:29</t>
  </si>
  <si>
    <t>2024-03-15 15:19:28</t>
  </si>
  <si>
    <t>Beerendr Singh</t>
  </si>
  <si>
    <t>BC point chahiye</t>
  </si>
  <si>
    <t>2024-03-15 15:17:24</t>
  </si>
  <si>
    <t>Fino is introducing a unique policy crafted to protect our customers. Stay tuned for updates!
#FinoPaymentsBank #FikarNot #FinoBanker #DigitalBanking #SecureBanking #HarDinFino #FinoPay #ConsumerRights #ConsumerProtection #ConsumerSecurity #NewScheme #ComingSoon #StayTuned #ConsumerPolicy</t>
  </si>
  <si>
    <t>2024-03-15 15:00:12</t>
  </si>
  <si>
    <t>2024-03-15 15:00:07</t>
  </si>
  <si>
    <t>2024-03-15 15:00:00</t>
  </si>
  <si>
    <t>@FBI @canarabank @pnbindia @MyIndusIndBank @HDFC_Bank @ICICIBank @UnionBankTweets @NSDL_Depository @airtelindia @BSNLCorporate @FincareBank @FinoPaymntsBank @DBSBankIndia @AAI_Official @Bank_of_Japan_e @IPPBOnline @BBCWorld @UIDAI @oiioxford @timesofindia @Zoom @SlackHQ @Indiametdept Paid by me to smt Vijay dharani everything upon her presentation of the entire list of real work by investment of body mind Soul and being
Mrs Vijay dharani kindly if you please</t>
  </si>
  <si>
    <t>2024-03-15 14:56:23</t>
  </si>
  <si>
    <t>@FinoPaymntsBank Customer care से बात करी।
बहुत ही घटिया तरीके से बात करी।
बिना ठीक से बात सुने ही ok कहकर कॉल काट दिया</t>
  </si>
  <si>
    <t>2024-03-15 14:49:21</t>
  </si>
  <si>
    <t>@FinoPaymntsBank Your card not working on amazon. What to do?</t>
  </si>
  <si>
    <t>2024-03-15 14:39:01</t>
  </si>
  <si>
    <t>@FBI @canarabank @pnbindia @MyIndusIndBank @HDFC_Bank @ICICIBank @UnionBankTweets @NSDL_Depository @airtelindia @BSNLCorporate @FincareBank @FinoPaymntsBank @DBSBankIndia @AAI_Official @Bank_of_Japan_e @IPPBOnline @BBCWorld @UIDAI @oiioxford @timesofindia @Zoom @SlackHQ @Indiametdept యూ తేల్ మి వోత్ ఆయ్ కన్ దూ ఆయ్ విల్ దూ ద సేం మిలార్ద్ ...</t>
  </si>
  <si>
    <t>2024-03-15 14:34:15</t>
  </si>
  <si>
    <t>@FBI @canarabank @pnbindia @MyIndusIndBank @HDFC_Bank @ICICIBank @UnionBankTweets @NSDL_Depository @airtelindia @BSNLCorporate @FincareBank @FinoPaymntsBank @DBSBankIndia @AAI_Official @Bank_of_Japan_e @IPPBOnline @BBCWorld @UIDAI @oiioxford @timesofindia @Zoom @SlackHQ @Indiametdept Eh she has stolen my tool at hi tech city cyberabad Jubilee enclave Kiran hostel 2 by entering through the free window system as I was peacefully in my night slumber in universe cuddle alone and used the tool to control irrigation in the kanthri Milord
https://t.co/CgmhqyJIIa</t>
  </si>
  <si>
    <t>2024-03-15 14:32:23</t>
  </si>
  <si>
    <t>@FBI @canarabank @pnbindia @MyIndusIndBank @HDFC_Bank @ICICIBank @UnionBankTweets @NSDL_Depository @airtelindia @BSNLCorporate @FincareBank @FinoPaymntsBank @DBSBankIndia @AAI_Official @Bank_of_Japan_e @IPPBOnline @BBCWorld @UIDAI @oiioxford @timesofindia @Zoom @SlackHQ @Indiametdept</t>
  </si>
  <si>
    <t>2024-03-15 14:24:34</t>
  </si>
  <si>
    <t>@amazonIN आपकी वेबसाइट पर @FinoPaymntsBank  का Rupay Platinum कार्ड इस्तेमाल नही हो पा रहा है।
कार्ड डालने के बाद otp तक नही पहुच रहा है।
मुझे तो पूरी गलती @FinoPaymntsBank की लग रही है
कृपया सही करें।</t>
  </si>
  <si>
    <t>2024-03-15 14:23:49</t>
  </si>
  <si>
    <t>Anil Kumar</t>
  </si>
  <si>
    <t>Fino Payments Bank 
ग्राहक सेवा केंद्र खोले
अनिल डिजिटल सेवा केंद्र के तरफ से धमाका ऑफर हैं हाथ से न जाने दे।
और महीने का 20000 से 30000 तक कमाये ॥
FINO PAYMENT Bank.. Services
Account Opening
MINOR ACCOUNT OPENING
AEPS Cash Withdrawal
Money Transfer
ATAL PENSION YOJANA
FIXED DEPOSIT
Mobile &amp;amp; Dth Recharge
बिजली का बिल जमा करे
लोन जमा करे
LiC Policy जमा करें
छोटे बच्चों का खाता खोले
तुरंत ATM पासबुक के साथ
Saving &amp;amp; Current Account Opening
मर्चेंट लोन पाये
Price: ONLY 699/-
जरूरी सूचना ⚠️⚠️⚠️
जो मित्र लोग सोच रहे है। की बाद में कभी रिटेलर बन जायेंगे वो मित्र लोग सावधान हो जाये। और अभी बैंक मित्र बनकर अपने बिजनस को आगे बढ़ाए।
AUTHORIZE MR. ANIL KUMAR CONTECT NO. 8837898039
*बिजनेस को आगे बढ़ाए*</t>
  </si>
  <si>
    <t>2024-03-15 13:52:23</t>
  </si>
  <si>
    <t>2024-03-15 13:51:55</t>
  </si>
  <si>
    <t>Sarfaraz Husain</t>
  </si>
  <si>
    <t>Fino Payments Bank: Send it</t>
  </si>
  <si>
    <t>2024-03-15 13:35:30</t>
  </si>
  <si>
    <t>Řôÿàl Váŕmân Śùđhïŕ</t>
  </si>
  <si>
    <t>Zero चार्ज पर खाता खुलवाया जाए और सबसे अच्छी सुविधा दी जाए</t>
  </si>
  <si>
    <t>2024-03-15 13:28:40</t>
  </si>
  <si>
    <t>New bc point ka कितना चार्ज लगेगा</t>
  </si>
  <si>
    <t>2024-03-15 13:23:56</t>
  </si>
  <si>
    <t>सुपर सर्विस फीनो पेमेंट बँक</t>
  </si>
  <si>
    <t>2024-03-15 13:21:50</t>
  </si>
  <si>
    <t>Focus News</t>
  </si>
  <si>
    <t>Fino Payments Bank to expand branchless network across Tamilnadu</t>
  </si>
  <si>
    <t>2024-03-15 13:17:36</t>
  </si>
  <si>
    <t>Bekar bank hai y koi hilp nahi milth hai es me chor hai y compni</t>
  </si>
  <si>
    <t>2024-03-15 13:08:00</t>
  </si>
  <si>
    <t>आदमी जो फेसबुक पे अपलोड कर रहा है ऐ सब फोटो  उसे दिखाइ नही दे रहा है  सब इसमे खटिया लोग और बैक है</t>
  </si>
  <si>
    <t>2024-03-15 13:07:33</t>
  </si>
  <si>
    <t>सब इसमे अन्धे बहरे है साले कम्पनी हि अन्धा बेहारा ए  सबसे बेकार  है</t>
  </si>
  <si>
    <t>2024-03-15 13:04:44</t>
  </si>
  <si>
    <t>योजना ऐसी कि पूछो मत  ऐ योजना व योजना  
लोग को ऐ कम्पनी चुतिया बना रही सबसे खटिया खटिया बैक है साला चोर बैक है जो पहले से फसा है  पहले उसे तो हेल्प करो नया नया लोगो फसा रही है ऐ कम्पनी बेकार बैक है ऐ कोइ हेल्प नही मिलता है</t>
  </si>
  <si>
    <t>2024-03-15 13:01:14</t>
  </si>
  <si>
    <t>2024-03-15 12:57:18</t>
  </si>
  <si>
    <t>2024-03-15 12:57:16</t>
  </si>
  <si>
    <t>2024-03-15 12:57:13</t>
  </si>
  <si>
    <t>2024-03-15 12:57:12</t>
  </si>
  <si>
    <t>2024-03-15 12:57:11</t>
  </si>
  <si>
    <t>2024-03-15 12:57:10</t>
  </si>
  <si>
    <t>2024-03-15 12:57:08</t>
  </si>
  <si>
    <t>2024-03-15 12:57:07</t>
  </si>
  <si>
    <t>2024-03-15 12:57:06</t>
  </si>
  <si>
    <t>2024-03-15 12:57:02</t>
  </si>
  <si>
    <t>2024-03-15 12:56:58</t>
  </si>
  <si>
    <t>@FBI @canarabank @pnbindia @MyIndusIndBank @HDFC_Bank @ICICIBank @UnionBankTweets @NSDL_Depository @airtelindia @BSNLCorporate @FincareBank @FinoPaymntsBank @DBSBankIndia @AAI_Official @Bank_of_Japan_e @IPPBOnline @BBCWorld @UIDAI @oiioxford @timesofindia @Zoom @SlackHQ https://t.co/kGEePznBwU
Thank you for your kindness sh Ram kovind ji
Good work I applaud your endeavour 🙂
Authorised by me</t>
  </si>
  <si>
    <t>2024-03-15 12:16:19</t>
  </si>
  <si>
    <t>Fino is introducing a unique policy crafted to protect our customers. Stay tuned for updates!
{hashtag|\#|FinoPaymentsBank} {hashtag|\#|FikarNot} {hashtag|\#|FinoBanker} {hashtag|\#|DigitalBanking} {hashtag|\#|SecureBanking} {hashtag|\#|HarDinFino} {hashtag|\#|FinoPay} {hashtag|\#|ConsumerRights} {hashtag|\#|ConsumerProtection} {hashtag|\#|ConsumerSecurity} {hashtag|\#|NewScheme} {hashtag|\#|ComingSoon} {hashtag|\#|StayTuned} {hashtag|\#|ConsumerPolicy}</t>
  </si>
  <si>
    <t>2024-03-15 12:12:31</t>
  </si>
  <si>
    <t>{hashtag|\#|FinoPaymentsBank} {hashtag|\#|FikarNot} {hashtag|\#|FinoBanker} {hashtag|\#|DigitalBanking} {hashtag|\#|SecureBanking} {hashtag|\#|HarDinFino} {hashtag|\#|FinoPay} {hashtag|\#|ConsumerRights} {hashtag|\#|ConsumerProtection} {hashtag|\#|ConsumerSecurity} {hashtag|\#|NewScheme} {hashtag|\#|ComingSoon} {hashtag|\#|StayTuned}</t>
  </si>
  <si>
    <t>2024-03-15 12:05:01</t>
  </si>
  <si>
    <t>फिनो ला रहा है एक नई योजना जिससे आप अपने ग्राहकों को सुरक्षा प्रधान कर सकतें हैं। हमारे साथ जुड़ें रहें।
#FinoPaymentsBank #FikarNot #FinoBanker #DigitalBanking #SecureBanking #HarDinFino #ConsumerRights #ConsumerProtection #ConsumerSecurity #NewScheme #ComingSoon #StayTuned https://t.co/WBhCPLxig9</t>
  </si>
  <si>
    <t>2024-03-15 12:03:32</t>
  </si>
  <si>
    <t>फिनो ला रहा है एक नई योजना जिससे आप अपने ग्राहकों को सुरक्षा प्रधान कर सकतें हैं। हमारे साथ जुड़ें रहें।
#FinoPaymentsBank #FikarNot #FinoBanker #DigitalBanking #SecureBanking #HarDinFino #FinoPay #ConsumerRights #ConsumerProtection #ConsumerSecurity #NewScheme #ComingSoon #StayTuned</t>
  </si>
  <si>
    <t>2024-03-15 12:03:14</t>
  </si>
  <si>
    <t>2024-03-15 12:03:12</t>
  </si>
  <si>
    <t>2024-03-15 11:48:39</t>
  </si>
  <si>
    <t>@MohammadZayaullah</t>
  </si>
  <si>
    <t>Pending ho gya h wapas kaise lana h</t>
  </si>
  <si>
    <t>2024-03-15 11:46:28</t>
  </si>
  <si>
    <t>Remittance pending ho gya kya karna h</t>
  </si>
  <si>
    <t>2024-03-15 11:46:06</t>
  </si>
  <si>
    <t>Neeraj Dubey</t>
  </si>
  <si>
    <t>Fino Payments Bank: Sir bank account statement cheya</t>
  </si>
  <si>
    <t>2024-03-15 11:45:33</t>
  </si>
  <si>
    <t>@FinoPaymntsBank Please Post Telugu Posters Also</t>
  </si>
  <si>
    <t>2024-03-15 11:33:33</t>
  </si>
  <si>
    <t>Aage ki taiyaari ka raaz, kholein FinoPay Savings Account aaj. Account kholne ke liye missed call de 7877788977  par.
#FinoPaymentsBank #FikarNot #FinoBanker #DigitalBanking #SecureBanking #HarDinFino #FinoPay #AccountOpening #SavingsAccount #SecureYourFuture https://t.co/RdVzW6gCyK</t>
  </si>
  <si>
    <t>2024-03-15 11:33:17</t>
  </si>
  <si>
    <t>Celebrating Consumer Rights Day with Fino Payments bank. Know your rights, choose wisely!</t>
  </si>
  <si>
    <t>2024-03-15 11:32:57</t>
  </si>
  <si>
    <t>jitendra261988</t>
  </si>
  <si>
    <t>jitendra kushwah</t>
  </si>
  <si>
    <t>2024-03-15 11:32:42</t>
  </si>
  <si>
    <t>2024-03-15 11:10:04</t>
  </si>
  <si>
    <t>MD Azahar</t>
  </si>
  <si>
    <t>Fino Payments Bank: CSP</t>
  </si>
  <si>
    <t>2024-03-15 11:01:16</t>
  </si>
  <si>
    <t>Fino Payments Bank: Need DSA</t>
  </si>
  <si>
    <t>2024-03-15 11:01:12</t>
  </si>
  <si>
    <t>2024-03-15 11:00:54</t>
  </si>
  <si>
    <t>exchange4media</t>
  </si>
  <si>
    <t>"🌟 Excited to welcome our esteemed speakers for the Exclusive Roundtable Discussion on 'Decoding the Highs and Lows: Challenges of High Acquisition Cost &amp; Low Conversion Metrics in BFSI Marketing' scheduled today in Mumbai, as we dive deep into the world of BFSI marketing! 
Zahid Gawandi I Prashant Choudhari I Asmi Gandhi I Ronak Agrawal I Neha Sawant I Srivaths Varadharajan I Varsha Khandelwal I Sarvesh Bagla I Noopur Bhatia I Shubh Mukherji I Neha Sharma I SBI Securities I Fino Payments Bank Ltd I Home First Finance Company (HFFC) I Choice I ZebPay I Spice Money I Quantum Mutual Fund I Techmagnate: Digital Marketing Agency 
 #RoundtableDiscussion #BFSI #Marketing</t>
  </si>
  <si>
    <t>2024-03-15 10:39:16</t>
  </si>
  <si>
    <t>Sahil Khobragade</t>
  </si>
  <si>
    <t>Excited to pursue opportunities in the banking sector! 🏦 Currently seeking roles in finance, banking, and financial services. 
Experience:- Fresher
Location:- Balaghat (City)
Axis Bank 
HDFC Bank 
IDFC FIRST Bank 
ICICI Bank 
AU SMALL FINANCE BANK
Fino Payments Bank Ltd 
Equitas Small Finance Bank 
Bandhan Bank Ltd. 
Federal Bank 
Canara Bank 
Kotak Mahindra Bank - Corporate, Institutional &amp; Investment Banking  
YES BANK 
RBL Bank 
(Check out my profile and let's connect!")</t>
  </si>
  <si>
    <t>2024-03-15 10:24:24</t>
  </si>
  <si>
    <t>@FBI @canarabank @pnbindia @MyIndusIndBank @HDFC_Bank @ICICIBank @UnionBankTweets @NSDL_Depository @airtelindia @BSNLCorporate @FincareBank @FinoPaymntsBank @DBSBankIndia @AAI_Official @Bank_of_Japan_e @IPPBOnline @BBCWorld @UIDAI @oiioxford @timesofindia @Zoom @SlackHQ</t>
  </si>
  <si>
    <t>2024-03-15 10:11:50</t>
  </si>
  <si>
    <t>@FBI @canarabank @pnbindia @MyIndusIndBank @HDFC_Bank @ICICIBank @UnionBankTweets @NSDL_Depository @airtelindia @BSNLCorporate @FincareBank @FinoPaymntsBank @DBSBankIndia @AAI_Official @Bank_of_Japan_e @IPPBOnline @BBCWorld @UIDAI @oiioxford @timesofindia</t>
  </si>
  <si>
    <t>2024-03-15 10:05:53</t>
  </si>
  <si>
    <t>2024-03-15 10:03:54</t>
  </si>
  <si>
    <t>2024-03-15 09:27:05</t>
  </si>
  <si>
    <t>2024-03-15 09:23:25</t>
  </si>
  <si>
    <t>2024-03-15 09:21:26</t>
  </si>
  <si>
    <t>Compni bi koi hilp nahi karth hai</t>
  </si>
  <si>
    <t>2024-03-15 09:21:20</t>
  </si>
  <si>
    <t>6 mahina se unlock nahi huaa distributor I'd  sala sabse bekar bank hai y koi hilp nahi milth hai</t>
  </si>
  <si>
    <t>2024-03-15 09:20:34</t>
  </si>
  <si>
    <t>Sala koi hilp nahi milth hai es me chor bank hai y koi hilp nahi milth hai es me</t>
  </si>
  <si>
    <t>2024-03-15 09:19:07</t>
  </si>
  <si>
    <t>2024-03-15 09:18:36</t>
  </si>
  <si>
    <t>2024-03-15 09:18:35</t>
  </si>
  <si>
    <t>2024-03-15 09:18:32</t>
  </si>
  <si>
    <t>2024-03-15 09:18:30</t>
  </si>
  <si>
    <t>Rana mera distributor I'd chlu nahi huaa masin bi liye Magar abih thk unlock nahi huaa hai I'd bekar bank hai y koi sala help nahi karth hai</t>
  </si>
  <si>
    <t>2024-03-15 09:17:16</t>
  </si>
  <si>
    <t>Anubhav Shukla</t>
  </si>
  <si>
    <t xml:space="preserve">Hello Hiring Team we want job in Logistics Field and others!
Sir, I am in great need of a job because my family is dependent on me, therefore I am in great need of a job, please provide me a job opportunity.
@[Amit Shukla](urn:li:person:xr35ZQL7zz) @[Anuj Sinha](urn:li:person:oNqV1M9c2t) @[Abhijeet Verma](urn:li:person:bNXddIfLmm) @[Xpressbees \(BusyBees Logistics Solutions Pvt. Ltd.\)](urn:li:organization:3874661) @[Delhivery](urn:li:organization:2312777) @[Ecom Express Limited](urn:li:organization:3151123) @[Ekart Logistics](urn:li:organization:83955637) @[amazon logistics india](urn:li:organization:100685698) @[Flipkart](urn:li:organization:321062) @[Mahindra Logistics](urn:li:organization:3538091) @[PhonePe](urn:li:organization:10479149) @[Paytm](urn:li:organization:2340144) @[Utkarsh Small Finance Bank](urn:li:organization:1698401) @[Fino Payments Bank Ltd](urn:li:organization:247810) @[Rohit Shukla](urn:li:person:2AWjUkn69b) </t>
  </si>
  <si>
    <t>2024-03-15 08:58:35</t>
  </si>
  <si>
    <t>fino ਬੈਂਕ ਦੇ ਖਾਤੇ ਵਿੱਚ ਆਏ 8000rs ਪਿੰਡ ਗੁਰਮਾ ਬਰਨਾਲਾ |  7707995534 PM Kisan #pmkisan</t>
  </si>
  <si>
    <t>2024-03-15 08:38:08</t>
  </si>
  <si>
    <t>Empowering Consumers Every Step of the Way! Celebrating Consumer Rights Day with Fino Payments bank. Know your rights, choose wisely!
#FinoPaymentsBank #FikarNot #FinoBanker #DigitalBanking #SecureBanking #HarDinFino #ConsumerRightsDay #ConsumerRights #ConsumerRightProtection https://t.co/JOZWWyB4ZH</t>
  </si>
  <si>
    <t>2024-03-15 08:36:34</t>
  </si>
  <si>
    <t>2024-03-15 08:04:50</t>
  </si>
  <si>
    <t>2024-03-15 08:02:50</t>
  </si>
  <si>
    <t>2024-03-15 08:02:06</t>
  </si>
  <si>
    <t>Empowering Consumers Every Step of the Way! Celebrating Consumer Rights Day with Fino Payments bank. Know your rights, choose wisely!
#FinoPaymentsBank #FikarNot #FinoBanker #DigitalBanking #SecureBanking #HarDinFino #FinoPay #ConsumerRightsDay #ConsumerRights #ConsumerRightProtection</t>
  </si>
  <si>
    <t>2024-03-15 08:00:31</t>
  </si>
  <si>
    <t>2024-03-15 08:00:21</t>
  </si>
  <si>
    <t>BrainGym_jr</t>
  </si>
  <si>
    <t>BrainGymJr</t>
  </si>
  <si>
    <t>Empower your child's dreams with Fino Bhavishya Savings Account. Start now and celebrate Pi Day and Albert Einstein's birthday.
#FinoPaymentsBank #FikarNot #FinoBanker #DigitalBanking #SecureBanking #BankingServices #OpenAccount #wordPiDay #Mathematics #AlbertEinstein https://t.co/SgF1gHmbxp</t>
  </si>
  <si>
    <t>2024-03-15 06:41:55</t>
  </si>
  <si>
    <t>The globe</t>
  </si>
  <si>
    <t>Pratik Bhand</t>
  </si>
  <si>
    <t xml:space="preserve">Please don't ignore this post, it's a genuine humble request. I lost my job due to layoffs and currently going through a very tough phase of life. Any leads would be highly appreciated. Despite participating in numerous uncountable interviews, unfortunately, I haven't received any job offers even after clearing all the rounds. It seems that either budget constraints or specific role requirements are causing the issue.
#OpenToWork can be one of the most financially draining experiences, but I'm #NotGivingUp easily!
I'm still #OpenForNewOpportunities.I would really appreciate any assistance, even if it's as simple as liking, sharing, reposting, or commenting on this post to help increase its visibility as your 2 minutes can save somebody's career.
Experience - 8.5 Years into Operations Management(Recently completed LSSGB certification)
Open for  #businessautomation #businessimprovement #processimprovement #tranformation 
Preferred Location - Mumbai/Pune/Navi Mumbai/Remote/Hybrid/
Notice Period - Immediate Joiner
Mobile: 9987536411/9930146411
Email - prateek14oct@gmail.com
#lookingforopportunities #lookingforemployment #immediatejoiner #helpme #help #newcareeropportunities #dispatch #carrer #msoffice #microsoftexcel #leanstartup #leansixsigma  and would really appreciate any assistance even if it is simple as liking, sharing, reposting 🙏
Commenting on this post, #layoffs
#newopportunity #lookingforjob #layoffs2024 #connections #interview #startup #leadership #connections #helpinghands #layoffs2023 #startupindia Genpact
Capgemini Invent AccentureTech MahindraBarclaysEYDelloite ConsultingPwC IndiaIBMHCLTechRandstad IndiaRandstadTata Consultancy ServicesBoston Consulting Group (BCG)Hexaware TechnologiesAtos SyntelCitiusTecheClerxeClinicalWorksJ.P. MorganSBI Life Insurance Co. Ltd.Tata GroupTATA AIG General Insurance Company Limited LetsTransport DHL Mearsk Sealand Limited  Marsh McLennan Global Services India Private Limited (MMGS) Fino Payments Bank Ltd </t>
  </si>
  <si>
    <t>2024-03-15 06:23:23</t>
  </si>
  <si>
    <t>case withdrawal आ गाया Fino 🆔 में।। Fino case withdrawal problem।। fino case withdrawal not showing</t>
  </si>
  <si>
    <t>2024-03-15 06:15:19</t>
  </si>
  <si>
    <t>DaijaDevi6934</t>
  </si>
  <si>
    <t>Daija Devi</t>
  </si>
  <si>
    <t>@FinoPaymntsBank Don't use Very bad experience my I'd blocked automatically</t>
  </si>
  <si>
    <t>2024-03-15 05:37:57</t>
  </si>
  <si>
    <t>Khan_aryan_91</t>
  </si>
  <si>
    <t>Aryan khan</t>
  </si>
  <si>
    <t>Hello sir&amp;amp; mam.
 humari account fino payment bak me hai or wo account freez ho gya hai or meri baranch mumbai juyi nagar me hai or me up me hu or me apne bank me nhi ja sakta koi or salah de aap i hope aap meri madad krenge @FinoPaymntsBank</t>
  </si>
  <si>
    <t>2024-03-15 05:03:12</t>
  </si>
  <si>
    <t>Fino payment Bank Passbook Kane koyi update Koribo Lage vdieo</t>
  </si>
  <si>
    <t>2024-03-15 04:49:58</t>
  </si>
  <si>
    <t>2024-03-14</t>
  </si>
  <si>
    <t>jeet_innocent</t>
  </si>
  <si>
    <t>Jeet Avasthi</t>
  </si>
  <si>
    <t>Sahab ye @FinoPaymntsBank hai
Yaha Job confirmation k  lie paise lie jate h
Even job left krne k baad b jb tk FnF na ho jae tb tk pura pressure kiya jata hai
Account opening me 0 investment k baad b they are charged wo b in  Cash
@FinoPaymntsBank @anandbhatia75 
@Rishigupta010</t>
  </si>
  <si>
    <t>2024-03-14 23:29:32</t>
  </si>
  <si>
    <t>Alwar, india</t>
  </si>
  <si>
    <t>Jay Shriram Which type of help u want Sir??</t>
  </si>
  <si>
    <t>2024-03-14 23:22:28</t>
  </si>
  <si>
    <t>Jay Shriram Dusra kohi bank se ho kya Bhai???</t>
  </si>
  <si>
    <t>2024-03-14 23:21:39</t>
  </si>
  <si>
    <t>Sahab ye @FinoPaymntsBank hai
Yaha Job confirmation k  lie paise lie jate hai
Even job left krne k baad b jb tk FnF na ho jae tb tk pura pressure kiya jata hai
Account opening me 0 investment k baad b they are charged..
@FinoPaymntsBank @anandbhatia75</t>
  </si>
  <si>
    <t>2024-03-14 23:16:45</t>
  </si>
  <si>
    <t>VarshaTaragi</t>
  </si>
  <si>
    <t>Varsha Taragi</t>
  </si>
  <si>
    <t>@RBI @FinoPaymntsBank I need the resolution ASAP.
#bankingfraud #scamming</t>
  </si>
  <si>
    <t>2024-03-14 23:04:59</t>
  </si>
  <si>
    <t>Debit card issued to my brother without any consent or formalities by @FinoPaymntsBank.
Rupay Debit Card ending with 9364.
#fraudulent #DigitalIndia #misselling</t>
  </si>
  <si>
    <t>2024-03-14 23:02:13</t>
  </si>
  <si>
    <t>Deepak Raj Deepak Raj</t>
  </si>
  <si>
    <t>9572272323 Deepak Kumar</t>
  </si>
  <si>
    <t>2024-03-14 23:01:27</t>
  </si>
  <si>
    <t>2024-03-14 23:00:40</t>
  </si>
  <si>
    <t>Shailendra Singh</t>
  </si>
  <si>
    <t>Mltn Marak  fir kya kre</t>
  </si>
  <si>
    <t>2024-03-14 22:30:07</t>
  </si>
  <si>
    <t>@NHAI_Official @NTreal123 @FinoPaymntsBank</t>
  </si>
  <si>
    <t>2024-03-14 22:00:16</t>
  </si>
  <si>
    <t xml:space="preserve">Fino payments Bank  </t>
  </si>
  <si>
    <t>fino payments Bank  #fino payments Bank</t>
  </si>
  <si>
    <t>2024-03-14 21:58:00</t>
  </si>
  <si>
    <t>Empowering Consumers Every Step of the Way! Celebrating Consumer Rights Day with Fino Payments bank. Know your rights, choose wisely!
{hashtag|\#|FinoPaymentsBank} {hashtag|\#|FikarNot} {hashtag|\#|FinoBanker} {hashtag|\#|DigitalBanking} {hashtag|\#|SecureBanking} {hashtag|\#|HarDinFino} {hashtag|\#|FinoPay} {hashtag|\#|ConsumerRightsDay} {hashtag|\#|ConsumerRights} {hashtag|\#|ConsumerRightProtection}</t>
  </si>
  <si>
    <t>2024-03-14 21:17:49</t>
  </si>
  <si>
    <t>Amit Online A2Z</t>
  </si>
  <si>
    <t>Paytm के बाद/ Airtel Payment Bank या Fino Payment Bank</t>
  </si>
  <si>
    <t>2024-03-14 20:55:46</t>
  </si>
  <si>
    <t>Puja Pandere Dalvi</t>
  </si>
  <si>
    <t xml:space="preserve">0 certcy to show </t>
  </si>
  <si>
    <t>2024-03-14 20:35:08</t>
  </si>
  <si>
    <t xml:space="preserve">Useless banks and even authorities. </t>
  </si>
  <si>
    <t>2024-03-14 20:34:25</t>
  </si>
  <si>
    <t>@FBI @canarabank @pnbindia @MyIndusIndBank @HDFC_Bank @ICICIBank @UnionBankTweets @NSDL_Depository @airtelindia @BSNLCorporate @FincareBank @FinoPaymntsBank @DBSBankIndia @AAI_Official @Bank_of_Japan_e @IPPBOnline @BBCWorld @UIDAI @oiioxford https://t.co/391uDJm3pm
Yeah seen thank you 🙂</t>
  </si>
  <si>
    <t>2024-03-14 20:30:36</t>
  </si>
  <si>
    <t>Naushad Akhtar</t>
  </si>
  <si>
    <t xml:space="preserve">I have resigned my job due to some Personal issues and I'm
currently going through a very tough phase. Any leads would be highly appreciated. 
I have given few
interviews, but unfortunately, I haven't received any job
offers. It seems that either
budget constraints or specific role requirements are causing the issue.
#OpenToWork #openfornewopportunities can be one of
the most financially draining experiences, but I'm #NotGivingUp easily!
I'm still #OpenForNewOpportunities in the field of
#Telecom 
#Handset 
#Fintech
OPPO India vivo India realme India Transsion India Lava International Limited itel India TECNO Mobile Redmi mobile 
airtel Airtel Payments Bank Vodafone Idea Limited 
PhonePe Paytm Paytm Payments Bank  Fino Payments Bank Ltd Rapipay Fintech Private Limited  NetAmbit airpay payment services PayNearby
#Experience :  7 Years.
#Contact : 8417005703
</t>
  </si>
  <si>
    <t>2024-03-14 19:56:07</t>
  </si>
  <si>
    <t>2024-03-14 19:09:39</t>
  </si>
  <si>
    <t>2024-03-14 19:09:36</t>
  </si>
  <si>
    <t>2024-03-14 19:09:30</t>
  </si>
  <si>
    <t>Fino Payments Bank: Mini branch mil sakta hai sir</t>
  </si>
  <si>
    <t>2024-03-14 19:07:04</t>
  </si>
  <si>
    <t>2024-03-14 19:06:26</t>
  </si>
  <si>
    <t>Zahir9959</t>
  </si>
  <si>
    <t>Zahir</t>
  </si>
  <si>
    <t>Hello @FinoPaymntsBank i am not getting support api service i have mailed but no response</t>
  </si>
  <si>
    <t>2024-03-14 18:33:00</t>
  </si>
  <si>
    <t>@bandonavlogs</t>
  </si>
  <si>
    <t>😭😭😭😭😭😭😭😭</t>
  </si>
  <si>
    <t>2024-03-14 18:23:34</t>
  </si>
  <si>
    <t>Good evening 😢😢😢😢😢</t>
  </si>
  <si>
    <t>2024-03-14 18:23:15</t>
  </si>
  <si>
    <t>@FBI @canarabank @pnbindia @MyIndusIndBank @HDFC_Bank @ICICIBank @UnionBankTweets @NSDL_Depository @airtelindia @BSNLCorporate @FincareBank @FinoPaymntsBank @DBSBankIndia @AAI_Official @Bank_of_Japan_e @IPPBOnline @BBCWorld @UIDAI @oiioxford</t>
  </si>
  <si>
    <t>2024-03-14 17:59:50</t>
  </si>
  <si>
    <t>2024-03-14 17:51:35</t>
  </si>
  <si>
    <t>Sonia Notani</t>
  </si>
  <si>
    <t>Teaching children 'how' to think, not 'what' to think! 
BrainGymJr Fino Payments Bank Ltd Vidur Garg Sanjit Bhavnani 
&gt;  50,000+ Puzzles in Math, English &amp; GK. 
&gt; Audio stories with in-built questions
&gt; New Puzzles Daily. 
&gt; Age based, customized content 
&gt; Leaderboards, Badges, Certificates &amp; Parent dashboards!
www.BrainGymJr.com</t>
  </si>
  <si>
    <t>2024-03-14 17:51:19</t>
  </si>
  <si>
    <t>@FBI @canarabank @pnbindia @MyIndusIndBank @HDFC_Bank @ICICIBank @UnionBankTweets @NSDL_Depository @airtelindia @BSNLCorporate @FincareBank @FinoPaymntsBank @DBSBankIndia @AAI_Official @Bank_of_Japan_e @IPPBOnline @BBCWorld @UIDAI</t>
  </si>
  <si>
    <t>2024-03-14 17:46:49</t>
  </si>
  <si>
    <t>2024-03-14 17:41:18</t>
  </si>
  <si>
    <t>2024-03-14 17:41:17</t>
  </si>
  <si>
    <t>2024-03-14 17:41:15</t>
  </si>
  <si>
    <t>2024-03-14 17:41:13</t>
  </si>
  <si>
    <t>2024-03-14 17:41:11</t>
  </si>
  <si>
    <t>2024-03-14 17:41:09</t>
  </si>
  <si>
    <t>2024-03-14 17:41:07</t>
  </si>
  <si>
    <t>2024-03-14 17:41:03</t>
  </si>
  <si>
    <t>2024-03-14 17:41:01</t>
  </si>
  <si>
    <t>2024-03-14 17:40:59</t>
  </si>
  <si>
    <t>2024-03-14 17:40:57</t>
  </si>
  <si>
    <t>@FBI @canarabank @pnbindia @MyIndusIndBank @HDFC_Bank @ICICIBank @UnionBankTweets @NSDL_Depository @airtelindia @BSNLCorporate @FincareBank @FinoPaymntsBank @DBSBankIndia @AAI_Official @Bank_of_Japan_e @IPPBOnline @BBCWorld Thank you @FBI
I was looking for this
వాడి విలువ ఏంటో ఇంకోడు ఆడికి చెప్పే వోవ్సురం లేదట్టా ...
దొంగ్ నా కోడ్కులక్ కూడా ఎంత లెవలొస్తోందో ... 
https://t.co/FkkqnMIXxc</t>
  </si>
  <si>
    <t>2024-03-14 17:37:48</t>
  </si>
  <si>
    <t>sonianotani</t>
  </si>
  <si>
    <t>2024-03-14 17:31:25</t>
  </si>
  <si>
    <t>Hey</t>
  </si>
  <si>
    <t>2024-03-14 17:28:09</t>
  </si>
  <si>
    <t>2024-03-14 17:07:16</t>
  </si>
  <si>
    <t>Koi bi es me account kolwana math nahi to badh me Rona padhga sbse bekar bank hai y</t>
  </si>
  <si>
    <t>2024-03-14 17:06:58</t>
  </si>
  <si>
    <t>realvinodh</t>
  </si>
  <si>
    <t>ѵเ ♩ </t>
  </si>
  <si>
    <t>2024-03-14 17:06:11</t>
  </si>
  <si>
    <t>Mars </t>
  </si>
  <si>
    <t>2024-03-14 17:05:58</t>
  </si>
  <si>
    <t>2024-03-14 17:05:56</t>
  </si>
  <si>
    <t>2024-03-14 17:05:55</t>
  </si>
  <si>
    <t>2024-03-14 17:05:54</t>
  </si>
  <si>
    <t>2024-03-14 17:05:53</t>
  </si>
  <si>
    <t>2024-03-14 17:05:52</t>
  </si>
  <si>
    <t>2024-03-14 17:05:51</t>
  </si>
  <si>
    <t>2024-03-14 17:05:33</t>
  </si>
  <si>
    <t>Transform your childs dreams into achievements with the Fino Bhavishya Savings Account. Start today and empower their future. Commemorate March 14th, honoring the legacy of Nobel laureate Albert Einstein and celebrating the mathematical marvel of Pi Day.
{hashtag|\#|FinoPaymentsBank} {hashtag|\#|FikarNot} {hashtag|\#|FinoBanker} {hashtag|\#|DigitalBanking} {hashtag|\#|SecureBanking} {hashtag|\#|HarDinFino} {hashtag|\#|FinoPay} {hashtag|\#|AccountOpening} {hashtag|\#|SavingsAccount} {hashtag|\#|BankingServices} {hashtag|\#|OpenAccount} {hashtag|\#|wordPiDay} {hashtag|\#|Mathematics} {hashtag|\#|AlbertEinstein}</t>
  </si>
  <si>
    <t>2024-03-14 17:00:22</t>
  </si>
  <si>
    <t>2024-03-14 17:00:15</t>
  </si>
  <si>
    <t>Transform your child's dreams into achievements with the Fino Bhavishya Savings Account. Start today and empower their future. Commemorate March 14th, honoring the legacy of Nobel laureate Albert Einstein and celebrating the mathematical marvel of Pi Day.
#FinoPaymentsBank #FikarNot #FinoBanker #DigitalBanking #SecureBanking #HarDinFino #FinoPay #AccountOpening #SavingsAccount #BankingServices #OpenAccount #wordPiDay #Mathematics #AlbertEinstein</t>
  </si>
  <si>
    <t>2024-03-14 17:00:11</t>
  </si>
  <si>
    <t>2024-03-14 17:00:02</t>
  </si>
  <si>
    <t>2024-03-14 17:00:01</t>
  </si>
  <si>
    <t>FikarNot &amp;amp;amp; Enjoy Holi Offers with RuPay Platinum Debit Card on various Brands!! 
.
.
.
#Holi #HoliOffer #FinoPaymentsBank #FikarNot #FinoBanker #DigitalBanking #SecureBanking #FinoPay #FinoMerchant #HarDinFino #Savings #account</t>
  </si>
  <si>
    <t>2024-03-14 16:46:25</t>
  </si>
  <si>
    <t>iamsourangsu</t>
  </si>
  <si>
    <t>Sourangsu Sardar</t>
  </si>
  <si>
    <t>@FinoPaymntsBank i have a Wallet account on Spark Money Wallet, finance by fino payment bank, i have email ed my documents along with closure consent letter still my account isn't closed look into this matter.</t>
  </si>
  <si>
    <t>2024-03-14 16:36:33</t>
  </si>
  <si>
    <t xml:space="preserve">West bengal </t>
  </si>
  <si>
    <t> 
🔥 Don't miss out! Tomorrow, on March 15th, join us at Techmagnate: Digital Marketing Agency | e4m exclusive roundtable discussion. 
Engage with industry professionals and thought leaders as we delve into 'Decoding the Highs and Lows: Addressing Challenges in BFSI Marketing with High Acquisition Costs &amp; Low Conversion Metrics.' 🙌 
💼 Prepare to elevate your strategies with invaluable insider tips and profound insights. 🚀✨
Visit to know more - https://lnkd.in/g2S5TeHn
Asmi Gandhi | Home First Finance Company (HFFC) | Neha Sawant | ZebPay | Prashant Choudhari | Fino Payments Bank Ltd | Ronak Agrawal |Choice Connect | Srivaths Varadharajan | Spice Money | Zahid Gawandi | SBI Securities | Sarvesh Bagla | Techmagnate: Digital Marketing Agency | Shubh Mukherji | Neha Bawa | Noopur Bhatia 
#RoundtableDiscussion #IndustryPros #ThoughtLeaders #LevelUp #InsiderTips #ShapingTheFuture</t>
  </si>
  <si>
    <t>2024-03-14 16:03:32</t>
  </si>
  <si>
    <t>2024-03-14 15:45:24</t>
  </si>
  <si>
    <t>Fino Payments Bank  9470099092</t>
  </si>
  <si>
    <t>2024-03-14 15:44:54</t>
  </si>
  <si>
    <t>2024-03-14 15:44:09</t>
  </si>
  <si>
    <t>Good News: AEPS संचालकों को मिला मौका Bank का Mini Branch खोलने का | NPCI का आ गया निर्देश</t>
  </si>
  <si>
    <t>2024-03-14 15:20:03</t>
  </si>
  <si>
    <t>@FBI @canarabank @pnbindia @MyIndusIndBank @HDFC_Bank @ICICIBank @UnionBankTweets @NSDL_Depository @airtelindia @BSNLCorporate @FincareBank @FinoPaymntsBank @DBSBankIndia @AAI_Official @Bank_of_Japan_e @IPPBOnline Thank you @BBCWorld
For this
The corrective measures etc in the article authorised by me 
https://t.co/cUtS3IvDwl</t>
  </si>
  <si>
    <t>2024-03-14 14:55:08</t>
  </si>
  <si>
    <t>Muhammad Salim</t>
  </si>
  <si>
    <t>fino customer care number 2024</t>
  </si>
  <si>
    <t>2024-03-14 14:54:46</t>
  </si>
  <si>
    <t>@FBI @canarabank @pnbindia @MyIndusIndBank @HDFC_Bank @ICICIBank @UnionBankTweets @NSDL_Depository @airtelindia @BSNLCorporate @FincareBank @FinoPaymntsBank @DBSBankIndia @AAI_Official @Bank_of_Japan_e @IPPBOnline</t>
  </si>
  <si>
    <t>2024-03-14 13:55:24</t>
  </si>
  <si>
    <t>Technical TeamSupport</t>
  </si>
  <si>
    <t>NPCI new rules for all aeps retailers 2024 | All Bank aeps disabled |AEPS धंदा चलाना है तो नियम-AEPS</t>
  </si>
  <si>
    <t>2024-03-14 13:54:58</t>
  </si>
  <si>
    <t>Gain Skills Business Media Pvt Ltd.</t>
  </si>
  <si>
    <t xml:space="preserve">
🌟 Excited to announce the most anticipated panel discussion at #CLRCONFEX2024 where industry leaders will tackle the theme "Striking the Balance: Acquiring New Customers and Fostering Existing Relationships." Led by the insightful moderation of Prashant Choudhari Head of Marketing at Fino Payments Bank Ltd, this session promises to uncover invaluable strategies for navigating the dynamic landscape of customer acquisition and retention. Our esteemed panelists, Anil Nandakumar, Krunal Desai, Navin Thakur, Zahid Gawandi, and Manoj Khadkikar, bring a wealth of expertise from their respective domains, ensuring a robust and enlightening discussion.
🚀 With over 190 delegates and 29 speakers, #CLRCONFEX2024 is poised to be a powerhouse of knowledge and networking opportunities. We're proud to have 3 Esteemed Sponsors onboard, contributing to the richness of insights and discussions. As we delve into topics like #CustomerEngagement, #SocialListening, and #Analytics, we invite you to join us in unlocking new perspectives and actionable insights to drive business growth and success.
🎯This transformative event is hosted by Gain Skills Business Media Pvt Ltd. and #Gainskillsmedia. With Konnect Insights as our Platinum Partner, we're committed to delivering an exceptional experience that empowers professionals to stay ahead in the ever-evolving market landscape. Mark your calendars for #CLRCONFEX2024 and be part of shaping the future of customer relationships and business strategies in Mumbai!</t>
  </si>
  <si>
    <t>2024-03-14 12:27:10</t>
  </si>
  <si>
    <t>@FBI @canarabank @pnbindia @MyIndusIndBank @HDFC_Bank @ICICIBank @UnionBankTweets @NSDL_Depository @airtelindia @BSNLCorporate @FincareBank @FinoPaymntsBank @DBSBankIndia @AAI_Official @Bank_of_Japan_e Thank you dear sh Rama Rao lecturer retired for bringing this up to my notice
Returned to your agonised scholarship with an apology from my administration side
https://t.co/juT6Tpw9qH
Was a great scandal of avani 
Smt Vijay dharani has now switched sides
https://t.co/1qSLFO1MkD</t>
  </si>
  <si>
    <t>2024-03-14 12:19:09</t>
  </si>
  <si>
    <t>Smart Shop</t>
  </si>
  <si>
    <t>NPCI new rules for all aeps retailers 2024 | sbi aeps disabled | AEPS धंदा चलाना है तो नियम समझलो</t>
  </si>
  <si>
    <t>2024-03-14 12:05:23</t>
  </si>
  <si>
    <t>Safe India</t>
  </si>
  <si>
    <t>Aeps news today. Fino csp. fino. all bank aeps latest news. fino payment bank. Safe india.</t>
  </si>
  <si>
    <t>2024-03-14 11:13:50</t>
  </si>
  <si>
    <t>MaheshKuma56322</t>
  </si>
  <si>
    <t>Mahesh Kumar</t>
  </si>
  <si>
    <t>@pnbindia @RBI आज 1 महिना 12 दिन  हो गया 
  @pnbindia में account open करवाया हुआ अब तक मैं बैंक का चक्कर लगा रहा हूं 
इससे तो सौ गुना अच्छा  हमारे लिए@FinoPaymntsBank हैं
टाटा  बाय बाय पीएनबी बैंक</t>
  </si>
  <si>
    <t>2024-03-14 10:57:29</t>
  </si>
  <si>
    <t>@pnbindia @RBI आज 1 महिना 12 दिन  हो गया 
  @pnbindia में account open करवाया हुआ अब तक मैं बैंक का चक्कर लगा रहा हूं 
इससे तो सौ गुना अच्छा तो हमारे लिए@FinoPaymntsBank हैं
टाटा  बाय बाय पीएनबी बैंक</t>
  </si>
  <si>
    <t>2024-03-14 10:55:54</t>
  </si>
  <si>
    <t>@pnbindia @RBI आज 1 महिना 12 दिन  हो गया 
  @pnbindia में account open करवाया हुआ अब तक मैं बैंक का चक्कर लगा रहा हूं 
इससे तो सौ गुना अच्छा @FinoPaymntsBank टाटा  बाय बाय पीएनबी</t>
  </si>
  <si>
    <t>2024-03-14 10:52:55</t>
  </si>
  <si>
    <t>Fino Payments Bank 9470099092</t>
  </si>
  <si>
    <t>2024-03-14 10:34:56</t>
  </si>
  <si>
    <t>2024-03-14 10:34:10</t>
  </si>
  <si>
    <t>Fraud account opening</t>
  </si>
  <si>
    <t>2024-03-14 09:17:16</t>
  </si>
  <si>
    <t>Fino Payments Bank Next Mission ?अब Small Finance Bank बनने के सपने देख रहा है ?</t>
  </si>
  <si>
    <t>2024-03-14 08:55:54</t>
  </si>
  <si>
    <t>Mohd Ashraf Dar</t>
  </si>
  <si>
    <t>2024-03-14 08:25:46</t>
  </si>
  <si>
    <t>2024-03-14 08:25:05</t>
  </si>
  <si>
    <t>2024-03-14 08:25:04</t>
  </si>
  <si>
    <t>2024-03-14 08:25:02</t>
  </si>
  <si>
    <t>2024-03-14 08:25:01</t>
  </si>
  <si>
    <t>2024-03-14 08:25:00</t>
  </si>
  <si>
    <t>2024-03-14 08:24:59</t>
  </si>
  <si>
    <t>2024-03-14 08:24:39</t>
  </si>
  <si>
    <t>Fino Payments Bank: 9541184579</t>
  </si>
  <si>
    <t>2024-03-14 08:24:11</t>
  </si>
  <si>
    <t>On World Pi Day, let's celebrate the day remarking on the constant mathematical value!
#FinoPaymentsBank #FikarNot #FinoBanker #DigitalBanking #SecureBanking #HarDinFino #FinoPay #WorldPiDay #PiDay #Mathematics https://t.co/FuL7RtJVMZ</t>
  </si>
  <si>
    <t>2024-03-14 08:13:39</t>
  </si>
  <si>
    <t>Life Living Skills with Fino Payments Bank</t>
  </si>
  <si>
    <t>Finding fino customer whose renewal is due on your merchant id</t>
  </si>
  <si>
    <t>2024-03-14 08:05:25</t>
  </si>
  <si>
    <t>2024-03-14 08:00:00</t>
  </si>
  <si>
    <t>2024-03-14 06:35:09</t>
  </si>
  <si>
    <t>@FBI @canarabank @pnbindia @MyIndusIndBank @HDFC_Bank @ICICIBank @UnionBankTweets @NSDL_Depository @airtelindia @BSNLCorporate @FincareBank @FinoPaymntsBank @DBSBankIndia @AAI_Official @Bank_of_Japan_e</t>
  </si>
  <si>
    <t>2024-03-14 06:07:28</t>
  </si>
  <si>
    <t>NPCI SBI AEPS GOOD NEWS || Spice Money Paynearby Rapi pay Fino Payment bank</t>
  </si>
  <si>
    <t>2024-03-14 00:09:32</t>
  </si>
  <si>
    <t>Scam hota he fino me</t>
  </si>
  <si>
    <t>2024-03-14 00:04:32</t>
  </si>
  <si>
    <t>2024-03-14 00:04:03</t>
  </si>
  <si>
    <t>2024-03-14 00:03:06</t>
  </si>
  <si>
    <t>Bokwas he fino</t>
  </si>
  <si>
    <t>2024-03-14 00:02:37</t>
  </si>
  <si>
    <t>Fino Payment Bank  Savings Kit Kane koiy  order Koribo Lage</t>
  </si>
  <si>
    <t>2024-03-14 00:00:02</t>
  </si>
  <si>
    <t>2024-03-13</t>
  </si>
  <si>
    <t>makhan singh</t>
  </si>
  <si>
    <t>Thanks Fino Payments Bank Ltd  for sharing my video further on official page...  I am very fortunate because I have been a family member of Fino Payments Bank for the last 1.5 years.I thank the bank and My CH and RH with all my heart for giving me so much love and respect.</t>
  </si>
  <si>
    <t>2024-03-13 23:29:17</t>
  </si>
  <si>
    <t>Madhav Banking and Finence</t>
  </si>
  <si>
    <t>SBI/BOI And indian bank AEPS सेवा हुई हमेशा के लिए बंद 2024! रिटेलर हुआ बर्बाद!Spicem. payne. fino..</t>
  </si>
  <si>
    <t>2024-03-13 22:55:08</t>
  </si>
  <si>
    <t xml:space="preserve">It’s been a while since I started my role at @[Fino Payments Bank Ltd](urn:li:organization:247810) as a Customer Relations Officer, but I wanted to share this update with everyone. </t>
  </si>
  <si>
    <t>2024-03-13 22:53:44</t>
  </si>
  <si>
    <t>equitybulls</t>
  </si>
  <si>
    <t>EquityBulls.com</t>
  </si>
  <si>
    <t>Fino Payments Bank strengthens its Board, appoints two women Independent Directors with diverse professional expertise
@FinoPaymntsBank #Board #Strengthening 
https://t.co/5m5JsUYraA</t>
  </si>
  <si>
    <t>2024-03-13 21:51:15</t>
  </si>
  <si>
    <t>Chennai, india</t>
  </si>
  <si>
    <t>Fino Payments Bank: Sir</t>
  </si>
  <si>
    <t>2024-03-13 21:09:05</t>
  </si>
  <si>
    <t>Fino Payments Bank: Hlo</t>
  </si>
  <si>
    <t>2024-03-13 21:09:04</t>
  </si>
  <si>
    <t>নুর আলম সেখ</t>
  </si>
  <si>
    <t>Rrr</t>
  </si>
  <si>
    <t>2024-03-13 20:10:38</t>
  </si>
  <si>
    <t>Vinay Yadav</t>
  </si>
  <si>
    <t>Fino Payments Bank: Gyi हे</t>
  </si>
  <si>
    <t>2024-03-13 19:56:11</t>
  </si>
  <si>
    <t>Fino Payments Bank: हो</t>
  </si>
  <si>
    <t>2024-03-13 19:55:53</t>
  </si>
  <si>
    <t>Fino Payments Bank: ब्लॉक</t>
  </si>
  <si>
    <t>2024-03-13 19:55:51</t>
  </si>
  <si>
    <t>Fino Payments Bank: फीनों बैंक की आईडी 1311929555
पासबार्ड Rajesh @12345 है</t>
  </si>
  <si>
    <t>2024-03-13 19:55:42</t>
  </si>
  <si>
    <t>Fino Payments Bank: Kya karana चाहिए</t>
  </si>
  <si>
    <t>2024-03-13 19:53:17</t>
  </si>
  <si>
    <t>anandsagaras9</t>
  </si>
  <si>
    <t>Anand Sagar</t>
  </si>
  <si>
    <t>@FinoPaymntsBank Thank You for yours concern so late response My problem has been solved.</t>
  </si>
  <si>
    <t>2024-03-13 19:43:00</t>
  </si>
  <si>
    <t>Hukumat Sahu</t>
  </si>
  <si>
    <t>मै 3 लोगो का रिटेलर id बनाया हु और बनाये महीने भार से ज्यादा दिन हो गया हैं लेकिन id अभी तक नहीं आया हैं</t>
  </si>
  <si>
    <t>2024-03-13 19:04:44</t>
  </si>
  <si>
    <t>ADGULLY</t>
  </si>
  <si>
    <t xml:space="preserve">#AppointmentNews: Fino Payments Bank Ltd adds two women Independent Directors
Fino Payments Bank has appointed two new members on its Board. Anita @Sudhir Pai and Neeta Mukerji banking industry veterans with over three decades of experience, have been appointed as Additional Directors in the capacity of Independent Directors of the Bank. 
read more: https://lnkd.in/dmbgqYvD
#newappointment #leadershipdevelopment #businessgrowth </t>
  </si>
  <si>
    <t>2024-03-13 19:03:53</t>
  </si>
  <si>
    <t>Perday Guide</t>
  </si>
  <si>
    <t>fino payment bank account open 2024 !! how to open fino payment bank account online</t>
  </si>
  <si>
    <t>2024-03-13 19:00:02</t>
  </si>
  <si>
    <t>@finopaymentsbank 9016938390 hai sir</t>
  </si>
  <si>
    <t>2024-03-13 18:33:08</t>
  </si>
  <si>
    <t>@FBI @canarabank @pnbindia @MyIndusIndBank @HDFC_Bank @ICICIBank @UnionBankTweets @NSDL_Depository @airtelindia @BSNLCorporate @FincareBank @FinoPaymntsBank @DBSBankIndia @AAI_Official Complete neural networks etc datasets executed</t>
  </si>
  <si>
    <t>2024-03-13 18:32:32</t>
  </si>
  <si>
    <t>@FBI @canarabank @pnbindia @MyIndusIndBank @HDFC_Bank @ICICIBank @UnionBankTweets @NSDL_Depository @airtelindia @BSNLCorporate @FincareBank @FinoPaymntsBank @DBSBankIndia @AAI_Official</t>
  </si>
  <si>
    <t>2024-03-13 18:29:37</t>
  </si>
  <si>
    <t>Vinay Yadav: Namaste! How can we help you ?</t>
  </si>
  <si>
    <t>2024-03-13 18:28:24</t>
  </si>
  <si>
    <t>AjjuXda</t>
  </si>
  <si>
    <t>Xda Ajju</t>
  </si>
  <si>
    <t>@FinoPaymntsBank 8084888388</t>
  </si>
  <si>
    <t>@AjjuXda Namaste, Please share your query and contact number. Someone from our team will get in touch with you. Thanks!</t>
  </si>
  <si>
    <t>2024-03-13 18:26:48</t>
  </si>
  <si>
    <t>Neeraj Dubey: Namaste! How can we help you ?</t>
  </si>
  <si>
    <t>2024-03-13 18:21:35</t>
  </si>
  <si>
    <t>@mr.love.kush.kumar Namaste, Please share your query and contact number. Someone from our team will get in touch with you. Thanks!</t>
  </si>
  <si>
    <t>2024-03-13 18:20:53</t>
  </si>
  <si>
    <t>Shahid Ansari   Namaste, Thank you for your interest in Fino Payments Bank. Please visit our website or call us on 022 6868 1414 to know more about our products and services. https://www.finobank.com/</t>
  </si>
  <si>
    <t>2024-03-13 18:20:14</t>
  </si>
  <si>
    <t>Laukesh Uikey   Namaste, Thank you for your interest in Fino Payments Bank. Please visit our website or call us on 022 6868 1414 to know more about our products and services. https://www.finobank.com/</t>
  </si>
  <si>
    <t>2024-03-13 18:16:18</t>
  </si>
  <si>
    <t>@FBI @canarabank @pnbindia @MyIndusIndBank @HDFC_Bank @ICICIBank @UnionBankTweets @NSDL_Depository @airtelindia @BSNLCorporate @FincareBank @FinoPaymntsBank @DBSBankIndia</t>
  </si>
  <si>
    <t>2024-03-13 18:03:23</t>
  </si>
  <si>
    <t>@FBI @canarabank @pnbindia @MyIndusIndBank @HDFC_Bank @ICICIBank @UnionBankTweets @NSDL_Depository @airtelindia @BSNLCorporate @FincareBank @FinoPaymntsBank</t>
  </si>
  <si>
    <t>2024-03-13 17:53:28</t>
  </si>
  <si>
    <t>@FinoPaymntsBank  This number is not receive customer https://t.co/CteUQh8a4u</t>
  </si>
  <si>
    <t>2024-03-13 17:43:29</t>
  </si>
  <si>
    <t>Laukesh Uikey Contact me 8777815062</t>
  </si>
  <si>
    <t>2024-03-13 17:31:53</t>
  </si>
  <si>
    <t>Per day limit kitina hai</t>
  </si>
  <si>
    <t>2024-03-13 17:26:20</t>
  </si>
  <si>
    <t>AEPS Service</t>
  </si>
  <si>
    <t>fincare bank account opening Full Process Live / foncare small finance bank zero balance account</t>
  </si>
  <si>
    <t>2024-03-13 16:11:56</t>
  </si>
  <si>
    <t>Dilip Barua: Namaste! How can we help you ?</t>
  </si>
  <si>
    <t>2024-03-13 15:29:38</t>
  </si>
  <si>
    <t>ßàd Sõñú Kùshwãhà   Namaste! How can we help you ?</t>
  </si>
  <si>
    <t>2024-03-13 15:29:17</t>
  </si>
  <si>
    <t>2024-03-13 15:28:59</t>
  </si>
  <si>
    <t>2024-03-13 15:27:06</t>
  </si>
  <si>
    <t>@itshumanity6968</t>
  </si>
  <si>
    <t>Sir retailer id kaha se milegi</t>
  </si>
  <si>
    <t>2024-03-13 14:14:01</t>
  </si>
  <si>
    <t>Laukesh Uikey</t>
  </si>
  <si>
    <t>2024-03-13 13:51:45</t>
  </si>
  <si>
    <t>QM-FINO-E670</t>
  </si>
  <si>
    <t>Hello sir Fino Acount kholna hai online fino bhavishya saving account</t>
  </si>
  <si>
    <t>2024-03-13 13:51:19</t>
  </si>
  <si>
    <t>Fino Payments Bank: Hello sir Fino Acount kholna hai online</t>
  </si>
  <si>
    <t>2024-03-13 13:47:50</t>
  </si>
  <si>
    <t>AbhayRai1143054</t>
  </si>
  <si>
    <t>Abhay Rai</t>
  </si>
  <si>
    <t>@FinoPaymntsBank https://t.co/O9qrVJPIDl</t>
  </si>
  <si>
    <t>2024-03-13 13:43:57</t>
  </si>
  <si>
    <t>Modi Infotech</t>
  </si>
  <si>
    <t>NPCI के इस नियम के कारण नहीं निकल रहा SBI बैंक का पैसा | Aeps Update | Bank approval required |</t>
  </si>
  <si>
    <t>2024-03-13 12:35:26</t>
  </si>
  <si>
    <t>kemmetyk</t>
  </si>
  <si>
    <t>😂 nice comedy...he is not a uneducated... Fino is fake bank... Employee are fraud people... I donated 2200 Mr Anil (CH) SH Now Karimnagar Branch Telangana...</t>
  </si>
  <si>
    <t>2024-03-13 09:10:45</t>
  </si>
  <si>
    <t>ßàd Sõñú Kùshwãhà</t>
  </si>
  <si>
    <t>2024-03-13 08:29:11</t>
  </si>
  <si>
    <t>2024-03-13 08:29:03</t>
  </si>
  <si>
    <t>2024-03-13 08:28:48</t>
  </si>
  <si>
    <t>Ajoy Noyatia</t>
  </si>
  <si>
    <t>fino Bank passbook kokborok | fino Bank CSP passbook | fino Bank BC passbook</t>
  </si>
  <si>
    <t>2024-03-13 08:25:18</t>
  </si>
  <si>
    <t>Ankity06</t>
  </si>
  <si>
    <t>fino pay register | fino pay kaise use karen | fino payment bank mobile banking kaise kare</t>
  </si>
  <si>
    <t>2024-03-13 08:23:41</t>
  </si>
  <si>
    <t>Dilip Barua</t>
  </si>
  <si>
    <t>2024-03-13 07:55:31</t>
  </si>
  <si>
    <t>Tech Digital14</t>
  </si>
  <si>
    <t>Fino payment bank | Fino new update | Fino payment bank account shortly opening | Fino dbt fecelity</t>
  </si>
  <si>
    <t>2024-03-13 07:55:04</t>
  </si>
  <si>
    <t>Shahid Ansari</t>
  </si>
  <si>
    <t>Fino Bank account number se ATM me cach deposit  kar sakte</t>
  </si>
  <si>
    <t>2024-03-13 07:04:50</t>
  </si>
  <si>
    <t>arman2040ansari</t>
  </si>
  <si>
    <t>❤️❤️❤️❤️❤️</t>
  </si>
  <si>
    <t>2024-03-13 05:08:56</t>
  </si>
  <si>
    <t>Fino Payment Bank (Arambh Saving Account) open</t>
  </si>
  <si>
    <t>2024-03-13 00:41:19</t>
  </si>
  <si>
    <t>2024-03-12</t>
  </si>
  <si>
    <t>Hello sir mera khata block and freeze ho geya hai to keya karu</t>
  </si>
  <si>
    <t>2024-03-12 23:41:28</t>
  </si>
  <si>
    <t>samdani45</t>
  </si>
  <si>
    <t>Shaikh Samdani📌</t>
  </si>
  <si>
    <t>@FinoPaymntsBank 7385558351</t>
  </si>
  <si>
    <t>2024-03-12 23:16:15</t>
  </si>
  <si>
    <t>Degloor maharashtra, india</t>
  </si>
  <si>
    <t>QM-FINO-E671</t>
  </si>
  <si>
    <t>2024-03-12 22:11:03</t>
  </si>
  <si>
    <t>saakettharad_</t>
  </si>
  <si>
    <t>Saaket Tharad</t>
  </si>
  <si>
    <t>@FinoPaymntsBank post opening account and depositing 450 rs got deducted from the account but debit card not ordered and it's still asking to fund 450 rs and even after complaint there is no response https://t.co/GgyXMuQOhU</t>
  </si>
  <si>
    <t>2024-03-12 21:12:05</t>
  </si>
  <si>
    <t>maritme_india</t>
  </si>
  <si>
    <t>maritme india</t>
  </si>
  <si>
    <t>@FinoPaymntsBank cannot register on fino app</t>
  </si>
  <si>
    <t>2024-03-12 20:07:31</t>
  </si>
  <si>
    <t>Babulal Singh</t>
  </si>
  <si>
    <t>Super</t>
  </si>
  <si>
    <t>2024-03-12 20:02:27</t>
  </si>
  <si>
    <t>Biragbhan_Aheer</t>
  </si>
  <si>
    <t>Biragbhan AHEER</t>
  </si>
  <si>
    <t>@FinoPaymntsBank  Contact number 9753215317</t>
  </si>
  <si>
    <t>2024-03-12 19:01:28</t>
  </si>
  <si>
    <t>QM-FINO-E672</t>
  </si>
  <si>
    <t>Vishal Tiwari</t>
  </si>
  <si>
    <t>2024-03-12 18:57:58</t>
  </si>
  <si>
    <t>जय जय श्री राम 🚩</t>
  </si>
  <si>
    <t>2024-03-12 18:57:49</t>
  </si>
  <si>
    <t>Start your savings journey in the most auspicious way by opening a Fino Shubh Savings Account. Get going!
#FinoPaymentsBank #FikarNot #FinoBanker #DigitalBanking #SecureBanking #HarDinFino #FinoPay #AccountOpening #SavingsAccount #BankingServices #EASYPROCESS https://t.co/NnC8xnM65J</t>
  </si>
  <si>
    <t>2024-03-12 18:49:52</t>
  </si>
  <si>
    <t>Shreepad Mandal</t>
  </si>
  <si>
    <t>Sir deoghar dist me kab account open hoga sir</t>
  </si>
  <si>
    <t>2024-03-12 18:06:22</t>
  </si>
  <si>
    <t>2024-03-12 17:51:08</t>
  </si>
  <si>
    <t>Start your savings journey in the most auspicious way by opening a Fino Shubh Savings Account. Get going!
#FinoPaymentsBank #FikarNot #FinoBanker #DigitalBanking #SecureBanking #HarDinFino #FinoPay #AccountOpening #SavingsAccount #BankingServices #EASYPROCESS</t>
  </si>
  <si>
    <t>2024-03-12 17:51:04</t>
  </si>
  <si>
    <t>2024-03-12 17:51:02</t>
  </si>
  <si>
    <t>sethiya_amit</t>
  </si>
  <si>
    <t>Amit Sethiya</t>
  </si>
  <si>
    <t>Presenting the new set of speakers of @LIQVDAsia Roundtable organized in association with @IAMAIForum.
The roundtable discussion will feature renowned speakers from the industry including:
@sethiya_amit, Head Marketing, @SyskaWorld 
@anandbhatia75, CMO, @FinoPaymntsBank https://t.co/xmHdSePFHb</t>
  </si>
  <si>
    <t>2024-03-12 16:45:38</t>
  </si>
  <si>
    <t>Pune, india</t>
  </si>
  <si>
    <t>Suraj Kumari</t>
  </si>
  <si>
    <t>2024-03-12 16:25:58</t>
  </si>
  <si>
    <t>Rahul Ahirwar Kumar</t>
  </si>
  <si>
    <t>Fino Payments Bank: Mere paise Kyon Kate to Fir account se</t>
  </si>
  <si>
    <t>2024-03-12 16:09:28</t>
  </si>
  <si>
    <t>Kemmety Keerthan</t>
  </si>
  <si>
    <t>Our CH is very poor, his salry Only 80k ...</t>
  </si>
  <si>
    <t>2024-03-12 15:24:23</t>
  </si>
  <si>
    <t>Kemmety Keerthan why you donated 2200 to fino bank 
What's purpose</t>
  </si>
  <si>
    <t>2024-03-12 15:13:17</t>
  </si>
  <si>
    <t>Mohd Tanveer</t>
  </si>
  <si>
    <t>SCA</t>
  </si>
  <si>
    <t>2024-03-12 15:06:23</t>
  </si>
  <si>
    <t>DCS</t>
  </si>
  <si>
    <t>2024-03-12 15:05:54</t>
  </si>
  <si>
    <t>🔥 Join us for an exclusive roundtable discussion with industry pros and thought leaders about ‘Decoding the Highs and Lows: Challenges of High Acquisition Costs &amp;amp; Low Conversion Metrics in BFSI Marketing’🙌
💼 Get ready to level up your game with insider tips and mind-blowing insights. 🚀✨
Visit to know more - https://e4mevents.com/e4m-tech-magnate-roundtable/
Asmi Gandhi, Home First Finance Company  | Ronak Agrawal, Choice Connect  | Prashant Choudhari, Fino Payments Bank  | Zahid Gawandi, SBI Securities  | Sarvesh Bagla, Techmagnate 
#RoundtableDiscussion #IndustryPros #ThoughtLeaders #LevelUp #InsiderTips #ShapingTheFuture</t>
  </si>
  <si>
    <t>2024-03-12 15:01:43</t>
  </si>
  <si>
    <t>@FinoPaymntsBank They aren't helping out</t>
  </si>
  <si>
    <t>2024-03-12 14:59:44</t>
  </si>
  <si>
    <t>🔥 Join us for an exclusive roundtable discussion with industry pros and thought leaders about ‘Decoding the Highs and Lows: Challenges of High Acquisition Costs &amp; Low Conversion Metrics in BFSI Marketing’🙌
💼 Get ready to level up your game with insider tips and mind-blowing insights. 🚀✨
Visit to know more - https://lnkd.in/g2S5TeHn
Asmi Gandhi | Home First Finance Company (HFFC) | Ronak Agrawal | Choice Connect | Prashant Choudhari | Fino Payments Bank Ltd | Zahid Gawandi | SBI Securities | Sarvesh Bagla | Techmagnate: Digital Marketing Agency | Noopur Bhatia | Shubh Mukherji | Neha Sharma
 #RoundtableDiscussion #IndustryPros #ThoughtLeaders #LevelUp #InsiderTips #ShapingTheFuture</t>
  </si>
  <si>
    <t>2024-03-12 14:52:01</t>
  </si>
  <si>
    <t>InghNiranjan</t>
  </si>
  <si>
    <t>Niranjan Patel</t>
  </si>
  <si>
    <t>@FinoPaymntsBank @Sanatan512636 7764842700</t>
  </si>
  <si>
    <t>2024-03-12 13:53:25</t>
  </si>
  <si>
    <t xml:space="preserve">Patna bihar </t>
  </si>
  <si>
    <t>QM-FINO-E673</t>
  </si>
  <si>
    <t>Ramesh Gill</t>
  </si>
  <si>
    <t>Very useful</t>
  </si>
  <si>
    <t>2024-03-12 13:34:05</t>
  </si>
  <si>
    <t>@samdani45 Hi Sir, Please call to customer helpdesk-022 6868 1414</t>
  </si>
  <si>
    <t>2024-03-12 12:50:23</t>
  </si>
  <si>
    <t>2024-03-12 12:49:31</t>
  </si>
  <si>
    <t>Fino Payments Bank: हे</t>
  </si>
  <si>
    <t>2024-03-12 12:49:30</t>
  </si>
  <si>
    <t>Fino Payments Bank: 9675173044</t>
  </si>
  <si>
    <t>2024-03-12 12:49:27</t>
  </si>
  <si>
    <t>QM-FINO-E674</t>
  </si>
  <si>
    <t>Fino Payments Bank: 6395037491</t>
  </si>
  <si>
    <t>2024-03-12 12:49:20</t>
  </si>
  <si>
    <t>Vinay Yadav: Namaste, Please share your query and contact number. Someone from our team will get in touch with you. Thanks!</t>
  </si>
  <si>
    <t>2024-03-12 12:49:00</t>
  </si>
  <si>
    <t>Milindshah2017</t>
  </si>
  <si>
    <t>Milind Shah</t>
  </si>
  <si>
    <t>@FinoPaymntsBank This are the details of message I received.
Thank you for placing your order with us. Your order number is CIMS-MO02241910. We will notify you once your order is approved.    Savings account Platinum RuPay card combo kit (1 Qty)    Total 1 Products and Total Amount 700.00 -Fino</t>
  </si>
  <si>
    <t>2024-03-12 12:44:46</t>
  </si>
  <si>
    <t>Vododara, india</t>
  </si>
  <si>
    <t>Keshav Khanal</t>
  </si>
  <si>
    <t>Fino Payments Bank  9034146544</t>
  </si>
  <si>
    <t>2024-03-12 12:42:43</t>
  </si>
  <si>
    <t>@FinoPaymntsBank I paid 2 time yearly charges and I didn't get my 1 refund... And customer support worst support 7009365273 this is my number</t>
  </si>
  <si>
    <t>2024-03-12 12:42:08</t>
  </si>
  <si>
    <t>QM-FINO-E675</t>
  </si>
  <si>
    <t>Keshav Khanal   Namaste, Please share your query and contact number. Someone from our team will get in touch with you. Thanks!</t>
  </si>
  <si>
    <t>2024-03-12 12:42:07</t>
  </si>
  <si>
    <t>Vimal Damor: Namaste! How can we help you ?</t>
  </si>
  <si>
    <t>2024-03-12 12:41:36</t>
  </si>
  <si>
    <t>Bax Roky   Namaste, Please share your contact number to pursue this ahead. Thanks!</t>
  </si>
  <si>
    <t>2024-03-12 12:41:08</t>
  </si>
  <si>
    <t>@Milindshah2017 Namaste, Please share your query and contact number. Someone from our team will get in touch with you. Thanks!</t>
  </si>
  <si>
    <t>2024-03-12 12:40:39</t>
  </si>
  <si>
    <t>Wasid Wasid: Namaste! How can we help you ?</t>
  </si>
  <si>
    <t>2024-03-12 12:40:17</t>
  </si>
  <si>
    <t>2024-03-12 12:39:55</t>
  </si>
  <si>
    <t>Ajay Kunar   Namaste, Please share your contact number to pursue this ahead. Thanks! Namaste, Please share your query and contact number. Someone from our team will get in touch with you. Thanks!</t>
  </si>
  <si>
    <t>2024-03-12 12:39:07</t>
  </si>
  <si>
    <t>Johnson K Eapen: Namaste, Please share your query and contact number. Someone from our team will get in touch with you. Thanks!</t>
  </si>
  <si>
    <t>2024-03-12 12:38:20</t>
  </si>
  <si>
    <t>@anandsagaras9 Namaste, Please share your query and contact number. Someone from our team will get in touch with you. Thanks!</t>
  </si>
  <si>
    <t>2024-03-12 12:37:39</t>
  </si>
  <si>
    <t>Jay Shriram   Namaste, Please share your contact number to pursue this ahead. Thanks!</t>
  </si>
  <si>
    <t>2024-03-12 12:32:12</t>
  </si>
  <si>
    <t>2024-03-12 12:31:38</t>
  </si>
  <si>
    <t>Yan Xu: Namaste! How can we help you ?</t>
  </si>
  <si>
    <t>2024-03-12 12:30:12</t>
  </si>
  <si>
    <t>2024-03-12 12:29:58</t>
  </si>
  <si>
    <t>@KemmetyK Namaste, Please share your query and contact number. Someone from our team will get in touch with you. Thanks!</t>
  </si>
  <si>
    <t>2024-03-12 12:29:02</t>
  </si>
  <si>
    <t>@InghNiranjan @Sanatan512636 Namaste, Please share your query and contact number. Someone from our team will get in touch with you. Thanks!</t>
  </si>
  <si>
    <t>2024-03-12 12:27:49</t>
  </si>
  <si>
    <t>2024-03-12 12:25:51</t>
  </si>
  <si>
    <t>2024-03-12 12:25:31</t>
  </si>
  <si>
    <t>Umesh Kumar   Namaste, Please share your query and contact number. Someone from our team will get in touch with you. Thanks!</t>
  </si>
  <si>
    <t>2024-03-12 12:21:16</t>
  </si>
  <si>
    <t>Pichai Pillai Pillai: Namaste! How can we help you ?</t>
  </si>
  <si>
    <t>2024-03-12 12:20:34</t>
  </si>
  <si>
    <t>Dipak Kumar   Namaste! How can we help you ?</t>
  </si>
  <si>
    <t>2024-03-12 12:19:51</t>
  </si>
  <si>
    <t>@maritme_india Namaste, Please share your query and contact number. Someone from our team will get in touch with you. Thanks!</t>
  </si>
  <si>
    <t>2024-03-12 12:18:59</t>
  </si>
  <si>
    <t>@VarunMunjal19 Namaste, Please share your query and contact number. Someone from our team will get in touch with you. Thanks!</t>
  </si>
  <si>
    <t>2024-03-12 12:17:26</t>
  </si>
  <si>
    <t>@xAmanGupta  Hi Sir, Please call in help desk number- 022 6868 1414</t>
  </si>
  <si>
    <t>2024-03-12 12:16:11</t>
  </si>
  <si>
    <t>@Reyaz9599 Namaste, Please share your query and contact number. Someone from our team will get in touch with you. Thanks!</t>
  </si>
  <si>
    <t>2024-03-12 12:15:12</t>
  </si>
  <si>
    <t>Fino Payments Bank: Hadungra Brahma
Vill Ramfalbil
PO Ramfalbil
Dist Kokrajhar
PS Serfanguri
Pin 783346
M.No. 8761939120</t>
  </si>
  <si>
    <t>2024-03-12 12:09:34</t>
  </si>
  <si>
    <t>Suraj Kumari   Namaste, Please share your query and contact number. Someone from our team will get in touch with you. Thanks!</t>
  </si>
  <si>
    <t>2024-03-12 12:00:57</t>
  </si>
  <si>
    <t>@ishaannegi16 Namaste, Please share your query and contact number. Someone from our team will get in touch with you. Thanks!</t>
  </si>
  <si>
    <t>2024-03-12 12:00:45</t>
  </si>
  <si>
    <t>2024-03-12 11:59:47</t>
  </si>
  <si>
    <t>Rahul Ahirwar Kumar: Namaste, Please share your query and contact number. Someone from our team will get in touch with you. Thanks!</t>
  </si>
  <si>
    <t>2024-03-12 11:53:57</t>
  </si>
  <si>
    <t>Rajen Chakma: Namaste, Please share your query and contact number. Someone from our team will get in touch with you. Thanks!</t>
  </si>
  <si>
    <t>2024-03-12 11:53:18</t>
  </si>
  <si>
    <t>Arjun Kr Rajbanshi   Namaste, Please share your query and contact number. Someone from our team will get in touch with you. Thanks!</t>
  </si>
  <si>
    <t>2024-03-12 11:51:18</t>
  </si>
  <si>
    <t>2024-03-12 11:51:05</t>
  </si>
  <si>
    <t>@VISHUJAIZS Hi Sir, Please call to customer helpline number-022 6868 1414</t>
  </si>
  <si>
    <t>2024-03-12 11:50:33</t>
  </si>
  <si>
    <t>@Biragbhan_Aheer  Namaste, Please share your query and contact number. Someone from our team will get in touch with you. Thanks!</t>
  </si>
  <si>
    <t>2024-03-12 11:49:28</t>
  </si>
  <si>
    <t>@Biragbhan_Aheer  Namaste! How can we help you ?</t>
  </si>
  <si>
    <t>2024-03-12 11:49:00</t>
  </si>
  <si>
    <t>@samdani45 Namaste, Please share your query and contact number. Someone from our team will get in touch with you. Thanks!</t>
  </si>
  <si>
    <t>2024-03-12 11:47:15</t>
  </si>
  <si>
    <t>Amit Raj</t>
  </si>
  <si>
    <t>Fino Payments Bank 9905003455</t>
  </si>
  <si>
    <t>2024-03-12 11:47:13</t>
  </si>
  <si>
    <t>2024-03-12 11:46:05</t>
  </si>
  <si>
    <t>2024-03-12 11:44:42</t>
  </si>
  <si>
    <t>@amit_raj3131 Namaste, Please share your query and contact number. Someone from our team will get in touch with you. Thanks!</t>
  </si>
  <si>
    <t>2024-03-12 11:43:20</t>
  </si>
  <si>
    <t>Amit Raj   Namaste, Please share your query and contact number. Someone from our team will get in touch with you. Thanks!</t>
  </si>
  <si>
    <t>2024-03-12 11:42:37</t>
  </si>
  <si>
    <t>2024-03-12 11:41:56</t>
  </si>
  <si>
    <t>Pawan Deuba: Namaste! How can we help you ?</t>
  </si>
  <si>
    <t>2024-03-12 11:41:46</t>
  </si>
  <si>
    <t>2024-03-12 11:41:29</t>
  </si>
  <si>
    <t>Raja Brahma: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</si>
  <si>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2024-03-12 11:41:18</t>
  </si>
  <si>
    <t>Gupta Ji: Namaste! How can we help you ?</t>
  </si>
  <si>
    <t>2024-03-12 11:41:01</t>
  </si>
  <si>
    <t>Gupta Ji: Namaste, Thank you for your interest in Fino Payments Bank. Please visit https://www.finobank.com/merchant/register/  and register to become a merchant OR write to us on care@finobank.com with your contact number, complete address and pin code. Our team will get in touch with you. Thanks! Namaste, Please share your query and contact number. Someone from our team will get in touch with you. Thanks!</t>
  </si>
  <si>
    <t>2024-03-12 11:40:45</t>
  </si>
  <si>
    <t>Mohd Ashraf Dar   Namaste, Thank you for your interest in Fino Payments Bank. Please visit our website or call us on 022 6868 1414 to know more about our products and services. https://www.finobank.com/</t>
  </si>
  <si>
    <t>2024-03-12 11:39:38</t>
  </si>
  <si>
    <t>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</si>
  <si>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2024-03-12 11:38:56</t>
  </si>
  <si>
    <t>2024-03-12 11:38:32</t>
  </si>
  <si>
    <t>@AjjuXda Hi Sir, Please call in customer helpdesk number -022 6868 1414</t>
  </si>
  <si>
    <t>2024-03-12 11:38:19</t>
  </si>
  <si>
    <t>2024-03-12 11:36:26</t>
  </si>
  <si>
    <t>Sandeep Kumar Mandal: Namaste, Please share your query and contact number. Someone from our team will get in touch with you. Thanks!</t>
  </si>
  <si>
    <t>2024-03-12 11:36:12</t>
  </si>
  <si>
    <t>@LAKH-444</t>
  </si>
  <si>
    <t>Fino payment Bank Bhavishya Savings Account ATM Card Withdrawal Limit  ,1 day</t>
  </si>
  <si>
    <t>2024-03-12 11:21:37</t>
  </si>
  <si>
    <t>2024-03-12 10:52:10</t>
  </si>
  <si>
    <t>Nelapatla Sandeep Kumar</t>
  </si>
  <si>
    <t xml:space="preserve">Hi All
I am Looking for a job in Bank are NBFC
@[Axis Bank](urn:li:organization:162609) @[Fincare Small Finance Bank](urn:li:organization:6577936) @[Fino Payments Bank Ltd](urn:li:organization:247810) @[Bandhan Bank](urn:li:organization:13188808) @[ICICI Bank](urn:li:organization:2967) @[HDFC Bank](urn:li:organization:164151) @[DCB Bank](urn:li:organization:24809) @[Federal Bank](urn:li:organization:58690) @[IDFC FIRST Bank](urn:li:organization:21175) @[HSBC](urn:li:organization:1241) @[IIFL \(India Infoline Group\)](urn:li:organization:239538) @[Bajaj Finserv](urn:li:organization:1092003) @[Fedbank Financial Services Ltd - Fedfina](urn:li:organization:1646178) @[HDB Financial Services Ltd.](urn:li:organization:424456) @[IndusInd Bank](urn:li:organization:30265) @[IDBI Bank](urn:li:organization:8962) </t>
  </si>
  <si>
    <t>2024-03-12 10:35:26</t>
  </si>
  <si>
    <t>B Pangan</t>
  </si>
  <si>
    <t>AEPS सेवा बन्द | Spicemony, Paynearby, roinet,Fino, airtel bank | npci aeps new update today 2024 me</t>
  </si>
  <si>
    <t>2024-03-12 09:34:46</t>
  </si>
  <si>
    <t>Funny village24</t>
  </si>
  <si>
    <t>Fino Payment Bank Aadhar Center Registration 2024 _ fino bank aadhar center kaise khole , Form Bhare</t>
  </si>
  <si>
    <t>2024-03-12 08:19:00</t>
  </si>
  <si>
    <t>मैंने कल @FinoPaymntsBank के साथ मर्चेंट अकाउंट खोलने की कोशिश कर रहा था। लेकिन 3 घंटे प्रतीक्षा करने के बाद भी मैं अपनी VKYC नहीं कर पाया । इस बात से साबित होता है की इस बैंक की सर्विस बहुत घटिया है ।</t>
  </si>
  <si>
    <t>2024-03-12 07:33:15</t>
  </si>
  <si>
    <t>Ravindra Raghuwanshi</t>
  </si>
  <si>
    <t>बेकार सर्विस नहीं देते नहीं किसी समस्या का हल होता अधिकारी  आईडी बांटने के बाद सब भूल जाते</t>
  </si>
  <si>
    <t>2024-03-12 07:03:03</t>
  </si>
  <si>
    <t>Sandeep Kumar Mandal</t>
  </si>
  <si>
    <t>Fino Payments Bank: Mera id block ho gaya hai sir chalu kaise kare</t>
  </si>
  <si>
    <t>2024-03-12 07:02:23</t>
  </si>
  <si>
    <t>@FinoPaymntsBank Fraudd.. my account is freezed i have already submitted my all kyc documents for unfreezing but they aren't replying.. my money has stucked</t>
  </si>
  <si>
    <t>2024-03-12 01:57:22</t>
  </si>
  <si>
    <t>@FinoPaymntsBank Fraud bank my account is freezed without any valid reason.. they asked for documents i send them but still freezed my account and money</t>
  </si>
  <si>
    <t>2024-03-12 01:56:13</t>
  </si>
  <si>
    <t>@FinoPaymntsBank Fino service is not good</t>
  </si>
  <si>
    <t>2024-03-12 00:48:51</t>
  </si>
  <si>
    <t>2024-03-11</t>
  </si>
  <si>
    <t>DHIRENDRA TANWAR</t>
  </si>
  <si>
    <t>Dear Connections,
I am looking for a Job Change in Banking, Fintech and NBFC In Operations &amp; Back office in Jodhpur Location. if any openings please ping me. Fino Payments Bank Ltd Ikeda LTD Ajay Gupta Ashutosh Suthar Spice Money HDFC Bank @</t>
  </si>
  <si>
    <t>2024-03-11 22:37:19</t>
  </si>
  <si>
    <t>@ankitfunandtechnicalraja7507</t>
  </si>
  <si>
    <t>Sir id chahiye</t>
  </si>
  <si>
    <t>2024-03-11 21:13:16</t>
  </si>
  <si>
    <t>2024-03-11 19:48:30</t>
  </si>
  <si>
    <t>Addar namber add</t>
  </si>
  <si>
    <t>2024-03-11 19:25:45</t>
  </si>
  <si>
    <t>Bank Vaarta</t>
  </si>
  <si>
    <t>fino payment bank account opening 2024 - fino bank account opening online mobile |fino payment bank</t>
  </si>
  <si>
    <t>2024-03-11 19:00:31</t>
  </si>
  <si>
    <t>Digitech Info Telugu</t>
  </si>
  <si>
    <t>Distributor Login New CSP Creation || Fino Payments Bank Customer Service point || Agent Creation</t>
  </si>
  <si>
    <t>2024-03-11 17:45:02</t>
  </si>
  <si>
    <t>itsokyvarun</t>
  </si>
  <si>
    <t>Sabse bekaar bank...</t>
  </si>
  <si>
    <t>2024-03-11 17:20:30</t>
  </si>
  <si>
    <t>2024-03-11 17:17:25</t>
  </si>
  <si>
    <t>Gupta Ji</t>
  </si>
  <si>
    <t>Fino Payments Bank: Merchant id</t>
  </si>
  <si>
    <t>2024-03-11 17:13:43</t>
  </si>
  <si>
    <t>2024-03-11 17:13:25</t>
  </si>
  <si>
    <t>sirsiyasrvnews</t>
  </si>
  <si>
    <t>Sirsiya Shravasti News</t>
  </si>
  <si>
    <t>@FinoPaymntsBank  काफी समय से यही समस्या बनी हुई हैं समाधान नहीं हो रहा हैं,, अगर न हो पाए तो फंडिंग पैसा रिटर्न कीजिए...
Mob.8853333323
धन्यवाद https://t.co/BuRFr0pVIk</t>
  </si>
  <si>
    <t>2024-03-11 17:10:55</t>
  </si>
  <si>
    <t>WordpressSearch</t>
  </si>
  <si>
    <t>InvestinStocks.co.in</t>
  </si>
  <si>
    <t>Fino Payments Bank Ltd latest share price 07-03-2024</t>
  </si>
  <si>
    <t>2024-03-11 16:59:08</t>
  </si>
  <si>
    <t>Fino Payments Bank: I want fino payment Bank CSP</t>
  </si>
  <si>
    <t>2024-03-11 16:54:09</t>
  </si>
  <si>
    <t>2024-03-11 16:53:41</t>
  </si>
  <si>
    <t>Fayyaj Sayyad</t>
  </si>
  <si>
    <t>Thank y</t>
  </si>
  <si>
    <t>2024-03-11 16:36:43</t>
  </si>
  <si>
    <t>ig.ashik.soni</t>
  </si>
  <si>
    <t>Very nice 🙂</t>
  </si>
  <si>
    <t>2024-03-11 15:22:58</t>
  </si>
  <si>
    <t>Pawan Deuba</t>
  </si>
  <si>
    <t>Fino Payments Bank: Hlo sir</t>
  </si>
  <si>
    <t>2024-03-11 15:08:32</t>
  </si>
  <si>
    <t>froud bank please don't open account</t>
  </si>
  <si>
    <t>2024-03-11 14:41:35</t>
  </si>
  <si>
    <t>2024-03-11 14:41:21</t>
  </si>
  <si>
    <t>2024-03-11 14:41:15</t>
  </si>
  <si>
    <t>2024-03-11 14:41:09</t>
  </si>
  <si>
    <t>2024-03-11 14:41:02</t>
  </si>
  <si>
    <t>2024-03-11 14:40:46</t>
  </si>
  <si>
    <t>2024-03-11 14:40:40</t>
  </si>
  <si>
    <t>fraud bank</t>
  </si>
  <si>
    <t>2024-03-11 14:22:49</t>
  </si>
  <si>
    <t>2024-03-11 14:22:35</t>
  </si>
  <si>
    <t>froud bank</t>
  </si>
  <si>
    <t>2024-03-11 14:22:22</t>
  </si>
  <si>
    <t>Mohan K</t>
  </si>
  <si>
    <t>Thank you so much for the narrative Hari Krishnan KV
Grateful for the opportunity to contribute towards digitizing tier 2 &amp; 3 rural areas. At IppoPay, our mission is clear; to empower communities through seamless digitization. 
Let's bridge the gap and bring financial inclusion to every corner together.
Thanks to our banking partners who support our vision Fincare Small Finance Bank Fino Payments Bank Ltd Axis Bank Tamilnad Mercantile Bank Ltd Visa
 #IppoPay #financialinclusion  #RuralDigitization</t>
  </si>
  <si>
    <t>2024-03-11 13:43:36</t>
  </si>
  <si>
    <t>Raaz Bante</t>
  </si>
  <si>
    <t>Subahan allah</t>
  </si>
  <si>
    <t>2024-03-11 13:19:45</t>
  </si>
  <si>
    <t>I have donated 2200 to fino bank &amp; Anil Ch ... Telangana Karimnagar Branch....Thanks to Fino Bank for giving me this opportunity...</t>
  </si>
  <si>
    <t>2024-03-11 13:04:36</t>
  </si>
  <si>
    <t>Watch one of our Fino Merchants from Punjab describing how opening a Fino account helps users receive Government scheme benefits and subsidies, straight to their account. Give a missed call on 7877788977 to locate your nearest Fino point. 
#FinoPaymentBank #FikarNot #FinoPay https://t.co/1bMtaTSSzD</t>
  </si>
  <si>
    <t>2024-03-11 13:00:36</t>
  </si>
  <si>
    <t>2024-03-11 12:55:00</t>
  </si>
  <si>
    <t>Mohammed Abdul Javid</t>
  </si>
  <si>
    <t>Local distributor waste fellow
Apna Business, Company Business, Retailers business SAB BARBAD KARDIYA 1 YEAR SE</t>
  </si>
  <si>
    <t>2024-03-11 12:40:54</t>
  </si>
  <si>
    <t>Getting direct government benefits is now easy. Watch this video as one of our Fino Merchants located in Punjab describes how opening an account with Fino helps users receive Government scheme benefits and subsidies, straight to their account. Give a missed call on 7877788977 to locate your nearest Fino point.
#FinoPaymentsBank #FikarNot #FinoBanker #DigitalBanking #SecureBanking #HarDinFino #FinoPay #FinoMerchant #GovernmentScheme #Subsidy</t>
  </si>
  <si>
    <t>2024-03-11 12:12:32</t>
  </si>
  <si>
    <t>Getting direct government benefits is now easy. Watch this video as one of our Fino Merchants located in Punjab describes how opening an account with Fino helps users receive Government scheme benefits and subsidies, straight to their account. Give a missed call on 7877788977 to locate your nearest Fino point.
{hashtag|\#|FinoPaymentsBank} {hashtag|\#|FikarNot} {hashtag|\#|FinoBanker} {hashtag|\#|DigitalBanking} {hashtag|\#|SecureBanking} {hashtag|\#|HarDinFino} {hashtag|\#|FinoPay} {hashtag|\#|FinoMerchant} {hashtag|\#|GovernmentScheme} {hashtag|\#|Subsidy}</t>
  </si>
  <si>
    <t>2024-03-11 12:09:47</t>
  </si>
  <si>
    <t>Pls send my device, 13 months complete.... No response From CH ANIL. KARIMNAGAR TELANGANA.... MY EMPLOYEE CODE.. 112806</t>
  </si>
  <si>
    <t>2024-03-11 11:28:15</t>
  </si>
  <si>
    <t>Pawan Garg</t>
  </si>
  <si>
    <t>fino payment bank csp, fino shubh savings account #fino_paymemt_bank_csp #fino_payment_bank #fino</t>
  </si>
  <si>
    <t>2024-03-11 10:10:01</t>
  </si>
  <si>
    <t>Bank CSP Update</t>
  </si>
  <si>
    <t>Fino Payment Bank CSP ID Kaise Le Fino Marchant ID Kaise Le fino bank csp good news 2024</t>
  </si>
  <si>
    <t>2024-03-11 09:34:36</t>
  </si>
  <si>
    <t>2024-03-11 09:30:41</t>
  </si>
  <si>
    <t>2024-03-11 09:30:40</t>
  </si>
  <si>
    <t>2024-03-11 09:30:39</t>
  </si>
  <si>
    <t>2024-03-11 09:30:38</t>
  </si>
  <si>
    <t>2024-03-11 09:30:37</t>
  </si>
  <si>
    <t>2024-03-11 09:30:36</t>
  </si>
  <si>
    <t>2024-03-11 09:30:35</t>
  </si>
  <si>
    <t>2024-03-11 09:30:34</t>
  </si>
  <si>
    <t>2024-03-11 09:30:33</t>
  </si>
  <si>
    <t>2024-03-11 09:30:32</t>
  </si>
  <si>
    <t>2024-03-11 09:30:31</t>
  </si>
  <si>
    <t>2024-03-11 09:30:30</t>
  </si>
  <si>
    <t>2024-03-11 09:30:26</t>
  </si>
  <si>
    <t>Winfluential Technology</t>
  </si>
  <si>
    <t>{hashtag|\#|restoration} {hashtag|\#|preservation} {hashtag|\#|rejuvenation} of {hashtag|\#|Tuglakabadpond} {hashtag|\#|Newdelhi} . 
A collabrative effort with {hashtag|\#|socialumbrellafoundation}  {hashtag|\#|CSR} initiative @[Fino Payments Bank Ltd](urn:li:organization:247810) . 
@[Rachhna R Kalra](urn:li:person:krCtpuxOnE) @[Ramveer Tanwar \(PondMan\)](urn:li:person:rThAVuZkgx)</t>
  </si>
  <si>
    <t>2024-03-11 09:18:31</t>
  </si>
  <si>
    <t>pathan_king_khan_</t>
  </si>
  <si>
    <t>❤️</t>
  </si>
  <si>
    <t>2024-03-11 08:28:04</t>
  </si>
  <si>
    <t>Fino wishes everyone on the beginning of the auspicious period of Ramadan. 
#FinoPaymentsBank #FikarNot #FinoBanker #DigitalBanking #SecureBanking #HarDinFino #FinoPay #RamadanMubarak #RamadanVibes #Ramzan https://t.co/fooCCKEkz8</t>
  </si>
  <si>
    <t>2024-03-11 08:00:23</t>
  </si>
  <si>
    <t>Fino wishes everyone on the beginning of the auspicious period of Ramadan. 
#FinoPaymentsBank #FikarNot #FinoBanker #DigitalBanking #SecureBanking #HarDinFino #FinoPay #RamadanMubarak #RamadanVibes #Ramzan</t>
  </si>
  <si>
    <t>2024-03-11 08:00:03</t>
  </si>
  <si>
    <t>2024-03-11 08:00:02</t>
  </si>
  <si>
    <t>2024-03-11 03:53:02</t>
  </si>
  <si>
    <t>@FinoPaymntsBank Fino service is very bad.</t>
  </si>
  <si>
    <t>2024-03-11 00:46:19</t>
  </si>
  <si>
    <t>2024-03-10</t>
  </si>
  <si>
    <t>2024-03-10 22:48:31</t>
  </si>
  <si>
    <t>sunilyadav9223</t>
  </si>
  <si>
    <t>@FinoPaymntsBank  Want To Take Aadhar Card Center
Sir my name is Sunil Yadav
Village Dhobha Musthakam Post Dhobha Tehsil Dumariyaganj District Siddharth Nagar 
We want to take Aadhar card center can you provide us sir.
Sir please tell me
Dist Siddharth Nagar Uttar Pradesh 272189 Contact us Gmail: suneelyadav9223@gmail.com 
contact us Number: 6393599589</t>
  </si>
  <si>
    <t>2024-03-10 22:31:04</t>
  </si>
  <si>
    <t>Richa Srivastava</t>
  </si>
  <si>
    <t>2024-03-10 21:46:06</t>
  </si>
  <si>
    <t>The digital info</t>
  </si>
  <si>
    <t>zero balance account opening fino payment bank, shubh savings account in fino bank, fino merchant</t>
  </si>
  <si>
    <t>2024-03-10 20:49:29</t>
  </si>
  <si>
    <t>Learn with Shruti</t>
  </si>
  <si>
    <t>Fino Payments Bank Chart Analysis 📈📉#chartpattern #stockmarket #technicalanalysis #trading</t>
  </si>
  <si>
    <t>2024-03-10 19:48:34</t>
  </si>
  <si>
    <t>Pooja Menaa</t>
  </si>
  <si>
    <t>Bax Roky https://t.me/hedger_communitys1</t>
  </si>
  <si>
    <t>2024-03-10 18:21:11</t>
  </si>
  <si>
    <t>Faiz King https://t.me/hedger_communitys1</t>
  </si>
  <si>
    <t>2024-03-10 18:20:54</t>
  </si>
  <si>
    <t>Suraj Kumari https://t.me/hedger_communitys1</t>
  </si>
  <si>
    <t>2024-03-10 18:20:50</t>
  </si>
  <si>
    <t>Umesh Kumar https://t.me/hedger_communitys1</t>
  </si>
  <si>
    <t>2024-03-10 18:20:42</t>
  </si>
  <si>
    <t>Jay Shriram https://t.me/hedger_communitys1</t>
  </si>
  <si>
    <t>2024-03-10 18:20:29</t>
  </si>
  <si>
    <t>Anuj Kumar https://t.me/hedger_communitys1</t>
  </si>
  <si>
    <t>2024-03-10 18:20:21</t>
  </si>
  <si>
    <t>Swikriti Singh https://t.me/hedger_communitys1</t>
  </si>
  <si>
    <t>2024-03-10 18:20:18</t>
  </si>
  <si>
    <t>Hindi Advice</t>
  </si>
  <si>
    <t>Fino Payment Bank Aadhar Center Registration 2024 | fino bank aadhar center kaise khole , Form Bhare</t>
  </si>
  <si>
    <t>2024-03-10 18:13:04</t>
  </si>
  <si>
    <t>AD Technical Help desk</t>
  </si>
  <si>
    <t>Fino Bhavishya Seving Account | FINO BHAVISHYA SAVINGS ACCOUNT क्या है ? | fino payment bank</t>
  </si>
  <si>
    <t>2024-03-10 18:01:55</t>
  </si>
  <si>
    <t>@FinoPaymntsBank  My account is restricted please solve my problem https://t.co/6TYRLLsMos</t>
  </si>
  <si>
    <t>2024-03-10 16:10:44</t>
  </si>
  <si>
    <t>@FinoPaymntsBank  Hii sir</t>
  </si>
  <si>
    <t>2024-03-10 16:10:13</t>
  </si>
  <si>
    <t>parthshah178</t>
  </si>
  <si>
    <t>Parth Shah</t>
  </si>
  <si>
    <t>Stocks to Watch Tom
Longs 📈📈📈
Ofss
Srf
Fino Payment Bank
Shorts 📉📉📉
M&amp;amp;m
Axis Bank
Torrent Pharma
📌 Disc - Do your analysis also before taking trades
#StockMarket #StockMarketindia #StocksToWatch #StocksInFocus #Telegram #group #multibagger</t>
  </si>
  <si>
    <t>2024-03-10 15:25:52</t>
  </si>
  <si>
    <t>VISHUJAIZS</t>
  </si>
  <si>
    <t>VISHAL JAYASAWAL (CSC VLE)</t>
  </si>
  <si>
    <t>@FinoPaymntsBank  my fino  W- pos MATM is not working how to solve this problem https://t.co/fRfJlpDRNZ</t>
  </si>
  <si>
    <t>2024-03-10 15:02:55</t>
  </si>
  <si>
    <t>Deoria, india</t>
  </si>
  <si>
    <t>Info Title</t>
  </si>
  <si>
    <t>Atm ka pin kaise banaye | fino atm pin generate | fino payment bank atm pin generation</t>
  </si>
  <si>
    <t>2024-03-10 14:02:21</t>
  </si>
  <si>
    <t>Fino nadia distributor</t>
  </si>
  <si>
    <t>Fino Hamesha_Bangla | Fino Nadia distributor | Fino payment Bank |</t>
  </si>
  <si>
    <t>2024-03-10 13:18:10</t>
  </si>
  <si>
    <t>Arjun Kr Rajbanshi</t>
  </si>
  <si>
    <t>Kab tak mera Paisa referred milega</t>
  </si>
  <si>
    <t>2024-03-10 12:37:11</t>
  </si>
  <si>
    <t>Mera Paisa dusre ke account mein chala Gaya galti se</t>
  </si>
  <si>
    <t>2024-03-10 12:36:46</t>
  </si>
  <si>
    <t>Rajen Chakma</t>
  </si>
  <si>
    <t>Fino Payments Bank: Hi it's rajen chakma
I did not recieved my account details only atm provided me.
Still I'm member of fino payment Bank can you provide me account details please</t>
  </si>
  <si>
    <t>2024-03-10 11:48:03</t>
  </si>
  <si>
    <t>true_lecture09</t>
  </si>
  <si>
    <t>Fraud bank😂</t>
  </si>
  <si>
    <t>2024-03-10 10:22:08</t>
  </si>
  <si>
    <t>DUNIYA KI SABSE BEKAR FRAUD BANK🤡
Jra sari bank rule aise bank of baroda ko piche chor de aise bank per mai mutunga🤡
finopaymentsbank fino fino_bank_point rajsingh93637 fino.bank finobankdelhi</t>
  </si>
  <si>
    <t>2024-03-10 10:12:07</t>
  </si>
  <si>
    <t>Fino Payments Bank: Mere account se paise cut gaye hain yah Kyon cut rahe hain Kaise Kate yah paise Mere</t>
  </si>
  <si>
    <t>2024-03-10 09:32:03</t>
  </si>
  <si>
    <t>@Akashsharma-rh2xw</t>
  </si>
  <si>
    <t>29 Feb ko I'd liya 2 din bol kar fino ka Ajent Abhi Tak tehla Raha hai</t>
  </si>
  <si>
    <t>2024-03-10 09:30:55</t>
  </si>
  <si>
    <t>Is ki sarvish bahot kharab hai</t>
  </si>
  <si>
    <t>2024-03-10 09:29:05</t>
  </si>
  <si>
    <t>@AvishekMandala</t>
  </si>
  <si>
    <t>Md  ka pass hii</t>
  </si>
  <si>
    <t>2024-03-10 09:12:04</t>
  </si>
  <si>
    <t>Fino wishes everyone on the beginning of the auspicious period of Ramadan.
#FinoPaymentsBank #FikarNot #FinoBanker #DigitalBanking #SecureBanking #HarDinFino #FinoPay #RamadanMubarak #RamadanVibes #Ramzan https://t.co/XylGc5R0oI</t>
  </si>
  <si>
    <t>2024-03-10 08:00:00</t>
  </si>
  <si>
    <t>Fino wishes everyone on the beginning of the auspicious period of Ramadan. 
{hashtag|\#|FinoPaymentsBank} {hashtag|\#|FikarNot} {hashtag|\#|FinoBanker} {hashtag|\#|DigitalBanking} {hashtag|\#|SecureBanking} {hashtag|\#|HarDinFino} {hashtag|\#|FinoPay} {hashtag|\#|RamadanMubarak} {hashtag|\#|RamadanVibes} {hashtag|\#|Ramzan}</t>
  </si>
  <si>
    <t>2024-03-10 07:55:52</t>
  </si>
  <si>
    <t>2024-03-09</t>
  </si>
  <si>
    <t>AEPS SBI BIG ISSUE || SPICE MONEY PAYNEARBY RAPI PAY FINO PAYMENT BANK SBI</t>
  </si>
  <si>
    <t>2024-03-09 23:59:27</t>
  </si>
  <si>
    <t>Qcchi Bank 🏦</t>
  </si>
  <si>
    <t>2024-03-09 22:57:19</t>
  </si>
  <si>
    <t>fino ਬੈਂਕ ਦੇ ਖਾਤੇ ਵਿੱਚ ਆਏ 10000rs ਪਿੰਡ ਠੀਕਰੀਵਾਲ ਬਰਨਾਲਾ | PM Kisan #pmkisan 7707995534</t>
  </si>
  <si>
    <t>2024-03-09 22:09:24</t>
  </si>
  <si>
    <t>vicky.official.01</t>
  </si>
  <si>
    <t>Details do</t>
  </si>
  <si>
    <t>2024-03-09 21:10:53</t>
  </si>
  <si>
    <t>ishaannegi16</t>
  </si>
  <si>
    <t>Bekar h bhai account kholte hi 350 mangte h card ke charges uske bina transaction nahi hoti</t>
  </si>
  <si>
    <t>2024-03-09 21:08:15</t>
  </si>
  <si>
    <t>2024-03-09 19:37:24</t>
  </si>
  <si>
    <t>@FinoPaymntsBank @Rishigupta010 dear team my fino merchant id is is pending for address verification your bm darbhanga asking 550 charge , pls resolve my issue asap id 119477468</t>
  </si>
  <si>
    <t>2024-03-09 19:26:28</t>
  </si>
  <si>
    <t>Manoj Agrawal</t>
  </si>
  <si>
    <t>@[Fino Payments Bank Ltd](urn:li:organization:247810) used {hashtag|\#|GenerativeAI} is a very {hashtag|\#|innovative} way on the occasion of {hashtag|\#|IndependenceDay} 2023. Guess what they did.
A = Create a Indian food recipe using international ingredients
B = Create an 1947 style {hashtag|\#|advertisement} for Fino Bank
C = Create an 1947 style bank {hashtag|\#|branch} for Fino Bank
D = Create what a Fino {hashtag|\#|outlet} would have looked like in 1947
{hashtag|\#|India} {hashtag|\#|PaymentsBank} {hashtag|\#|banking} {hashtag|\#|payments} \#</t>
  </si>
  <si>
    <t>2024-03-09 19:14:47</t>
  </si>
  <si>
    <t>Faiz King</t>
  </si>
  <si>
    <t>Maine Khud Open Kiya 🤨</t>
  </si>
  <si>
    <t>2024-03-09 18:34:21</t>
  </si>
  <si>
    <t>Aachha bank hai</t>
  </si>
  <si>
    <t>2024-03-09 18:26:30</t>
  </si>
  <si>
    <t>Aacha bank hai</t>
  </si>
  <si>
    <t>2024-03-09 18:26:16</t>
  </si>
  <si>
    <t>xAmanGupta</t>
  </si>
  <si>
    <t>Aman Gupta</t>
  </si>
  <si>
    <t>@FinoPaymntsBank  Hi,
I am unable to see Fino iOS app, how can I complete my Full KYC?</t>
  </si>
  <si>
    <t>2024-03-09 18:03:03</t>
  </si>
  <si>
    <t>Delhi</t>
  </si>
  <si>
    <t>Vishal Bajaj</t>
  </si>
  <si>
    <t>2 baar payment kat Li or customer support ki taraf se koi support nhi mil raha...
Worst bank...</t>
  </si>
  <si>
    <t>2024-03-09 17:56:35</t>
  </si>
  <si>
    <t>Fino ਬੈਂਕ ਦੇ ਖਾਤੇ ਵਿੱਚ ਆਏ 10000rs ਪਿੰਡ ਠੀਕਰੀਵਾਲ ਬਰਨਾਲਾ | PM Kisan #pmkisan 7707995534</t>
  </si>
  <si>
    <t>2024-03-09 17:32:13</t>
  </si>
  <si>
    <t>@FinoPaymntsBank 
Please don't use the fino payment bank.
Because customer service is not good</t>
  </si>
  <si>
    <t>2024-03-09 17:23:35</t>
  </si>
  <si>
    <t>Help Karo 77</t>
  </si>
  <si>
    <t>Fino Payment Bank IFSC Code। Fino Payment Bank IFSC Code Kaise Pta Kare help karo 77</t>
  </si>
  <si>
    <t>2024-03-09 17:00:22</t>
  </si>
  <si>
    <t>iamRajesh_134</t>
  </si>
  <si>
    <t>Rajesh Raj</t>
  </si>
  <si>
    <t>Your banking services very bad , 
  Quoted Tweet : @FinoPaymntsBank : No more taking the trouble of visiting the bank. Just download the FinoPay app and start doing banking transactions from the comfort of your home. Download FinoPay right away!
#FinoPaymentsBank #FikarNot #FinoBanker #DigitalBanking #SecureBanking #DownloadNow #UPITransactions https://t.co/IVlDiPCZkT</t>
  </si>
  <si>
    <t>2024-03-09 15:09:04</t>
  </si>
  <si>
    <t>No more taking the trouble of visiting the bank. Just download the FinoPay app and start doing banking transactions from the comfort of your home. Download FinoPay right away!
#FinoPaymentsBank #FikarNot #FinoBanker #DigitalBanking #SecureBanking #DownloadNow #UPITransactions https://t.co/IVlDiPCZkT</t>
  </si>
  <si>
    <t>2024-03-09 15:07:58</t>
  </si>
  <si>
    <t>Let's celebrate the women in our lives and the world for their significant contributions across fields.
#FinoPaymentsBank #FikarNot #FinoBanker #DigitalBanking #SecureBanking #HarDinFino #FinoPay #InternationalWomenDay #WomensDay2024 #IndianWomen https://t.co/ts5pA7V79l</t>
  </si>
  <si>
    <t>2024-03-09 15:06:30</t>
  </si>
  <si>
    <t>@FinoPaymntsBank 
Froud bank...
2 time payment kardi or ab refund nhi kar rahe...
Customer care se b koi solution nhi mil raha...
Help me @RBI</t>
  </si>
  <si>
    <t>2024-03-09 13:30:05</t>
  </si>
  <si>
    <t xml:space="preserve">Fino Bank Update </t>
  </si>
  <si>
    <t>Fino cash deposit in SAHAJ CURRENT account live prosess BC Pool account deposit slip FinoBankUpdate</t>
  </si>
  <si>
    <t>2024-03-09 12:56:04</t>
  </si>
  <si>
    <t>क्या आपको लोन चाहिए। तो अभी  Whatsapp no 86072 88523 पर Hello करो #emidateloan #लोन</t>
  </si>
  <si>
    <t>2024-03-09 12:31:07</t>
  </si>
  <si>
    <t>QM-FINO-E667</t>
  </si>
  <si>
    <t>TechnoFino</t>
  </si>
  <si>
    <t>Best Cashback Credit Card 2024 | TechnoFino Recommendation 🔥🔥🔥</t>
  </si>
  <si>
    <t>2024-03-09 12:30:09</t>
  </si>
  <si>
    <t>@FinoPaymntsBank dear member error while registering on fino app while entering otp the steps not moving forward</t>
  </si>
  <si>
    <t>2024-03-09 12:18:10</t>
  </si>
  <si>
    <t xml:space="preserve">All in one support </t>
  </si>
  <si>
    <t>jan dhan account fino payment bank se</t>
  </si>
  <si>
    <t>2024-03-09 12:10:40</t>
  </si>
  <si>
    <t>MD Mehdi Hasan</t>
  </si>
  <si>
    <t>2024-03-09 11:28:31</t>
  </si>
  <si>
    <t>Deishma</t>
  </si>
  <si>
    <t>Nimblr</t>
  </si>
  <si>
    <t>Top Stocks - Next Week - 3
9)   Amara Raja -  866
10) Ashiana -  310
11) Bank of India - 145
12) Fino Payment Bank -  325
#stocks #investing #StockMarketindia 
3/n https://t.co/iORio9SSmc</t>
  </si>
  <si>
    <t>2024-03-09 11:14:34</t>
  </si>
  <si>
    <t>Luvkush Kumar</t>
  </si>
  <si>
    <t>Har har Mahadev 🚩🚩</t>
  </si>
  <si>
    <t>2024-03-09 10:38:02</t>
  </si>
  <si>
    <t>Airtel Payment Bank फ्री में Account कैसे कारे !Airtel Payment Bank Account Opening New Updates ! RN</t>
  </si>
  <si>
    <t>2024-03-09 10:08:10</t>
  </si>
  <si>
    <t>The Creative Manoj</t>
  </si>
  <si>
    <t>Fino Payment Bank | Fino Payment Bank New Update 2024 | Fino Payment Bank Commission Chart</t>
  </si>
  <si>
    <t>2024-03-09 10:07:07</t>
  </si>
  <si>
    <t>2024-03-09 09:00:00</t>
  </si>
  <si>
    <t>Dipak Kumar</t>
  </si>
  <si>
    <t>Hay</t>
  </si>
  <si>
    <t>2024-03-09 08:19:36</t>
  </si>
  <si>
    <t>Hya Benedict Elias and Park</t>
  </si>
  <si>
    <t>2024-03-09 08:19:30</t>
  </si>
  <si>
    <t>#FINO ਬੈਂਕ ਦੇ ਖਾਤੇ ਵਿੱਚ ਆਏ 12000rs ਪਿੰਡ ਠੀਕਰੀਵਾਲ ਬਰਨਾਲਾ | PM Kisan #pmkisan 7707995534</t>
  </si>
  <si>
    <t>2024-03-09 08:00:07</t>
  </si>
  <si>
    <t>2 fector authentication karne ke wskt ye message आता है"please install application for RD service".Maine evaluate ka RD service install ki hai ,lekin wo message aata hai.update kyc pe click Karu to already requested the service dikhta hai.isliye pichhla 4 din hua koi bhi AEPS transaction nahi ho raha hai.mujhe iska sahi sujhab dijiye.</t>
  </si>
  <si>
    <t>2024-03-09 01:56:54</t>
  </si>
  <si>
    <t>2024-03-08</t>
  </si>
  <si>
    <t>DAllInOneNews1</t>
  </si>
  <si>
    <t>D All In One News</t>
  </si>
  <si>
    <t>@socialepfo @narendramodi @byadavbjp @Rameswar_Teli . Millions of Complaint jaago. 
  Quoted Tweet : @digiworldnoida : @FinoPaymntsBank 
Hi Dear team
Kindly attention. Epfo are rejected
Fino payments Bank customer ac during kyc.and given error name mismatch.because title is included in name. Hence kyc validation rejected.pls do solutions
Thanks
Shivam Singh
DBR Khora colony Noida branch https://t.co/Zmjr7yBYDH</t>
  </si>
  <si>
    <t>2024-03-08 23:10:22</t>
  </si>
  <si>
    <t>@FinoPaymntsBank Fino bad service</t>
  </si>
  <si>
    <t>2024-03-08 22:53:59</t>
  </si>
  <si>
    <t>@FinoPaymntsBank Bad service</t>
  </si>
  <si>
    <t>2024-03-08 22:53:25</t>
  </si>
  <si>
    <t>Pichai Pillai Pillai</t>
  </si>
  <si>
    <t>Fino Payments Bank: Hai</t>
  </si>
  <si>
    <t>2024-03-08 22:10:51</t>
  </si>
  <si>
    <t>Raunak Shah</t>
  </si>
  <si>
    <t>2024-03-08 21:56:27</t>
  </si>
  <si>
    <t>Faltu aur chor bank</t>
  </si>
  <si>
    <t>2024-03-08 21:55:34</t>
  </si>
  <si>
    <t>2024-03-08 19:48:09</t>
  </si>
  <si>
    <t>2024-03-08 19:48:07</t>
  </si>
  <si>
    <t>2024-03-08 19:48:06</t>
  </si>
  <si>
    <t>Deepa Vision</t>
  </si>
  <si>
    <t>BEST DIVICE FOR CSP # WD 91F ALL IN ONE # FINO 9438505990</t>
  </si>
  <si>
    <t>2024-03-08 18:54:43</t>
  </si>
  <si>
    <t>2024-03-08 18:13:38</t>
  </si>
  <si>
    <t>2024-03-08 18:13:37</t>
  </si>
  <si>
    <t>2024-03-08 18:13:36</t>
  </si>
  <si>
    <t>2024-03-08 18:13:27</t>
  </si>
  <si>
    <t>2024-03-08 18:13:25</t>
  </si>
  <si>
    <t>2024-03-08 18:13:24</t>
  </si>
  <si>
    <t>2024-03-08 18:13:23</t>
  </si>
  <si>
    <t>2024-03-08 18:13:22</t>
  </si>
  <si>
    <t>2024-03-08 18:13:21</t>
  </si>
  <si>
    <t>2024-03-08 18:13:16</t>
  </si>
  <si>
    <t>Chor bank hai y koi hilp nahi karth hai esme</t>
  </si>
  <si>
    <t>2024-03-08 18:11:31</t>
  </si>
  <si>
    <t>Bekar me bekar bank hai y fino bank</t>
  </si>
  <si>
    <t>2024-03-08 18:10:44</t>
  </si>
  <si>
    <t>Bekar me bekar bank hai y koi hilp nahi karth hai chor bank hai y</t>
  </si>
  <si>
    <t>2024-03-08 18:09:11</t>
  </si>
  <si>
    <t>Bekar me bekar bank hai y koi sala help nahi karth hai</t>
  </si>
  <si>
    <t>2024-03-08 18:08:10</t>
  </si>
  <si>
    <t>Sala koi call Received nahi karna hai esme chor bank hai y</t>
  </si>
  <si>
    <t>2024-03-08 18:07:02</t>
  </si>
  <si>
    <t>Umesh Kumar sahi bole bekar bank hai y</t>
  </si>
  <si>
    <t>2024-03-08 18:05:46</t>
  </si>
  <si>
    <t>Bekar bank hai y koi hilp nahi karth hai esme</t>
  </si>
  <si>
    <t>2024-03-08 18:05:06</t>
  </si>
  <si>
    <t>Bekar bank hai y fino bank</t>
  </si>
  <si>
    <t>2024-03-08 18:03:54</t>
  </si>
  <si>
    <t>Is Bank ka koi bi ID mat lena Nahi to bad Me pachtana padega is me koi help Nahi Milta Hai sare ghatiya hai</t>
  </si>
  <si>
    <t>2024-03-08 18:01:52</t>
  </si>
  <si>
    <t>2024-03-08 18:00:03</t>
  </si>
  <si>
    <t>રાજુ ડામોર</t>
  </si>
  <si>
    <t>Fino Payments Bank: Ok</t>
  </si>
  <si>
    <t>2024-03-08 17:57:31</t>
  </si>
  <si>
    <t>2024-03-08 17:04:32</t>
  </si>
  <si>
    <t>No more taking the trouble of visiting the bank. Just download the FinoPay app and start doing banking transactions from the comfort of your home. Download FinoPay right away!
#FinoPaymentsBank #FikarNot #FinoBanker #DigitalBanking #SecureBanking #HarDinFino #FinoPay #Download #DownloadNow #UPITransactions #OneAppForAll</t>
  </si>
  <si>
    <t>2024-03-08 17:00:42</t>
  </si>
  <si>
    <t>2024-03-08 17:00:02</t>
  </si>
  <si>
    <t>2024-03-08 17:00:00</t>
  </si>
  <si>
    <t>Bank Account Tips💡</t>
  </si>
  <si>
    <t>Fino Payments Bank Ka ATM PIN Kaise Banane//How To ATM PIN Making 2024</t>
  </si>
  <si>
    <t>2024-03-08 16:58:17</t>
  </si>
  <si>
    <t>Deshraj Smart Supports</t>
  </si>
  <si>
    <t>Fino payment Bank CSP ID kese banwaye. Fino CSP ID kese Le. Fino payment Bank BC marchant id kese Le</t>
  </si>
  <si>
    <t>2024-03-08 16:09:23</t>
  </si>
  <si>
    <t>Fino Payment Bank cash deposit in SAHAJ CURRENT account live prosess BC Pool account deposit slip</t>
  </si>
  <si>
    <t>2024-03-08 16:00:07</t>
  </si>
  <si>
    <t>@missionshaktiup @myogiadityanath @UPGovt @CMOfficeUP @ShishirGoUP @SureshKKhanna @UpRuralDev Dear Sir/madam namaskar
Sir meri salary nhi aa rhi &amp;amp; Fino Payments bank account opening charge 250 rupay se 450 rupay Tak charge leta h Garmin logon account opening nhi kra rahe h</t>
  </si>
  <si>
    <t>2024-03-08 15:38:58</t>
  </si>
  <si>
    <t>vaibhav___bhai___70</t>
  </si>
  <si>
    <t>@finopaymentsbank sir ios ma app kaise download hoga</t>
  </si>
  <si>
    <t>2024-03-08 13:45:02</t>
  </si>
  <si>
    <t>Bekar me bekar y bank hai koi help nahi milta hai Esme</t>
  </si>
  <si>
    <t>2024-03-08 11:16:52</t>
  </si>
  <si>
    <t>2024-03-08 11:16:05</t>
  </si>
  <si>
    <t>Sanatan512636</t>
  </si>
  <si>
    <t>Sanatan</t>
  </si>
  <si>
    <t>@FinoPaymntsBank Hello sir
मेरा अकाउंट restricts क्यू कर दिया गया है ?
@FinoPaymntsBank @RBI @PatnaPolice24x7 
Please help me sir 🙏🙏 https://t.co/0KbElfuolX</t>
  </si>
  <si>
    <t>2024-03-08 11:08:25</t>
  </si>
  <si>
    <t>@FinoPaymntsBank Dear SIR /MADAM
Shubh Savings account IN restriction (20121470374) restricts debits only please check nd clear
Name - Niranjan Kumar 
A/C- 20121470374
CIF-  FINO0001157
Mob- 7764942700
@FinoPaymntsBank
Thanking you yours faithfully 
     Niranjan Kumar @FinoPaymntsBank https://t.co/AosjbLR2Oj</t>
  </si>
  <si>
    <t>2024-03-08 11:08:20</t>
  </si>
  <si>
    <t>QM-FINO-E668</t>
  </si>
  <si>
    <t>KemmetyK</t>
  </si>
  <si>
    <t>Keerthan</t>
  </si>
  <si>
    <t>@FinoPaymntsBank my employee code 112806 .I ordered 5 pin pads on 02-01-2023. Still 1 pin pad not received. No response From  Anil karimnagar (CH, SH) Telangana... He said data missing...  I paid amount to merchant... https://t.co/eB5Ssc4PKu</t>
  </si>
  <si>
    <t>2024-03-08 10:15:20</t>
  </si>
  <si>
    <t>Warangal</t>
  </si>
  <si>
    <t>Let's celebrate the women in our lives and the world for their significant contributions across fields.
#FinoPaymentsBank #FikarNot #FinoBanker #DigitalBanking #SecureBanking #HarDinFino #FinoPay #InternationalWomenDay #WomensDay2024 #IndianWomen https://t.co/lDJ4tobfYT</t>
  </si>
  <si>
    <t>2024-03-08 09:09:28</t>
  </si>
  <si>
    <t>Let's celebrate the women in our lives and the world for their significant contributions across fields.
#FinoPaymentsBank #FikarNot #FinoBanker #DigitalBanking #SecureBanking #HarDinFino #FinoPay #InternationalWomenDay #WomensDay2024 #IndianWomen</t>
  </si>
  <si>
    <t>2024-03-08 09:00:17</t>
  </si>
  <si>
    <t>2024-03-08 09:00:06</t>
  </si>
  <si>
    <t>SanjivGilhotra</t>
  </si>
  <si>
    <t>sanjiv gilhotra</t>
  </si>
  <si>
    <t>Seeking Lord Shiva's blessings on the auspicious festival of Maha Shivratri. Fino wishes all devotees a Happy Maha Shivaratri.
#FinoPaymentsBank #FikarNot #FinoBanker #DigitalBanking #SecureBanking #MahaShivratriFestival #LordShiva #HappyMahaShivratri #IndianFestival https://t.co/YMibtN70Up</t>
  </si>
  <si>
    <t>2024-03-08 08:15:26</t>
  </si>
  <si>
    <t>Giddarbaha-152101  punjab</t>
  </si>
  <si>
    <t>Seeking Lord Shiva's blessings on the auspicious festival of Maha Shivratri. Fino wishes all devotees a Happy Maha Shivaratri.
#FinoPaymentsBank #FikarNot #FinoBanker #DigitalBanking #SecureBanking #HarDinFino #FinoPay #MahaShivratriFestival #MahaShivratri #LordShiva #HappyMahaShivratri #IndianFestival</t>
  </si>
  <si>
    <t>2024-03-08 08:00:25</t>
  </si>
  <si>
    <t>2024-03-08 08:00:03</t>
  </si>
  <si>
    <t>2024-03-08 08:00:00</t>
  </si>
  <si>
    <t>2024-03-07</t>
  </si>
  <si>
    <t>Lets celebrate the women in our lives and the world for their significant contributions across fields.
{hashtag|\#|FinoPaymentsBank} {hashtag|\#|FikarNot} {hashtag|\#|FinoBanker} {hashtag|\#|DigitalBanking} {hashtag|\#|SecureBanking} {hashtag|\#|HarDinFino} {hashtag|\#|FinoPay} {hashtag|\#|InternationalWomenDay} {hashtag|\#|WomensDay2024} {hashtag|\#|IndianWomen}</t>
  </si>
  <si>
    <t>2024-03-07 21:51:54</t>
  </si>
  <si>
    <t>#FINO ਬੈਂਕ ਦੇ ਖਾਤੇ ਵਿੱਚ ਆਏ 10000rs ਪਿੰਡ ਮਹਿਤਾ ਤਪਾ ਬਰਨਾਲਾ | PM Kisan Nidhi #Pmkisan 7707995534</t>
  </si>
  <si>
    <t>2024-03-07 21:50:48</t>
  </si>
  <si>
    <t>Fino Payments Bank: real time settlement</t>
  </si>
  <si>
    <t>2024-03-07 21:27:40</t>
  </si>
  <si>
    <t>2024-03-07 21:27:37</t>
  </si>
  <si>
    <t>Fino Payments Bank: hi how are you</t>
  </si>
  <si>
    <t>2024-03-07 21:27:28</t>
  </si>
  <si>
    <t>Team Marksmen</t>
  </si>
  <si>
    <t>#CXRoundtable | The anticipation has come to an end, and the enthusiasm is growing. Prepare for inspiration as we share behind the scenes of CX Roundtable organized for Uniphore. Gear up for an extraordinary experience that transcends the usual!
Our Panel Members
• Alex Koshy - VP Sales, Asia, Uniphore 
• Amey Rele, SVP IT, Kotak Mahindra Bank Ltd.
• Amit Madhan, President &amp;amp; Group Head IT &amp;amp; ESG, Thomas Cook India
• Fayyaz Millwala, Head Customer Service, BOB Capital Market
• Keshav Rao Evani, President – Digital Banking, YES BANK
• Nikhil Pereira, Global Head Customer Experience, Tech Mahindra
• Nilesh Borgharkar, SVP Customer Support, People Interactive
• Prashant Choudhari, Head – Marketing &amp;amp; CX, Fino Payments Bank
• Vivek Zakarde, Chief Data &amp;amp; Analytics Officer, Head CRM, IDBI BANK
Moderated by Karan Karayi - Editor-in-Chief, Team Marksmen
Presenting partner: Uniphore
Digital partner: Marksmen Daily
Brought to you by: Team Marksmen
#EnterpriseAI #BusinessImperative #CompetitiveEdge #CustomerCentric #CustomizedApproaches #CXTransformation #AIAdaptation #UniqueUserNeeds #CXProfessionals #TransformativeCapabilities #StayTuned #BusinessEvolution</t>
  </si>
  <si>
    <t>2024-03-07 20:25:04</t>
  </si>
  <si>
    <t>Aeps New Guidelines Aadhaar Money Withdrawal | CSC Digipay | Airtel Payment Bank | Fino CSP update</t>
  </si>
  <si>
    <t>2024-03-07 20:19:57</t>
  </si>
  <si>
    <t>TRADING WE ALL TEACH ALL</t>
  </si>
  <si>
    <t>FINO PAYMENT BANK LTD STOCK TECHNICAL ANALYSIS. |. Stock to Buy Now</t>
  </si>
  <si>
    <t>2024-03-07 20:00:32</t>
  </si>
  <si>
    <t>🎉 Introducing Prashant Choudhari, the illustrious Lead Head of Marketing at Fino Payments Bank Ltd, as a distinguished speaker at #CLRConfex2024 - Mumbai Chapter. 🌟
Prepare for enlightenment on March 14th at Courtyard By Marriott, #Mumbai, as Prashant explores the intricacies of "Striking the Balance: Acquiring New Customers and Fostering Existing Relationships." 💼🌟
Join us for an insightful discussion that illuminates the path to harmonizing customer acquisition with relationship nurturing. 💡💬
Secure your spot now: 
Register Here: https://lnkd.in/dgRrZBf8
#CLRConfex2024 #CustomerAcquisition #CustomerRelationships #Marketing #FinoPaymentsBank #Business #Networking #Innovation #Gainskills #Gainskillsmedia. 🚀🤝</t>
  </si>
  <si>
    <t>2024-03-07 18:08:06</t>
  </si>
  <si>
    <t>Fino Payment Bank May Mobile Number kaise Change Karen</t>
  </si>
  <si>
    <t>2024-03-07 18:00:26</t>
  </si>
  <si>
    <t>Distributor I'd lock ho gya hai 4/5 mahina se upper ho gya magr abih thk unlock nahi huaa hai  nahi koi call Received karth hai bekar bank hai y</t>
  </si>
  <si>
    <t>2024-03-07 17:35:01</t>
  </si>
  <si>
    <t>Bekar bank hai y fino bank es bank me koi hilp nahi karth hai</t>
  </si>
  <si>
    <t>2024-03-07 17:33:18</t>
  </si>
  <si>
    <t>Es bank me koi help nahi karth hai sare chor hai Esme</t>
  </si>
  <si>
    <t>2024-03-07 17:29:29</t>
  </si>
  <si>
    <t>Bekar bank hai y distributor I'd lock ho gya hai koi help nahi kar rha hai</t>
  </si>
  <si>
    <t>2024-03-07 17:27:26</t>
  </si>
  <si>
    <t>The Finvestor Diary</t>
  </si>
  <si>
    <t>Fino Payment Bank Limited | Investors Concall Q3 FY2023-24 #tfdconcall</t>
  </si>
  <si>
    <t>2024-03-07 17:25:00</t>
  </si>
  <si>
    <t>Har sapna bada hota hai. Apne bachcho ko badhti umra ke saath udaan bharne ke liye taiyaar karein Bhavishya Savings account ke sath.
#FinoPaymentsBank #FikarNot #FinoBanker #DigitalBanking #SecureBanking #HarDinFino #FinoPay #AccountOpening #SavingsAccount #BankingServices  #OpenAccount</t>
  </si>
  <si>
    <t>2024-03-07 17:00:17</t>
  </si>
  <si>
    <t>Har sapna bada hota hai. Apne bachcho ko badhti umra ke saath udaan bharne ke liye taiyaar karein Bhavishya Savings account ke sath.
#FinoPaymentsBank #FikarNot #FinoBanker #DigitalBanking #SecureBanking #HarDinFino #AccountOpening #SavingsAccount #BankingServices #OpenAccount https://t.co/xrWMebhCSi</t>
  </si>
  <si>
    <t>2024-03-07 17:00:01</t>
  </si>
  <si>
    <t>@FinoPaymntsBank Hello sir, debit restriction has been imposed on my Fino account. I have complained on 3rd March but till now no one has told me why my account has been debited.Please Allow me to use my account 19k Rs is available in my account
@RBI @FinoPaymntsBank  @Cyberdost</t>
  </si>
  <si>
    <t>2024-03-07 15:28:50</t>
  </si>
  <si>
    <t>fino payment Bank #CSP Please install application for RD service /FINO Mitra app RD service error</t>
  </si>
  <si>
    <t>2024-03-07 14:50:01</t>
  </si>
  <si>
    <t>Change ka change agent (FinoPay) | Fino Nadia distributor</t>
  </si>
  <si>
    <t>2024-03-07 13:58:38</t>
  </si>
  <si>
    <t>𝗕𝗶𝗴 𝗠𝗼𝗻𝗲𝘆 𝗥𝗲𝘄𝗮𝗿𝗱</t>
  </si>
  <si>
    <t>Fino Payment Bank Share Target || Fino Payment Bank Share News || #Shorts #Finopaymentbank</t>
  </si>
  <si>
    <t>2024-03-07 13:39:45</t>
  </si>
  <si>
    <t>2024-03-07 13:12:15</t>
  </si>
  <si>
    <t>Johnson K Eapen</t>
  </si>
  <si>
    <t>Fino Payments Bank: pls Call me</t>
  </si>
  <si>
    <t>2024-03-07 13:00:26</t>
  </si>
  <si>
    <t>Fino Payments Bank: Ap loge froude korna churdo plz</t>
  </si>
  <si>
    <t>2024-03-07 12:57:58</t>
  </si>
  <si>
    <t>Fino is a froude app don't use this app</t>
  </si>
  <si>
    <t>2024-03-07 12:52:55</t>
  </si>
  <si>
    <t>NPCI New Rules for all aeps retailers-roinet, spice money, fino agent, rnfi, banket, airtel payments</t>
  </si>
  <si>
    <t>2024-03-07 12:42:36</t>
  </si>
  <si>
    <t>Tushar Chandorkar</t>
  </si>
  <si>
    <t>I’m happy to share that I have started a new position as Head Retail Assets at @[Fino Payments Bank Ltd](urn:li:organization:247810)!</t>
  </si>
  <si>
    <t>2024-03-07 12:18:01</t>
  </si>
  <si>
    <t>Fino payment Bank Passbook Kane Koy Pin Koribo Fino payment Bank Passbook pin kase karna hai</t>
  </si>
  <si>
    <t>2024-03-07 10:55:17</t>
  </si>
  <si>
    <t>Hindustan technical unit</t>
  </si>
  <si>
    <t>rd service device install problem||morpho||mantra||biometric fino payment device kaise settings kre.</t>
  </si>
  <si>
    <t>2024-03-07 10:37:19</t>
  </si>
  <si>
    <t>Ajay Kunar</t>
  </si>
  <si>
    <t>तीन,बार,पैसा, काटा है, बैक ने</t>
  </si>
  <si>
    <t>2024-03-07 10:13:21</t>
  </si>
  <si>
    <t>मेरा,पैसा, काटा जा रहा है,फोन,पे,से,</t>
  </si>
  <si>
    <t>2024-03-07 10:12:52</t>
  </si>
  <si>
    <t>iamai_forum</t>
  </si>
  <si>
    <t>Heartfelt thanks to our brilliant speakers at the Liqvd.Asia x IAMAI Roundtable for sharing their forward-thinking on integrating generative AI into advertising. Your wisdom is key to mastering the art of digital storytelling in our rapidly evolving landscape.
Mr. Amit Sethiya, Head Marketing, syska.world Group
Mr. Anand Bhatia, CMO, finopaymentsbank 
Mr. Argho Bhattacharya, Head of Marketing, PayU
Mr. Arjun Bhatia, CMO, Matrimony.com Limited
Mr. Dhruv Chopra, Co-founder and CMO, chalo.app 
Mr. Parth Dave, Director - Business Strategy, liqvdasia 
Ms. Prajakta Rathe, Deputy General Manager, tirabeauty - Reliance Retail
Mr. Rajeeb Dash, Head Marketing, adanirealty 
Ms. Ruchika Gupta, Marketing Director, India, beamsuntory 
Mr. Sunil Gangras, Head of Creative, liqvdasia 
Mr. Tarun Nazare, Co-founder &amp; CEO, neokredtech 
Mr. Vikram Jeet Bhayana, Vice President and Head of Marketing, bajajallianzgeneral 
Mr. Yatnesh Pandey, Head Marketing, greenplyindustries 
#FutureOfAdvertising #LiqvdAsiaIAMAI #CreativeAI</t>
  </si>
  <si>
    <t>2024-03-07 09:52:00</t>
  </si>
  <si>
    <t>FINANCE BANKING</t>
  </si>
  <si>
    <t>Airtel Payment Bank vs Fino Payment Bank Which is the best Savings Account 2024</t>
  </si>
  <si>
    <t>2024-03-07 09:19:34</t>
  </si>
  <si>
    <t>Fino ਬੈਂਕ ਦੇ ਖਾਤੇ ਵਿੱਚ ਆਏ 8000rs ਪਿੰਡ ਭੈਣੀ ਜੱਸਾ ਬਰਨਾਲਾ | PM Kisan #pmkisan 7707995534</t>
  </si>
  <si>
    <t>2024-03-07 08:36:59</t>
  </si>
  <si>
    <t>Juliana4876141</t>
  </si>
  <si>
    <t>Juliana</t>
  </si>
  <si>
    <t>@FinoPaymntsBank bad service, amount deducted before 30+ hour , but transaction not completed it's showing pending, transaction I'd 406513228134</t>
  </si>
  <si>
    <t>2024-03-07 08:00:56</t>
  </si>
  <si>
    <t>Maryland, usa</t>
  </si>
  <si>
    <t>CSC Digipay Update | Airtel Payment Bank Csp update | Fino Payments Bank | aeps update NPCI</t>
  </si>
  <si>
    <t>2024-03-07 07:42:10</t>
  </si>
  <si>
    <t>@FinoPaymntsBank कोई ओपन मत कराना एकाउंट इसमे।
450 रुपये चार्ज है साल का।
वो भी कोई सुविधा भी नही।</t>
  </si>
  <si>
    <t>2024-03-07 06:39:39</t>
  </si>
  <si>
    <t>2024-03-06</t>
  </si>
  <si>
    <t>Swavlamban connect kendar Alipurduar</t>
  </si>
  <si>
    <t>Interested</t>
  </si>
  <si>
    <t>2024-03-06 23:40:07</t>
  </si>
  <si>
    <t>Bikash Kumar</t>
  </si>
  <si>
    <t>Fino Payments Bank: https://www.facebook.com/groups/6733317583401392/?mibextid=xfxF2i</t>
  </si>
  <si>
    <t>2024-03-06 23:38:49</t>
  </si>
  <si>
    <t>Wasid Wasid</t>
  </si>
  <si>
    <t>2024-03-06 23:20:30</t>
  </si>
  <si>
    <t>@FinoPaymntsBank I am a Fino Merchant and I have ordered Savings Account ppening Combo welcome kit of 10pc on 7th Feb via Fino Kosh, 5he money has been deducted from my account but it's been almost a month but the kit has not been sent to me. I can share my contact details via direct message only</t>
  </si>
  <si>
    <t>2024-03-06 23:13:04</t>
  </si>
  <si>
    <t>@FinoPaymntsBank I am a Fino Merchant and I have ordered CASA Savings Account combo welcome kit of 10pc via Fino kosh on mitra app. on 7th Feb, but still it has not been delivered to me even as almost a month has passed.</t>
  </si>
  <si>
    <t>suhelaktar</t>
  </si>
  <si>
    <t>শুধুমাত্র রিচার্জ করে মাসে মোটা টাকা রোজগার করুন 5,000/-থেকে 10,000/- টাকা 5 মিনিটের মধ্যে I'd পেয়ে যাবেন (সম্পূর্ণ বিনামূল্য আইডি) WhatsApp - 9366745721, 3% all commission UPI add money , 100% recharge successful.</t>
  </si>
  <si>
    <t>2024-03-06 23:08:55</t>
  </si>
  <si>
    <t>wakeup.sid.3557</t>
  </si>
  <si>
    <t>Raddi bank</t>
  </si>
  <si>
    <t>2024-03-06 22:57:24</t>
  </si>
  <si>
    <t>paytmbankcare</t>
  </si>
  <si>
    <t>Paytm Bank Care</t>
  </si>
  <si>
    <t>@RawinDurant Further, we suggest you to contact your Kotak Mahindra Bank and request them to raise a chargeback request against the merchant's Fino Payments Bank for quicker resolution. (2/2) https://t.co/BEb65hc2Id</t>
  </si>
  <si>
    <t>2024-03-06 21:45:00</t>
  </si>
  <si>
    <t>Bax Roky</t>
  </si>
  <si>
    <t>Hy,I open saral sallery account, our account activated today,why fino cut our 294₹  😣😣😣</t>
  </si>
  <si>
    <t>2024-03-06 21:27:56</t>
  </si>
  <si>
    <t>CSC Digipay New Update | CSC Digipay Not working | Fino Aeps New Guidelines | Airtel Bank</t>
  </si>
  <si>
    <t>2024-03-06 20:06:07</t>
  </si>
  <si>
    <t>Airtel Payment Bank vs Fino Payment Bank Which is the best Savings account 2024</t>
  </si>
  <si>
    <t>2024-03-06 18:00:23</t>
  </si>
  <si>
    <t>Vimal Damor</t>
  </si>
  <si>
    <t>Fino Payments Bank: H6</t>
  </si>
  <si>
    <t>2024-03-06 17:28:11</t>
  </si>
  <si>
    <t>rohanchatur1419</t>
  </si>
  <si>
    <t>rohan chaturvedi</t>
  </si>
  <si>
    <t>2024-03-06 17:01:54</t>
  </si>
  <si>
    <t>Aapki suraksha aapke haatho mein hai. Apne khaate ko surakshti rakhe unknown network se internet na use karein.
#FinoPaymentsBank #FikarNot #FinoBanker #DigitalBanking #SecureBanking #HarDinFino #FinoPay #ScamAlert #BankFraud #StayAlertToStaySafe #Beware #OnlineScammer</t>
  </si>
  <si>
    <t>2024-03-06 17:00:06</t>
  </si>
  <si>
    <t>2024-03-06 17:00:03</t>
  </si>
  <si>
    <t>Aapki suraksha aapke haatho mein hai. Apne khaate ko surakshti rakhe unknown network se internet na use karein.
#FinoPaymentsBank #FikarNot #FinoBanker #DigitalBanking #SecureBanking #HarDinFino #FinoPay #ScamAlert #BankFraud #StayAlertToStaySafe #Beware #OnlineScammer https://t.co/UTC1t55umM</t>
  </si>
  <si>
    <t>2024-03-06 17:00:00</t>
  </si>
  <si>
    <t>Pashupati Nath Prasad 
Right</t>
  </si>
  <si>
    <t>2024-03-06 16:08:11</t>
  </si>
  <si>
    <t>monish_chandwada_7178</t>
  </si>
  <si>
    <t>2024-03-06 15:05:58</t>
  </si>
  <si>
    <t>Sonukhan</t>
  </si>
  <si>
    <t>fino Bank#Sikar sector 23..............🌹❣️❣️💯💯💯💯💯foji.sonukhan.ee4or</t>
  </si>
  <si>
    <t>2024-03-06 13:01:03</t>
  </si>
  <si>
    <t>Aapke bank se international pement nahi ho raha hai</t>
  </si>
  <si>
    <t>2024-03-06 12:32:49</t>
  </si>
  <si>
    <t>Fino payment Bank Miro Atmor pora paisa Kane koyi  Uthabo lage</t>
  </si>
  <si>
    <t>2024-03-06 12:22:27</t>
  </si>
  <si>
    <t>TechFini</t>
  </si>
  <si>
    <t>Exciting news from #TechFini! 🥳
We are thrilled to announce that Tech Fini has teamed up with the National Payments Corporation Of India (NPCI) to introduce cutting-edge UPI 2.0 Acquiring and Issuing Switch Solutions and the addition of Credit Line on UPI feature for our valued customers. 
This is a huge milestone for us! Not only does it demonstrate our commitment to enable banks and financial institutions with a secure, flexible, and reliable payments solution but also highlights our capability to deliver an end-to-end, frictionless digital payment journey for the stakeholders involved.   
While the ISO/IEC certification is an indicator of our efforts to adopt a robust Information Security Management System (ISMS) to safeguard the sensitive data of both, the company, and its clients against potential threats; the PCI DSS approval is a marker of our emphasis on data protection and payment security. Additionally, the UPI 2.0 Issuer and Acquirer certifications make us an official #NPCI certified Switch provider in #India.
We are proud to be at the forefront of this change and pledge to continue building such innovative solutions that can be customized and scaled by the users.
If you are a #banking or #financialservices player, we invite you to team up with us to gain access not only to credit but also to an array of integrated #digitalpayment solutions available via #UPI. 
Bharat Co-operative Bank (Mumbai) Ltd. Fino Payments Bank Ltd YES BANK ICICI Bank IDFC FIRST Bank Airtel Payments Bank DBS Bank Bassein Catholic Co-Operative Bank
You can reach out to us here: http://www.techfini.com/
#digitalpayments #paymentsecosystem #fintech #upi #paymentsindustry #financialservices #npci #upi #announcement</t>
  </si>
  <si>
    <t>2024-03-06 12:12:48</t>
  </si>
  <si>
    <t>Mukesh Meda</t>
  </si>
  <si>
    <t>2024-03-06 11:44:55</t>
  </si>
  <si>
    <t>santosh.7588</t>
  </si>
  <si>
    <t>It's bas account opening charge 600 and withdrawal charges created charg</t>
  </si>
  <si>
    <t>2024-03-06 11:01:25</t>
  </si>
  <si>
    <t>FB User</t>
  </si>
  <si>
    <t>I have opened account at your bank approximately 1 month ago 
I want to make this account as my dbt account so i visited the branch they told me that it can not be done as my previous dbt bank account is fino bank which is not mentioned in your list of banks
Please provide a solution</t>
  </si>
  <si>
    <t>2024-03-06 10:21:27</t>
  </si>
  <si>
    <t>2024-03-06 10:21:17</t>
  </si>
  <si>
    <t>2024-03-06 10:20:56</t>
  </si>
  <si>
    <t>Baria Umesh Bhai</t>
  </si>
  <si>
    <t>9925239519 ખાતું ખોલાવી છે</t>
  </si>
  <si>
    <t>2024-03-06 09:41:44</t>
  </si>
  <si>
    <t>QM-FINO-E669</t>
  </si>
  <si>
    <t>fino Bank passbook | fino payments Bank CSP passbook | fino Bank csp passbook</t>
  </si>
  <si>
    <t>2024-03-06 09:20:44</t>
  </si>
  <si>
    <t>2024-03-06 07:42:37</t>
  </si>
  <si>
    <t>Hemanshu Damor</t>
  </si>
  <si>
    <t>Fino Payment Bank Khajuri|| New Account open करने ओर नये Bc लेने के लिए संपर्क करें||• Mo-8890889640</t>
  </si>
  <si>
    <t>2024-03-06 07:23:53</t>
  </si>
  <si>
    <t>Fino Payments Bank: मेरी आईडी बंद हो गई है क्या करे कि वह चालू हो जाए</t>
  </si>
  <si>
    <t>2024-03-06 06:55:00</t>
  </si>
  <si>
    <t>@FinoPaymntsBank 
Fino please check.
Sir please check this transaction details.
Id 9136
Transaction date 02-02-24
Transaction amount 6000
Transaction reference no.  406213067192
Transaction type. Cash withdrawal 
Last digit aadhar 6031</t>
  </si>
  <si>
    <t>2024-03-06 00:34:49</t>
  </si>
  <si>
    <t>@FinoPaymntsBank 
Sir please check this transaction details
Transaction date 02-02-24
Transaction amount 6000
Transaction reference no.  406213067192
Transaction type. Cash withdrawal 
Amount withdrawal but not received in merchant account.</t>
  </si>
  <si>
    <t>2024-03-06 00:32:57</t>
  </si>
  <si>
    <t>SHUBHAM SINGHGZP2</t>
  </si>
  <si>
    <t>fino payment bank</t>
  </si>
  <si>
    <t>2024-03-06 00:02:54</t>
  </si>
  <si>
    <t>2024-03-05</t>
  </si>
  <si>
    <t>Neetu Singh</t>
  </si>
  <si>
    <t xml:space="preserve">Congratulations sir </t>
  </si>
  <si>
    <t>2024-03-05 21:34:19</t>
  </si>
  <si>
    <t>excelhinditips</t>
  </si>
  <si>
    <t>ExcelHindiTips</t>
  </si>
  <si>
    <t>@FinoPaymntsBank @TheOfficialSBI could you please confirm why payment not credited in the beneficiary account. https://t.co/L41NLZ48hC</t>
  </si>
  <si>
    <t>2024-03-05 21:09:08</t>
  </si>
  <si>
    <t>Almora, india</t>
  </si>
  <si>
    <t>Daraul PK</t>
  </si>
  <si>
    <t>#Fino Payments Bank Me Mantra Device Issue Problems Solve #MantraDeviceConnectProblems</t>
  </si>
  <si>
    <t>2024-03-05 20:59:03</t>
  </si>
  <si>
    <t>2024-03-05 20:17:31</t>
  </si>
  <si>
    <t>2024-03-05 20:05:45</t>
  </si>
  <si>
    <t>Halp</t>
  </si>
  <si>
    <t>2024-03-05 20:05:08</t>
  </si>
  <si>
    <t>2024-03-05 20:04:14</t>
  </si>
  <si>
    <t>@uanepfoworkgroup</t>
  </si>
  <si>
    <t>Kya ye sahi hai</t>
  </si>
  <si>
    <t>2024-03-05 18:10:49</t>
  </si>
  <si>
    <t>Suvidha se bharpur Fino Shubh Savings Account khol kar badhaye bachat aur paaye anek faayde. Aaj hi account kholne ke liye missed call de 7877788977 par.
#FinoPaymentsBank #FikarNot #FinoBanker #DigitalBanking #SecureBanking #HarDinFino #FinoPay #AccountOpening #SavingsAccount #BankingServices #EASYPROCESS #OpenAccount</t>
  </si>
  <si>
    <t>2024-03-05 17:00:09</t>
  </si>
  <si>
    <t>2024-03-05 17:00:04</t>
  </si>
  <si>
    <t>Suvidha se bharpur Fino Shubh Savings Account khol kar badhaye bachat aur paaye anek faayde. Aaj hi account kholne ke liye missed call de 7877788977 par.
#FinoPaymentsBank #FikarNot #FinoBanker #DigitalBanking #SecureBanking #AccountOpening #SavingsAccount #BankingServices https://t.co/ViaWuXK8ji</t>
  </si>
  <si>
    <t>2024-03-05 17:00:00</t>
  </si>
  <si>
    <t>Fino Bank Merchant - Laalu Shop | Fino Payment bank Distributor</t>
  </si>
  <si>
    <t>2024-03-05 16:50:41</t>
  </si>
  <si>
    <t>Fino Bank Merchant - Laalu Shop | Fino Nadia distributor</t>
  </si>
  <si>
    <t>2024-03-05 16:42:49</t>
  </si>
  <si>
    <t>Rajesh Kumar</t>
  </si>
  <si>
    <t>Fino Payments Bank: मेरा दूसरे अकाउंट में</t>
  </si>
  <si>
    <t>2024-03-05 16:20:52</t>
  </si>
  <si>
    <t>Fino Payments Bank: मेरे अकाउंट से एक भी पैसा नहीं निकल रहा है नहीं आ रहा है</t>
  </si>
  <si>
    <t>2024-03-05 16:20:25</t>
  </si>
  <si>
    <t>Fino Payments Bank: 7061212647</t>
  </si>
  <si>
    <t>2024-03-05 16:20:15</t>
  </si>
  <si>
    <t>hrnxt.com</t>
  </si>
  <si>
    <t>Fino Payments Bank appoints Neeta Mukerji to its Board</t>
  </si>
  <si>
    <t>2024-03-05 16:10:59</t>
  </si>
  <si>
    <t>Fino Payment Bank Beneficiary Add Kaise Kare | Fino Mitra me Beneficiary Kaise Add Kare CSP points</t>
  </si>
  <si>
    <t>2024-03-05 16:00:11</t>
  </si>
  <si>
    <t>Ganesh Bhalerao: Namaste! How can we help you ?</t>
  </si>
  <si>
    <t>2024-03-05 15:51:01</t>
  </si>
  <si>
    <t>Ganesh Bhalerao: Namaste, Please share your query and contact number. Someone from our team will get in touch with you. Thanks!</t>
  </si>
  <si>
    <t>2024-03-05 15:50:35</t>
  </si>
  <si>
    <t>Ganesh Bhalerao</t>
  </si>
  <si>
    <t>Fino Payments Bank: Phonepe</t>
  </si>
  <si>
    <t>2024-03-05 15:10:25</t>
  </si>
  <si>
    <t>QM-FINO-E666</t>
  </si>
  <si>
    <t>Fino Payments Bank: 9561969904</t>
  </si>
  <si>
    <t>2024-03-05 15:10:19</t>
  </si>
  <si>
    <t>2024-03-05 15:10:07</t>
  </si>
  <si>
    <t>फिनो पेमेंट बैंक की जानकारी/FINO PAYMENTS BANK  INFORMATION</t>
  </si>
  <si>
    <t>2024-03-05 14:15:31</t>
  </si>
  <si>
    <t>Sarvesh Bagla</t>
  </si>
  <si>
    <t xml:space="preserve">India's BFSI industry is dealing with significant challenges right now; but this could also be at a tipping point for driving true innovation and creativity with the power of organic digital marketing. 
We're really excited about sitting down with industry leaders for a productive exchange of ideas at this closed-door event. 
Stay tuned for more updates! 
 Zahid Gawandi SBI Securities Prashant Choudhari Fino Payments Bank Ltd Asmi Gandhi Home First Finance Company (HFFC) Kuldeep Pawar Spice Money </t>
  </si>
  <si>
    <t>2024-03-05 14:14:03</t>
  </si>
  <si>
    <t>Techmagnate: Digital Marketing Agency</t>
  </si>
  <si>
    <t xml:space="preserve">India's BFSI industry is dealing with significant challenges right now; but this could also be at a tipping point for driving true innovation and creativity with the power of organic digital marketing. 
We're really excited about sitting down with industry leaders for a productive exchange of ideas at this closed-door event. 
Stay tuned for more updates! 
Sarvesh Bagla Zahid Gawandi SBI Securities Prashant Choudhari Fino Payments Bank Ltd Asmi Gandhi Home First Finance Company (HFFC) Kuldeep Pawar Spice Money </t>
  </si>
  <si>
    <t>2024-03-05 14:10:55</t>
  </si>
  <si>
    <t>Shailendra Singh most stupid bank mat kholo</t>
  </si>
  <si>
    <t>2024-03-05 13:20:52</t>
  </si>
  <si>
    <t>Most stupid bank in India</t>
  </si>
  <si>
    <t>2024-03-05 13:19:48</t>
  </si>
  <si>
    <t xml:space="preserve"> </t>
  </si>
  <si>
    <t xml:space="preserve">Kannada is wrong , it should be like 
ಫಿಕರ್ ನಾಟ್ is right , you people posted 'Fikar Note' ಫಿಕರ್ ನೋಟ್  ,is completely wrong </t>
  </si>
  <si>
    <t>2024-03-05 11:31:17</t>
  </si>
  <si>
    <t>npci new rules for aeps 2024 | AEPS संचालक Big Update: NPCI ने दिया सक्त निर्देश | NPCI guidelines</t>
  </si>
  <si>
    <t>2024-03-05 11:08:03</t>
  </si>
  <si>
    <t>Fino Payments Bank Account Online Opening//How To Fino Payment Bank Online Open</t>
  </si>
  <si>
    <t>2024-03-05 10:55:44</t>
  </si>
  <si>
    <t>Mrmehta15706309</t>
  </si>
  <si>
    <t>Mr.mehta</t>
  </si>
  <si>
    <t>@FinoPaymntsBank Hello sir, debit restriction has been imposed on my Fino account. I have complained on 1st March but till now no one has told me why my account has been debited.@RBI @FinoPaymntsBank @Cyberdost</t>
  </si>
  <si>
    <t>2024-03-05 08:22:32</t>
  </si>
  <si>
    <t>2024-03-04</t>
  </si>
  <si>
    <t>kajalrawat2223</t>
  </si>
  <si>
    <t>Pappan Jatt.</t>
  </si>
  <si>
    <t>@FinoPaymntsBank Please unblock account
8810286303</t>
  </si>
  <si>
    <t>2024-03-04 23:37:25</t>
  </si>
  <si>
    <t>Gb.loni..</t>
  </si>
  <si>
    <t>Rinku Raj</t>
  </si>
  <si>
    <t>2024-03-04 22:05:24</t>
  </si>
  <si>
    <t>ashishnu9</t>
  </si>
  <si>
    <t>Isase jyada limit to mere Paytm Bank mein hai band hone ke bad bhi</t>
  </si>
  <si>
    <t>2024-03-04 21:38:01</t>
  </si>
  <si>
    <t>Isase achcha koi dusre Bank mein account khula Lo yaar 😄😄😄</t>
  </si>
  <si>
    <t>2024-03-04 21:37:42</t>
  </si>
  <si>
    <t>Direct Bank se contact aap nhi kr sakte jaise cash in krte samay kucch problem hota hai to Samy se solution nhi milta hai
Customer care
Sirf aap se jankari leti hai koi samadhan nahi
ek merchant hoker mujhe samasya jhelni prati hai</t>
  </si>
  <si>
    <t>2024-03-04 19:24:05</t>
  </si>
  <si>
    <t>lalit_yadav_3630</t>
  </si>
  <si>
    <t>@priyankasingh66123 she bol rhe hy anti</t>
  </si>
  <si>
    <t>2024-03-04 19:18:50</t>
  </si>
  <si>
    <t>क्या आपको लोन चाहिए। तो अभी  Whatsapp no 86072 88523 पर Hello करो #emidateloan #लोन #loanapproval #loan</t>
  </si>
  <si>
    <t>2024-03-04 17:21:17</t>
  </si>
  <si>
    <t xml:space="preserve">📢 Excited to announce the exclusive BFSI custom roundtable by Techmagnate: Digital Marketing Agency and exchange4media on 'Decoding the Highs and Lows: Challenges of High Acquisition Cost &amp; Low Conversion Metrics in BFSI Marketing' on March 15 in Mumbai! 
🎉 Join us as we dive into the latest trends and innovations in the industry. Don't miss out! 
Zahid Gawandi | SBI Securities | Prashant Choudhari | Fino Payments Bank Ltd | Asmi Gandhi | Home First Finance Company (HFFC) | Kuldeep Pawar | Spice Money | Sarvesh Bagla | Neha Sharma | Shubh Mukherji | Noopur Bhatia
#BFSI #roundtable  #financeinnovation  #TechMumbai #networkingevent </t>
  </si>
  <si>
    <t>2024-03-04 17:05:23</t>
  </si>
  <si>
    <t>Ravi Kumar</t>
  </si>
  <si>
    <t>Aeps</t>
  </si>
  <si>
    <t>2024-03-04 16:26:51</t>
  </si>
  <si>
    <t>raviprakash887</t>
  </si>
  <si>
    <t>Meri Id band ho chuki haii kya vapis chalu ho sakti haii</t>
  </si>
  <si>
    <t>2024-03-04 15:05:42</t>
  </si>
  <si>
    <t>Chhotu Kumar Rana</t>
  </si>
  <si>
    <t>4years sai legatar use ker raha hu koi dikkat nhi huo abhi tak</t>
  </si>
  <si>
    <t>2024-03-04 14:48:08</t>
  </si>
  <si>
    <t>Arpan Singh</t>
  </si>
  <si>
    <t>Flipkart se MI pe mobile lena hai kaise Lenge</t>
  </si>
  <si>
    <t>2024-03-04 14:23:52</t>
  </si>
  <si>
    <t>AEPS संचालक Big Update: NPCI ने दिया सक्त निर्देश | AEPS Banking Closed | जिसका डर था वही हुआ</t>
  </si>
  <si>
    <t>2024-03-04 14:01:41</t>
  </si>
  <si>
    <t>ram858938</t>
  </si>
  <si>
    <t>Sabse bekar Bank fino Bank</t>
  </si>
  <si>
    <t>2024-03-04 13:52:27</t>
  </si>
  <si>
    <t>priyankasingh66123</t>
  </si>
  <si>
    <t>@lalit_yadav_3630 sahi bola bhai</t>
  </si>
  <si>
    <t>2024-03-04 13:18:50</t>
  </si>
  <si>
    <t>PremaKhan5</t>
  </si>
  <si>
    <t>Prema Khan</t>
  </si>
  <si>
    <t>@FinoPaymntsBank Fraud Bank @FinoPaymntsBank try to revert on complain , Fino Payment bank encourages fraudulent merchant ,Worst bank, supports fraudulent merchants and cheats other customer, Try to closed , revert on fraudulent complaint made.</t>
  </si>
  <si>
    <t>2024-03-04 12:27:30</t>
  </si>
  <si>
    <t>@FinoPaymntsBank Worst bank, supports fraudulent merchants and cheats other customer, Try to closed , revert on fraudulent complaint made.</t>
  </si>
  <si>
    <t>2024-03-04 12:25:24</t>
  </si>
  <si>
    <t>Deepak Kumar Diwakar</t>
  </si>
  <si>
    <t xml:space="preserve">@[Pidilite Industries Limited](urn:li:organization:462974) @[Axis Bank](urn:li:organization:162609) @[RBL Bank](urn:li:organization:3565008) @[ICICI Bank](urn:li:organization:2967) @[IndusInd Bank](urn:li:organization:30265) @[PayNearby](urn:li:organization:13224665) @[Fino Payments Bank Ltd](urn:li:organization:247810) @[PhonePe](urn:li:organization:10479149) @[Google Pay](urn:li:organization:18557142) @[HSBC Wealth and Personal Banking](urn:li:organization:164233) @[Aditya Birla Fashion and Retail Ltd.](urn:li:organization:164809) @[DCB Bank](urn:li:organization:24809) </t>
  </si>
  <si>
    <t>2024-03-04 09:02:47</t>
  </si>
  <si>
    <t>Super Tech</t>
  </si>
  <si>
    <t>Fino Payment Bank Account Opening 2024 | Fino Payment Bank | Fino Bank Account Opening Online</t>
  </si>
  <si>
    <t>2024-03-04 09:00:05</t>
  </si>
  <si>
    <t>FINO NEW CSP HAMESHA MODEL PROJECT FINO PAYMENTS BANK INDIA IS BEST PAYMENTS BANK ✅👍✌️👌💪
Fino Payments Bank</t>
  </si>
  <si>
    <t>2024-03-04 05:37:03</t>
  </si>
  <si>
    <t>2024-03-03</t>
  </si>
  <si>
    <t>Techie Earn</t>
  </si>
  <si>
    <t>2024-03-03 17:43:16</t>
  </si>
  <si>
    <t>Vimal Soni</t>
  </si>
  <si>
    <t>Congrats</t>
  </si>
  <si>
    <t>2024-03-03 16:40:12</t>
  </si>
  <si>
    <t>Vinay M</t>
  </si>
  <si>
    <t>2024-03-03 16:33:13</t>
  </si>
  <si>
    <t>2024-03-03 16:33:12</t>
  </si>
  <si>
    <t>Crypto Master BUSINESS</t>
  </si>
  <si>
    <t>SHAO BANK: 2% AL GIORNO FINO AL 31 MARZO MA... 📢</t>
  </si>
  <si>
    <t>2024-03-03 16:00:08</t>
  </si>
  <si>
    <t>Md Nasim Akhtar</t>
  </si>
  <si>
    <t>Fino Payments Bank: Nasim akhtar</t>
  </si>
  <si>
    <t>2024-03-03 15:04:45</t>
  </si>
  <si>
    <t>Fino Payments Bank: Mera account se Paisa kata hai 447 mein wapas chahie to Mera account band kar do</t>
  </si>
  <si>
    <t>2024-03-03 15:04:29</t>
  </si>
  <si>
    <t>@FinoPaymntsBank hello member cant register to fino bank app giving error registration fail attaching image of the error tried many times but can't register to finopay app https://t.co/6heL8h52QT</t>
  </si>
  <si>
    <t>2024-03-03 13:41:02</t>
  </si>
  <si>
    <t>Ganesh Bhuriya</t>
  </si>
  <si>
    <t>2024-03-03 13:12:14</t>
  </si>
  <si>
    <t>Jeyaprakash Mani</t>
  </si>
  <si>
    <t xml:space="preserve">@[Fino Payments Bank Ltd](urn:li:organization:247810)
Fino Tamilnadu team has participated in road safety and Awareness program at Avadi chennai road rally from Avadi to Ambattur.
Participated to Tamil Nadu traffic police, Lions club of Avadi and Fino Payments Bank.
</t>
  </si>
  <si>
    <t>2024-03-03 12:42:05</t>
  </si>
  <si>
    <t>Fino Payments Bank: हिंदी मे</t>
  </si>
  <si>
    <t>2024-03-03 12:08:27</t>
  </si>
  <si>
    <t>manoj72467</t>
  </si>
  <si>
    <t>Manoj Rathod</t>
  </si>
  <si>
    <t>@FinoPaymntsBank Froud bank</t>
  </si>
  <si>
    <t>2024-03-03 10:23:10</t>
  </si>
  <si>
    <t>fino atm pin generate | a t m ka pin code kaise banaye #shorts</t>
  </si>
  <si>
    <t>2024-03-03 08:09:29</t>
  </si>
  <si>
    <t>Let's pledge to co-exist peacefully with the species we share the planet with and preserve their existence.
#FinoPaymentsBank #FikarNot #FinoBanker #DigitalBanking #SecureBanking #HarDinFino #FinoPay #WorldWildlifeDay #PlanetEarth #EcosystemRestoration #PreserveWildlife</t>
  </si>
  <si>
    <t>2024-03-03 08:00:14</t>
  </si>
  <si>
    <t>Let's pledge to co-exist peacefully with the species we share the planet with and preserve their existence.
#FinoPaymentsBank #FikarNot #FinoBanker #DigitalBanking #SecureBanking #HarDinFino #FinoPay #WorldWildlifeDay #PlanetEarth #EcosystemRestoration #PreserveWildlife https://t.co/nVVlW9Smh5</t>
  </si>
  <si>
    <t>2024-03-03 08:00:00</t>
  </si>
  <si>
    <t>fino payment bank account opening - fino bank account opening online 2024</t>
  </si>
  <si>
    <t>2024-03-03 07:39:01</t>
  </si>
  <si>
    <t>Fino wallet se account me paise kaise transfer kare | फ़िनो  वॉलेट से अकाउंट में पैसे ट्रांसफर करें</t>
  </si>
  <si>
    <t>2024-03-03 07:26:25</t>
  </si>
  <si>
    <t>Prathamesh Paddhan</t>
  </si>
  <si>
    <t>I’m happy to share that I’m starting a new position as Business Analyst at @[Fino Payments Bank Ltd](urn:li:organization:247810)!</t>
  </si>
  <si>
    <t>2024-03-03 02:29:06</t>
  </si>
  <si>
    <t>Roshan Kumar</t>
  </si>
  <si>
    <t>2024-03-03 00:56:13</t>
  </si>
  <si>
    <t>2024-03-02</t>
  </si>
  <si>
    <t>Acha h 3years sai use ker raha hu koi dekkat nhi h</t>
  </si>
  <si>
    <t>2024-03-02 23:33:56</t>
  </si>
  <si>
    <t>Dipak Luharuka kya r mera 3years sai use ker raha hai</t>
  </si>
  <si>
    <t>2024-03-02 23:33:25</t>
  </si>
  <si>
    <t>da.tta1036</t>
  </si>
  <si>
    <t>jk</t>
  </si>
  <si>
    <t>2024-03-02 23:30:08</t>
  </si>
  <si>
    <t>2024-03-02 23:12:06</t>
  </si>
  <si>
    <t>Yours_Puli</t>
  </si>
  <si>
    <t>ᴘʀᴀꜱᴀɴɴᴀ ʀᴇᴅᴅʏ ❤️🇮🇳🕉</t>
  </si>
  <si>
    <t>@FinoPaymntsBank  Finally, it's working 🤞</t>
  </si>
  <si>
    <t>2024-03-02 22:56:58</t>
  </si>
  <si>
    <t>Hyderabad,india</t>
  </si>
  <si>
    <t>Sujay  SutraDhar</t>
  </si>
  <si>
    <t>I want to express my sincere appreciation and thanks to Fino Payments Bank Ltd for recognising me ….</t>
  </si>
  <si>
    <t>2024-03-02 21:28:57</t>
  </si>
  <si>
    <t>I want to express my sincere appreciation and thanks to @[Fino Payments Bank Ltd](urn:li:organization:247810)  for recognising me ….</t>
  </si>
  <si>
    <t>2024-03-02 21:25:28</t>
  </si>
  <si>
    <t>বাবু সোনা</t>
  </si>
  <si>
    <t>Fino Payments Bank: Card</t>
  </si>
  <si>
    <t>2024-03-02 21:14:23</t>
  </si>
  <si>
    <t>Fino Payments Bank: Fino payments Bank ATM chiya</t>
  </si>
  <si>
    <t>2024-03-02 21:13:56</t>
  </si>
  <si>
    <t>Satendra Suhana</t>
  </si>
  <si>
    <t>Fino Payments Bank: 444+390  account se peisa kat Liya hai</t>
  </si>
  <si>
    <t>2024-03-02 21:13:01</t>
  </si>
  <si>
    <t>Fino Payments Bank: Please help me sir</t>
  </si>
  <si>
    <t>2024-03-02 21:11:54</t>
  </si>
  <si>
    <t>Fino Payments Bank: Hi sir Mera account se peisa kat Raha hai</t>
  </si>
  <si>
    <t>2024-03-02 21:11:34</t>
  </si>
  <si>
    <t>@FinoPaymntsBank  Hello Fino,
Am Ex Fino employee/
Customers unable to login to Fino Pay app from last 5 hours above , am personally cross checked with my own account aswell, still facing same issue ,no response Fino staff(telangana state)
It's not just for single customer, it's for many customers, do check from yours end &amp; clear the issue , don't ask customers to raise mail for this issue
Thanks in advance, I hope it will get resolved an urgent basis.</t>
  </si>
  <si>
    <t>2024-03-02 20:16:40</t>
  </si>
  <si>
    <t>rabin_kumar_95288</t>
  </si>
  <si>
    <t>❤️❤️❤️❤️</t>
  </si>
  <si>
    <t>2024-03-02 19:33:56</t>
  </si>
  <si>
    <t>SUCCESS TECH</t>
  </si>
  <si>
    <t>Fino Payment Bank Account Opening Online | Fino Payment Bank | Fino Pay</t>
  </si>
  <si>
    <t>2024-03-02 19:33:30</t>
  </si>
  <si>
    <t>Kumar Aayush</t>
  </si>
  <si>
    <t>Minimum balance 2500 kya baat hai</t>
  </si>
  <si>
    <t>2024-03-02 19:27:47</t>
  </si>
  <si>
    <t>praj_apati7266</t>
  </si>
  <si>
    <t>2024-03-02 19:09:08</t>
  </si>
  <si>
    <t>2024-03-02 19:09:05</t>
  </si>
  <si>
    <t>CYBER VLE HINDI</t>
  </si>
  <si>
    <t>INDIA POST PAYMENT BANK  PASSBOOK PRINT || INDIA POST PAYMENT BANK SOFTWARE PSD FILE PAYMENT BANK</t>
  </si>
  <si>
    <t>2024-03-02 19:01:21</t>
  </si>
  <si>
    <t>Fino payment bank Customer care number | fino payment bank complaint number</t>
  </si>
  <si>
    <t>2024-03-02 18:50:18</t>
  </si>
  <si>
    <t>@RBI 
@FBDPolice 
@FinoPaymntsBank 
Hi my fino payment bank without resn a/c freezed im not got any froud transaction amount in my bank account but freeze my account I have all profs of payment and im send profs to bank and cyber department but not unfrzing my bank 2months over</t>
  </si>
  <si>
    <t>2024-03-02 18:23:27</t>
  </si>
  <si>
    <t>atm pin kaise banaye | atm pin kaise banaye | fino atm pin generate | atm ka pin kaise banaye 2024</t>
  </si>
  <si>
    <t>2024-03-02 18:20:01</t>
  </si>
  <si>
    <t>@RBI
@FinoPaymntsBank 
@FBDPolice  
My fino payment bank account without reason freezed I have all payment profs im got any froud transaction amount in my bank account iam allrdy send all profs but solve my prblms bank and cyber crime department bot responding me im stdnt pls hlp</t>
  </si>
  <si>
    <t>2024-03-02 18:17:42</t>
  </si>
  <si>
    <t>Fino Payments Bank Distributor Point | Fino CSP point| How to become Fino Distributor details telugu</t>
  </si>
  <si>
    <t>2024-03-02 17:45:02</t>
  </si>
  <si>
    <t>Rajendra Lodhi</t>
  </si>
  <si>
    <t>Fino Payments Bank: Me fino bank I'd lena chahta hu</t>
  </si>
  <si>
    <t>2024-03-02 17:23:37</t>
  </si>
  <si>
    <t>Jyotirmay Barman</t>
  </si>
  <si>
    <t>Fino Payments Bank: Parsonal lon kab chalu hoga</t>
  </si>
  <si>
    <t>2024-03-02 17:07:47</t>
  </si>
  <si>
    <t>2024-03-02 17:07:17</t>
  </si>
  <si>
    <t>Zawaz Tech</t>
  </si>
  <si>
    <t>fino payment bank account opening|fino bank account opening online mobile|best zero balance account</t>
  </si>
  <si>
    <t>2024-03-02 17:06:08</t>
  </si>
  <si>
    <t>Rishu Tiwari</t>
  </si>
  <si>
    <t>Fino Payments Bank: Hyy</t>
  </si>
  <si>
    <t>2024-03-02 16:59:02</t>
  </si>
  <si>
    <t>Vijay Viji yes</t>
  </si>
  <si>
    <t>2024-03-02 16:29:47</t>
  </si>
  <si>
    <t>Yadav Ji thanks for your information Sir</t>
  </si>
  <si>
    <t>2024-03-02 16:28:45</t>
  </si>
  <si>
    <t>Yadav Ji</t>
  </si>
  <si>
    <t>Dhananjay Kumar G galat baat</t>
  </si>
  <si>
    <t>2024-03-02 16:24:58</t>
  </si>
  <si>
    <t>Umesh Kumar nhi bhai aisa mt bolo</t>
  </si>
  <si>
    <t>2024-03-02 16:24:46</t>
  </si>
  <si>
    <t>bittu_kumar_thakur_9572</t>
  </si>
  <si>
    <t>🔥🔥</t>
  </si>
  <si>
    <t>2024-03-02 16:24:12</t>
  </si>
  <si>
    <t>2024-03-02 16:17:10</t>
  </si>
  <si>
    <t>Fino Payments Bank: But our account not working</t>
  </si>
  <si>
    <t>2024-03-02 16:17:03</t>
  </si>
  <si>
    <t>Fino Payments Bank: I deposit money</t>
  </si>
  <si>
    <t>2024-03-02 16:16:52</t>
  </si>
  <si>
    <t>Dhananjay Kumar G</t>
  </si>
  <si>
    <t>2024-03-02 16:16:47</t>
  </si>
  <si>
    <t>Fino Payments Bank: 3 days ago</t>
  </si>
  <si>
    <t>2024-03-02 16:16:44</t>
  </si>
  <si>
    <t>Fino Payments Bank: I open a account</t>
  </si>
  <si>
    <t>2024-03-02 16:16:35</t>
  </si>
  <si>
    <t>Ɗɘvɩɭ Ɩŋsɩɗɘ Ķümàř Ùjjwàl</t>
  </si>
  <si>
    <t>Congratulations 🌺</t>
  </si>
  <si>
    <t>2024-03-02 15:44:41</t>
  </si>
  <si>
    <t>Exploration and Guidance</t>
  </si>
  <si>
    <t>Latest Job interview at Lucknow for Fino Payment Bank | Walkin for Tele Calling Executive at LKO |</t>
  </si>
  <si>
    <t>2024-03-02 15:30:58</t>
  </si>
  <si>
    <t>Mltn Marak its only for HDFC bank BC wo bhi limited options</t>
  </si>
  <si>
    <t>2024-03-02 15:07:47</t>
  </si>
  <si>
    <t>AmanSingh131917</t>
  </si>
  <si>
    <t>Aman Singh</t>
  </si>
  <si>
    <t>@FinoPaymntsBank Dear sir have 2 year old fino bank account My account blocked some reason 1 year ago. I m facing a lot of problems in taking online payment so please solve my problem as a soon possible. My account balance 13400 .</t>
  </si>
  <si>
    <t>2024-03-02 14:32:59</t>
  </si>
  <si>
    <t>Nerisse La Chouchouter</t>
  </si>
  <si>
    <t>Fino Payments Bank: Cc</t>
  </si>
  <si>
    <t>2024-03-02 14:19:12</t>
  </si>
  <si>
    <t>mansoor_i_07</t>
  </si>
  <si>
    <t>Detail deti nahin Nikal ke</t>
  </si>
  <si>
    <t>2024-03-02 13:43:45</t>
  </si>
  <si>
    <t>AL Bank support</t>
  </si>
  <si>
    <t>Kotak Mahindra Bank BC csp ID kaise lee | best Earn | कोटक बैंक सीएसपी</t>
  </si>
  <si>
    <t>2024-03-02 13:35:27</t>
  </si>
  <si>
    <t>Miraz Alam</t>
  </si>
  <si>
    <t>2024-03-02 13:33:38</t>
  </si>
  <si>
    <t>Vijay Viji</t>
  </si>
  <si>
    <t>Fino Payments Bank 8309374100</t>
  </si>
  <si>
    <t>2024-03-02 13:30:49</t>
  </si>
  <si>
    <t>2024-03-02 13:22:48</t>
  </si>
  <si>
    <t>2024-03-02 13:17:49</t>
  </si>
  <si>
    <t>Hari Ram Hari Ram</t>
  </si>
  <si>
    <t>Fino Payments Bank: Mere account ₹300 cut Gaye</t>
  </si>
  <si>
    <t>2024-03-02 13:01:16</t>
  </si>
  <si>
    <t>Ramesh Kushwaha</t>
  </si>
  <si>
    <t>Call me</t>
  </si>
  <si>
    <t>2024-03-02 12:55:00</t>
  </si>
  <si>
    <t>Ajay Gupta</t>
  </si>
  <si>
    <t>2024-03-02 12:31:01</t>
  </si>
  <si>
    <t>Shyam Jee</t>
  </si>
  <si>
    <t>2024-03-02 12:17:39</t>
  </si>
  <si>
    <t>Miraz Alam: Namaste! How can we help you ?</t>
  </si>
  <si>
    <t>2024-03-02 12:07:11</t>
  </si>
  <si>
    <t>Fino Payments Bank service no batter</t>
  </si>
  <si>
    <t>2024-03-02 12:04:16</t>
  </si>
  <si>
    <t>@rohit.__2424 Namaste! How can we help you ?</t>
  </si>
  <si>
    <t>2024-03-02 12:03:00</t>
  </si>
  <si>
    <t>2024-03-02 12:01:06</t>
  </si>
  <si>
    <t>Yogesh Shrivastav Yogi: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</si>
  <si>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2024-03-02 12:00:34</t>
  </si>
  <si>
    <t>2024-03-02 11:57:07</t>
  </si>
  <si>
    <t>On World Pi Day, lets celebrate the day remarking on the constant mathematical value!
{hashtag|\#|FinoPaymentsBank} {hashtag|\#|FikarNot} {hashtag|\#|FinoBanker} {hashtag|\#|DigitalBanking} {hashtag|\#|SecureBanking} {hashtag|\#|HarDinFino} {hashtag|\#|FinoPay} {hashtag|\#|WorldPiDay} {hashtag|\#|PiDay} {hashtag|\#|Mathematics}</t>
  </si>
  <si>
    <t>Bhusan Gupta: Namaste! How can we help you ?</t>
  </si>
  <si>
    <t>2024-03-02 11:56:30</t>
  </si>
  <si>
    <t>Bax Roky: Namaste! How can we help you ?</t>
  </si>
  <si>
    <t>2024-03-02 11:55:54</t>
  </si>
  <si>
    <t>Aashish Yadav: Namaste! How can we help you ?</t>
  </si>
  <si>
    <t>2024-03-02 11:55:43</t>
  </si>
  <si>
    <t>Aman Nagwanshi: Namaste! How can we help you ?</t>
  </si>
  <si>
    <t>2024-03-02 11:54:52</t>
  </si>
  <si>
    <t>Bax Roky   Namaste, Thanks for getting in touch. Request you to please explain the issue.</t>
  </si>
  <si>
    <t>2024-03-02 11:54:36</t>
  </si>
  <si>
    <t>2024-03-02 11:53:09</t>
  </si>
  <si>
    <t>Chhotelal Sahani</t>
  </si>
  <si>
    <t>Mere Bank me se har mahine pesa keyu kat Raha h</t>
  </si>
  <si>
    <t>2024-03-02 11:53:08</t>
  </si>
  <si>
    <t>2024-03-02 11:52:00</t>
  </si>
  <si>
    <t>Amit Kumar J: Namaste! How can we help you ?</t>
  </si>
  <si>
    <t>2024-03-02 11:51:36</t>
  </si>
  <si>
    <t>2024-03-02 11:51:25</t>
  </si>
  <si>
    <t>@TarushiNeha Namaste, Please share your query and contact number. Someone from our team will get in touch with you. Thanks!</t>
  </si>
  <si>
    <t>2024-03-02 11:51:12</t>
  </si>
  <si>
    <t>@funny_moj Namaste, Please share your query and contact number. Someone from our team will get in touch with you. Thanks!</t>
  </si>
  <si>
    <t>2024-03-02 11:49:37</t>
  </si>
  <si>
    <t>Mltn Marak   Namaste, Please share your query and contact number. Someone from our team will get in touch with you. Thanks!</t>
  </si>
  <si>
    <t>2024-03-02 11:49:10</t>
  </si>
  <si>
    <t>Bax Roky   Namaste! How can we help you ?</t>
  </si>
  <si>
    <t>2024-03-02 11:48:49</t>
  </si>
  <si>
    <t>2024-03-02 11:48:30</t>
  </si>
  <si>
    <t>@ankur___________________gurjar Namaste, Please share your query and contact number. Someone from our team will get in touch with you. Thanks!</t>
  </si>
  <si>
    <t>2024-03-02 11:48:13</t>
  </si>
  <si>
    <t>2024-03-02 11:47:55</t>
  </si>
  <si>
    <t>SonuKumar SonuKumar   Namaste! How can we help you ?</t>
  </si>
  <si>
    <t>2024-03-02 11:47:03</t>
  </si>
  <si>
    <t>2024-03-02 11:46:45</t>
  </si>
  <si>
    <t>@rajesh86434 Namaste! How can we help you ?</t>
  </si>
  <si>
    <t>2024-03-02 11:45:38</t>
  </si>
  <si>
    <t>Dharmendra Prajapati</t>
  </si>
  <si>
    <t>Fino Payments Bank: Help</t>
  </si>
  <si>
    <t>2024-03-02 11:44:51</t>
  </si>
  <si>
    <t>2024-03-02 11:44:37</t>
  </si>
  <si>
    <t>Fino Payments Bank: Fino payment Bank kaha per hai Gwalior mein</t>
  </si>
  <si>
    <t>2024-03-02 11:44:18</t>
  </si>
  <si>
    <t>Rajendra Lodhi: Namaste! How can we help you ?</t>
  </si>
  <si>
    <t>2024-03-02 11:43:06</t>
  </si>
  <si>
    <t>Chhotelal Sahani   Namaste! How can we help you ?</t>
  </si>
  <si>
    <t>2024-03-02 11:42:28</t>
  </si>
  <si>
    <t>বাবু সোনা: Namaste! How can we help you ?</t>
  </si>
  <si>
    <t>2024-03-02 11:42:09</t>
  </si>
  <si>
    <t>Fino Payments Bank: Fino payment Bank kaha per hai</t>
  </si>
  <si>
    <t>2024-03-02 11:41:43</t>
  </si>
  <si>
    <t>Shailendra Singh   Namaste, Thank you for your interest in Fino Payments Bank. Please visit our website or call us on 022 6868 1414 to know more about our products and services. https://www.finobank.com/</t>
  </si>
  <si>
    <t>2024-03-02 11:41:42</t>
  </si>
  <si>
    <t>2024-03-02 11:41:27</t>
  </si>
  <si>
    <t>Dharmendra Prajapati: Namaste! How can we help you ?</t>
  </si>
  <si>
    <t>2024-03-02 11:40:50</t>
  </si>
  <si>
    <t>@satyanarayan.meena.980967 Hi Sir, Please call in help desk number- 022 6868 1414</t>
  </si>
  <si>
    <t>2024-03-02 11:39:22</t>
  </si>
  <si>
    <t>Seeking Lord Shivas blessings on the auspicious festival of Maha Shivratri. Fino wishes all devotees a Happy Maha Shivaratri.
{hashtag|\#|FinoPaymentsBank} {hashtag|\#|FikarNot} {hashtag|\#|FinoBanker} {hashtag|\#|DigitalBanking} {hashtag|\#|SecureBanking} {hashtag|\#|HarDinFino} {hashtag|\#|FinoPay} {hashtag|\#|MahaShivratriFestival} {hashtag|\#|MahaShivratri} {hashtag|\#|LordShiva} {hashtag|\#|HappyMahaShivratri} {hashtag|\#|IndianFestival}</t>
  </si>
  <si>
    <t>2024-03-02 11:39:10</t>
  </si>
  <si>
    <t>2024-03-02 11:36:30</t>
  </si>
  <si>
    <t>2024-03-02 11:36:13</t>
  </si>
  <si>
    <t>2024-03-02 11:35:33</t>
  </si>
  <si>
    <t>2024-03-02 11:35:10</t>
  </si>
  <si>
    <t>2024-03-02 11:33:44</t>
  </si>
  <si>
    <t>Narsh Kumr   Namaste! How can we help you ?</t>
  </si>
  <si>
    <t>2024-03-02 11:33:14</t>
  </si>
  <si>
    <t>Lets pledge to co-exist peacefully with the species we share the planet with and preserve their existence.
{hashtag|\#|FinoPaymentsBank} {hashtag|\#|FikarNot} {hashtag|\#|FinoBanker} {hashtag|\#|DigitalBanking} {hashtag|\#|SecureBanking} {hashtag|\#|HarDinFino} {hashtag|\#|FinoPay} {hashtag|\#|WorldWildlifeDay} {hashtag|\#|PlanetEarth} {hashtag|\#|EcosystemRestoration} {hashtag|\#|PreserveWildlife}</t>
  </si>
  <si>
    <t>2024-03-02 11:27:53</t>
  </si>
  <si>
    <t>2024-03-02 11:11:44</t>
  </si>
  <si>
    <t>Narsh Kumr</t>
  </si>
  <si>
    <t>Hlo</t>
  </si>
  <si>
    <t>2024-03-02 10:45:16</t>
  </si>
  <si>
    <t>@DyCMGoUP @kpmaurya1 @PMOIndia @BJP4India @BJP4UP @UPGovt @OfficeOfKPM @UpRuralDev Bc sakhi aatmnirbhar nhi balki karjdaar ho gayi h Fino Payments bank Pvt 
Account opening charge 250 Rupay par year  
Leta h zero balance account par
Ye fayda bc sakhi ko nhi Fino Payments bank ko Hoti h</t>
  </si>
  <si>
    <t>2024-03-02 10:44:03</t>
  </si>
  <si>
    <t>@FinoPaymntsBank जीरो बैलेंस वाला एकाउंट ओपन करते हो और साल का 450 चार्ज लेते हो। ये पहले क्यो नही बताते हो?</t>
  </si>
  <si>
    <t>2024-03-02 08:01:45</t>
  </si>
  <si>
    <t>Yadav Ji kiyu</t>
  </si>
  <si>
    <t>2024-03-02 06:54:51</t>
  </si>
  <si>
    <t>monuchoudhary_jat</t>
  </si>
  <si>
    <t>o balance hai kya</t>
  </si>
  <si>
    <t>2024-03-02 04:49:18</t>
  </si>
  <si>
    <t>विशाल तिवारी</t>
  </si>
  <si>
    <t>2024-03-02 03:51:24</t>
  </si>
  <si>
    <t>Arbind Lakra</t>
  </si>
  <si>
    <t>2024-03-02 00:51:19</t>
  </si>
  <si>
    <t>2024-03-01</t>
  </si>
  <si>
    <t>Mohan Lal Das</t>
  </si>
  <si>
    <t xml:space="preserve">It’s been a while since I started my role at @[Fino Payments Bank Ltd](urn:li:organization:247810) as a Customer Relationship Officer , but I wanted to share this update with everyone. </t>
  </si>
  <si>
    <t>2024-03-01 23:32:14</t>
  </si>
  <si>
    <t>PRATIK SHRIMALI</t>
  </si>
  <si>
    <t>Congratulations</t>
  </si>
  <si>
    <t>2024-03-01 23:31:14</t>
  </si>
  <si>
    <t>Śurojit Maitĭ</t>
  </si>
  <si>
    <t>Congratulations🎉🥳👏</t>
  </si>
  <si>
    <t>2024-03-01 23:10:45</t>
  </si>
  <si>
    <t>Rahul Parashar</t>
  </si>
  <si>
    <t>Bekar bank</t>
  </si>
  <si>
    <t>2024-03-01 23:01:12</t>
  </si>
  <si>
    <t>i_am_grv_</t>
  </si>
  <si>
    <t>chor bank 5000 complain isse bta ke khaa gaye koi reply ni deta custmor time pass krta or koi bt pucho kahte hum kuch ni kar sakte kar ni sakte to custmer care kiss baat ke ghatiya bank india ka no.1 galti thi isme kholna meri dosto ka bhi khulwaya ab sabka 0 krwa ke account band karne ko bolege pta ni kiske paise khaaye fr jawab hi ni de bank aisa h ye</t>
  </si>
  <si>
    <t>2024-03-01 21:33:06</t>
  </si>
  <si>
    <t>Ramesh Jaiswal</t>
  </si>
  <si>
    <t>Congratulations 🥂sir</t>
  </si>
  <si>
    <t>2024-03-01 21:25:36</t>
  </si>
  <si>
    <t>Ghatiya,aur chor bank</t>
  </si>
  <si>
    <t>2024-03-01 21:23:58</t>
  </si>
  <si>
    <t>Fino Mitra Commission Slab 2024 ? सभी कमीशन ? Fino Payment Bank Mitra Commission ? Fino Commission</t>
  </si>
  <si>
    <t>2024-03-01 20:21:51</t>
  </si>
  <si>
    <t>fino payment bank account opening, fino payment bank csp, fino payment bank account opening under 18</t>
  </si>
  <si>
    <t>2024-03-01 19:54:15</t>
  </si>
  <si>
    <t>Bhavishya Savings Account ke saath milta hai scholarship aur dusre benefit seedhe account mein. Account kholne ke liye missed call dein 7877788977 par.
#FinoPaymentsBank #FikarNot #FinoBanker #DigitalBanking #SecureBanking #AccountOpening #SavingsAccount #SecureYourFuture https://t.co/FsSJlf3kfU</t>
  </si>
  <si>
    <t>2024-03-01 19:52:02</t>
  </si>
  <si>
    <t>Your FinoPay app comes with the facility to open a FinoPay Savings Account too. Go ahead, open one, and enjoy great benefits! Download FinoPay now!
#FinoPaymentsBank #FikarNot #FinoBanker #DigitalBanking #SecureBanking #HarDinFino #FinoPay #Download #DownloadNow #UPITransactions https://t.co/S9aBXRIG0H</t>
  </si>
  <si>
    <t>2024-03-01 19:51:51</t>
  </si>
  <si>
    <t>Apoorv Gosalpuria</t>
  </si>
  <si>
    <t>Congratulations Team Fino</t>
  </si>
  <si>
    <t>2024-03-01 18:58:24</t>
  </si>
  <si>
    <t>Mltn Marak kabhi nhi milega</t>
  </si>
  <si>
    <t>2024-03-01 18:44:21</t>
  </si>
  <si>
    <t>@user-gj5xb3ko2n</t>
  </si>
  <si>
    <t>How much the process time fro merchant id sir, i complete process but still i not receive id password.</t>
  </si>
  <si>
    <t>2024-03-01 18:42:53</t>
  </si>
  <si>
    <t>Sir, i take merchant id from fino. But i completed full process on fed 23 2024 but don't revice ani message still 1 march. How much time will be taken.</t>
  </si>
  <si>
    <t>2024-03-01 18:25:10</t>
  </si>
  <si>
    <t>satyanarayan.meena.980967</t>
  </si>
  <si>
    <t>Fino Bank IFSC code chahie</t>
  </si>
  <si>
    <t>2024-03-01 18:08:10</t>
  </si>
  <si>
    <t>Pashupati Nath Prasad</t>
  </si>
  <si>
    <t>Age se new ac khul raha h or pichhe se sab SB ac or ca ac band ho raha h mantenence charge me sab ac mainac me h</t>
  </si>
  <si>
    <t>2024-03-01 17:52:04</t>
  </si>
  <si>
    <t>Bahut bekar fino payments bank h</t>
  </si>
  <si>
    <t>2024-03-01 17:50:23</t>
  </si>
  <si>
    <t>Bahut bekar service h fino ka koi camplen sunta nahi h bihar me am.zm.yaha tak ki state head bhi</t>
  </si>
  <si>
    <t>2024-03-01 17:50:03</t>
  </si>
  <si>
    <t>Forum of Industry and Academic Knowledge Sharing</t>
  </si>
  <si>
    <t>FIAKS Infographics: Total Number of Micro ATMs deployed by Indian Banks
Reserve bank of india NSDL Payments Bank Fino Payments Bank India Post Payments Bank Airtel Payments Bank YES BANK City Union Bank Ltd State Bank of India Bank of Baroda Bank of India Canara Bank
Padmaja Chunduru Rishi Gupta Venkatram Jayanthy Anubrata Biswas Prashant Kumar Dr N Kamakodi Dinesh Kumar Khara Debadatta Chand Rajneesh Karnatak K. Satyanarayana Raju
Forum of Industry and Academic Knowledge Sharing Anuradha Panditrao
#FIAKS #infographics #microatms #banks</t>
  </si>
  <si>
    <t>2024-03-01 17:36:05</t>
  </si>
  <si>
    <t>fiaks4knowledge</t>
  </si>
  <si>
    <t>FIAKS</t>
  </si>
  <si>
    <t>@RBI @nsdlpb @FinoPaymntsBank @IPPBOnline @airtelbank @YESBANK @cubltd @TheOfficialSBI  @bankofbaroda @BankofIndia_IN @canarabank</t>
  </si>
  <si>
    <t>2024-03-01 17:35:52</t>
  </si>
  <si>
    <t>raihimanshu_up50</t>
  </si>
  <si>
    <t>@alone_boyy___11 yes</t>
  </si>
  <si>
    <t>2024-03-01 17:35:48</t>
  </si>
  <si>
    <t>2024-03-01 17:35:41</t>
  </si>
  <si>
    <t>raaz_bante_king</t>
  </si>
  <si>
    <t>2024-03-01 17:33:45</t>
  </si>
  <si>
    <t>Your FinoPay app comes with the facility to open a FinoPay Savings Account too. Go ahead, open one, and enjoy great benefits! Download FinoPay now!
#FinoPaymentsBank #FikarNot #FinoBanker #DigitalBanking #SecureBanking #HarDinFino #FinoPay #Download #DownloadNow #UPITransactions #OneAppForAll</t>
  </si>
  <si>
    <t>2024-03-01 17:01:20</t>
  </si>
  <si>
    <t>2024-03-01 17:01:14</t>
  </si>
  <si>
    <t>2024-03-01 17:00:00</t>
  </si>
  <si>
    <t>Fino Exclusive Banking Point _ Hindi | Fino Nadia distributor</t>
  </si>
  <si>
    <t>2024-03-01 16:33:54</t>
  </si>
  <si>
    <t>Devid Sharma</t>
  </si>
  <si>
    <t>Bad service</t>
  </si>
  <si>
    <t>2024-03-01 16:00:30</t>
  </si>
  <si>
    <t>fino wallet se account me paise kaise transfer kare | Fino वॉलेट से अकाउंट में पैसे ट्रांसफर करें</t>
  </si>
  <si>
    <t>2024-03-01 16:00:20</t>
  </si>
  <si>
    <t>2024-03-01 14:12:12</t>
  </si>
  <si>
    <t>2024-03-01 14:12:00</t>
  </si>
  <si>
    <t>2024-03-01 14:11:52</t>
  </si>
  <si>
    <t>Manjri Harish</t>
  </si>
  <si>
    <t>2024-03-01 14:00:46</t>
  </si>
  <si>
    <t xml:space="preserve">Nitin Giri </t>
  </si>
  <si>
    <t>Fino Bank CSP Investment Details ⚡ #business #makemoneyonline  #explore</t>
  </si>
  <si>
    <t>2024-03-01 14:00:02</t>
  </si>
  <si>
    <t>Pramod Sonwane</t>
  </si>
  <si>
    <t>Congrats Sir.... Superb</t>
  </si>
  <si>
    <t>2024-03-01 12:20:20</t>
  </si>
  <si>
    <t>Fino atm pin generate | fino payment bank atm pin generation | fino bank atm pin generation #shorts</t>
  </si>
  <si>
    <t>2024-03-01 12:08:52</t>
  </si>
  <si>
    <t>Account opening charge</t>
  </si>
  <si>
    <t>2024-03-01 12:05:52</t>
  </si>
  <si>
    <t>anujmis14248612</t>
  </si>
  <si>
    <t>anuj mishra</t>
  </si>
  <si>
    <t>@FinoPaymntsBank आप की कस्टमर के प्रति जिम्मेदारी सही नही है। कस्टमर केयर का नंबर लगता नही है और ग्राहक परेशान रहता है।
कही आप का भी पेटीएम वाला हाल ना हो जाए।</t>
  </si>
  <si>
    <t>2024-03-01 11:42:28</t>
  </si>
  <si>
    <t>hardoiwale_dist</t>
  </si>
  <si>
    <t>Arpit trivedi</t>
  </si>
  <si>
    <t>@FinoPaymntsBank 
Pls unfreeze my account without any reason freeze my account I have already given to application brance but no unfreeze account till kindly check and update why was my account freeze https://t.co/AVVK7sGUAi</t>
  </si>
  <si>
    <t>2024-03-01 11:27:01</t>
  </si>
  <si>
    <t>FINOPAYMENTBANKTAMILNADU-SRBFINTECHDIGITALSERVISES</t>
  </si>
  <si>
    <t>FINO PAYMENT BANK</t>
  </si>
  <si>
    <t>2024-03-01 10:22:07</t>
  </si>
  <si>
    <t>2024-03-01 10:09:54</t>
  </si>
  <si>
    <t>2024-03-01 10:06:37</t>
  </si>
  <si>
    <t>2024-03-01 10:06:27</t>
  </si>
  <si>
    <t>Gr8AdvisorIN</t>
  </si>
  <si>
    <t>Indian</t>
  </si>
  <si>
    <t>@Mitesh_Engr Bold calls for 2024 :
@YESBANK to acquire @PaytmBank benefit @Paytm .
@HDFC_Bank will start posting good results as rate cycle turns @pgcilindia INVIt will again touch 125rs and REIT rise .
NBFC like @FinoPaymntsBank will get banking license with @PiramalGroup .
Wilmar and NDTV!</t>
  </si>
  <si>
    <t>2024-03-01 09:33:33</t>
  </si>
  <si>
    <t>@PRSundar64 Bold calls for 2024 :
@YESBANK to acquire @PaytmBank benefit @Paytm .
@HDFC_Bank will start posting good results as rate cycle turns @pgcilindia INVIt will again touch 125rs and REIT rise .
NBFC like @FinoPaymntsBank will get banking license with @PiramalGroup .
Wilmar and NDTV!</t>
  </si>
  <si>
    <t>2024-03-01 09:33:16</t>
  </si>
  <si>
    <t>@nakulvibhor Bold calls for 2024 :
@YESBANK to acquire @PaytmBank benefit @Paytm .
@HDFC_Bank will start posting good results as rate cycle turns @pgcilindia INVIt will again touch 125rs and REIT rise .
NBFC like @FinoPaymntsBank will get banking license with @PiramalGroup .
Wilmar and NDTV!</t>
  </si>
  <si>
    <t>2024-03-01 09:32:54</t>
  </si>
  <si>
    <t>@rishibagree @varinder_bansal Bold calls for 2024 :
@YESBANK to acquire @PaytmBank benefit @Paytm .
@HDFC_Bank will start posting good results as rate cycle turns @pgcilindia INVIt will again touch 125rs and REIT rise .
NBFC like @FinoPaymntsBank will get banking license with @PiramalGroup .
Wilmar and NDTV!</t>
  </si>
  <si>
    <t>2024-03-01 09:32:29</t>
  </si>
  <si>
    <t>Bold calls for 2024 :
@YESBANK to acquire @PaytmBank benefit @Paytm .
@HDFC_Bank will start posting good results as rate cycle turns @pgcilindia INVIt will again touch 125rs and REIT rise .
NBFC like @FinoPaymntsBank will get banking license with @PiramalGroup .
Wilmar and NDTV!</t>
  </si>
  <si>
    <t>2024-03-01 09:30:23</t>
  </si>
  <si>
    <t>Anaviya Naaz</t>
  </si>
  <si>
    <t>Fino bank account opening #painti</t>
  </si>
  <si>
    <t>2024-03-01 08:51:30</t>
  </si>
  <si>
    <t>Aditya Marwah</t>
  </si>
  <si>
    <t>👍</t>
  </si>
  <si>
    <t>2024-03-01 08:28:26</t>
  </si>
  <si>
    <t>DBT/DBTL GOVT. MONEY RECEIVED FINO PAYMENTS BANK, DEPOSIT APBS CREDIT BALANCE, MANREGA AMOUNT CREDIT</t>
  </si>
  <si>
    <t>2024-03-01 07:33:45</t>
  </si>
  <si>
    <t>2024-03-01 07:19:04</t>
  </si>
  <si>
    <t>लोन💰 Fino 🆔 से दो लाखो रुपए 💸 महीना कमाओ। fino 🆔 se Loan kaise le ।। fino csp 🆔 kaise milega 2024</t>
  </si>
  <si>
    <t>2024-03-01 07:00:08</t>
  </si>
  <si>
    <t>Ramesh Narasimhan</t>
  </si>
  <si>
    <t>Congratulations Ketan 👌</t>
  </si>
  <si>
    <t>2024-03-01 07:00:01</t>
  </si>
  <si>
    <t>babu_anshu_s_7777</t>
  </si>
  <si>
    <t>Got h</t>
  </si>
  <si>
    <t>2024-03-01 01:35:23</t>
  </si>
  <si>
    <t>@kakodiya_sonu267  bhai</t>
  </si>
  <si>
    <t>2024-03-01 01:35:19</t>
  </si>
  <si>
    <t>2024-02-29</t>
  </si>
  <si>
    <t>acscseva</t>
  </si>
  <si>
    <t>Ananya Priya Associates</t>
  </si>
  <si>
    <t>@FinoPaymntsBank @RBI
नमस्ते फिनो बैंक में फिनो बैंक का डिस्ट्रीब्यूटर हूं और मेरा मर्चेंट आईडी में डेबिट एण्ड क्रेडिट बोथ रिएक्ट्रेक्शन लगा है इस समस्या को मर्चेंट सपोर्ट और फीनो ब्रांच दोनो जगह कंप्लेन डाले है और अभी तक मेरा समस्या का समाधान नहीं हुआ है B,C I'd 115691234013 https://t.co/jYgI9VG7Jl</t>
  </si>
  <si>
    <t>2024-02-29 23:32:07</t>
  </si>
  <si>
    <t>Hasanpur, samastipur bihar</t>
  </si>
  <si>
    <t>FINO PAYMENT BANK BC POINT AVAILABLE ALL DEVICESAVAILABLE கைரேகைவைத்துபணம் எடுக்கும்🆔call 9361602307</t>
  </si>
  <si>
    <t>2024-02-29 23:09:02</t>
  </si>
  <si>
    <t>Anuj Pathak</t>
  </si>
  <si>
    <t>Congratulations Dear Sir</t>
  </si>
  <si>
    <t>2024-02-29 23:00:27</t>
  </si>
  <si>
    <t>Mohini Kalaskar</t>
  </si>
  <si>
    <t xml:space="preserve">Heartiest congratulations Ketan  Sir </t>
  </si>
  <si>
    <t>2024-02-29 22:35:30</t>
  </si>
  <si>
    <t>Mujaffar Ansari</t>
  </si>
  <si>
    <t>Congratulations 🎊</t>
  </si>
  <si>
    <t>2024-02-29 22:32:22</t>
  </si>
  <si>
    <t>rajesh86434</t>
  </si>
  <si>
    <t>Hello hii</t>
  </si>
  <si>
    <t>2024-02-29 21:58:37</t>
  </si>
  <si>
    <t>shalinimis84704</t>
  </si>
  <si>
    <t>shalini mishra</t>
  </si>
  <si>
    <t>@EsapiSi6243 @ABPNews @AmitShahOffice @BJP4India @Republic_Bharat @CMOfficeUP @dgpup @PMOIndia @narendramodi @dmsultanpur @myogiadityanath ये तो आम बात है लगभग हर जीले हर कम्पनी वालों का यही दबाव है ना करने पर काम से निकालने की धमकी आए दिन लगता है आदमी डिपरेशन का शिकार हो जाएगा @UnionBankTweets @FinoPaymntsBank</t>
  </si>
  <si>
    <t>2024-02-29 21:53:32</t>
  </si>
  <si>
    <t>Ravi Gatla</t>
  </si>
  <si>
    <t>Congratulations Sir</t>
  </si>
  <si>
    <t>2024-02-29 21:36:12</t>
  </si>
  <si>
    <t>LalbabuCha47262</t>
  </si>
  <si>
    <t>Lalbabu Chaurasiya</t>
  </si>
  <si>
    <t>2024-02-29 21:35:14</t>
  </si>
  <si>
    <t>SantoshDub37509</t>
  </si>
  <si>
    <t>Santosh Dubey</t>
  </si>
  <si>
    <t>2024-02-29 20:30:12</t>
  </si>
  <si>
    <t>Manish M.</t>
  </si>
  <si>
    <t>Congratulations sir</t>
  </si>
  <si>
    <t>2024-02-29 20:10:10</t>
  </si>
  <si>
    <t>Congratulations Ketan Merchant Sir 💐</t>
  </si>
  <si>
    <t>2024-02-29 20:06:29</t>
  </si>
  <si>
    <t>BAIJNATHPA90128</t>
  </si>
  <si>
    <t>BAIJNATH PATHAK</t>
  </si>
  <si>
    <t>2024-02-29 19:47:21</t>
  </si>
  <si>
    <t>Anantsriva11680</t>
  </si>
  <si>
    <t>Anant srivastava</t>
  </si>
  <si>
    <t>2024-02-29 19:47:14</t>
  </si>
  <si>
    <t>Fino atm pin generate | fino payment bank atm pin generation | fino bank atm pin generation 2024</t>
  </si>
  <si>
    <t>2024-02-29 19:45:32</t>
  </si>
  <si>
    <t>Pravin Sapkal</t>
  </si>
  <si>
    <t>Congratulations...</t>
  </si>
  <si>
    <t>2024-02-29 19:14:21</t>
  </si>
  <si>
    <t>@FinoPaymntsBank Ordered for 10pc Savings Account combo welcome kit on 7th feb via fino kosh, but still not received...</t>
  </si>
  <si>
    <t>2024-02-29 18:55:01</t>
  </si>
  <si>
    <t>rb_Prajapati_EF</t>
  </si>
  <si>
    <t>EF R B Prajapati 🅰️🅱️</t>
  </si>
  <si>
    <t>Immensely pleased to share that Mr. Ketan Merchant, CFO, Fino Payments Bank has been honoured with the "Best CFO-Financial Innovation" Award at the recently held ASSOCHAM 2nd Vibrant Bharat CFO event in New Delhi.
#DigitalBanking #Innovation #FikarNot https://t.co/SWTbmPE4VB</t>
  </si>
  <si>
    <t>2024-02-29 18:44:38</t>
  </si>
  <si>
    <t>Die-hard fan of sh amitabh ji</t>
  </si>
  <si>
    <t>SonuKumar SonuKumar</t>
  </si>
  <si>
    <t>2024-02-29 18:39:47</t>
  </si>
  <si>
    <t>Aminul Haque</t>
  </si>
  <si>
    <t>2024-02-29 18:38:20</t>
  </si>
  <si>
    <t>Jagan Jagan</t>
  </si>
  <si>
    <t>Congratulations 🥂 sir</t>
  </si>
  <si>
    <t>2024-02-29 18:38:17</t>
  </si>
  <si>
    <t>ankur___________________gurjar</t>
  </si>
  <si>
    <t>Customer call Biji kyon bata raha hai</t>
  </si>
  <si>
    <t>2024-02-29 18:37:34</t>
  </si>
  <si>
    <t>Customer call Biji bata raha hai call nahi lag raha please help</t>
  </si>
  <si>
    <t>2024-02-29 18:36:23</t>
  </si>
  <si>
    <t>funny_moj</t>
  </si>
  <si>
    <t>Mohammed Nafis</t>
  </si>
  <si>
    <t>@FinoPaymntsBank Is Not Good</t>
  </si>
  <si>
    <t>2024-02-29 18:35:37</t>
  </si>
  <si>
    <t>Bengaluru, india</t>
  </si>
  <si>
    <t>Kalpesh Shah</t>
  </si>
  <si>
    <t>2024-02-29 18:26:41</t>
  </si>
  <si>
    <t>2024-02-29 18:17:12</t>
  </si>
  <si>
    <t>Meghalaya me kab branch kholega aur mera Id bhi tik nahi kya hai sir</t>
  </si>
  <si>
    <t>2024-02-29 18:07:43</t>
  </si>
  <si>
    <t>Ranjit Singh</t>
  </si>
  <si>
    <t>My number statement 3 month old</t>
  </si>
  <si>
    <t>2024-02-29 17:55:18</t>
  </si>
  <si>
    <t>@FinoPaymntsBank 2000 ‌रुपये खाते से निकासी होगया और मुझे नहीं मिला है</t>
  </si>
  <si>
    <t>2024-02-29 17:35:57</t>
  </si>
  <si>
    <t>Bhavishya Savings Account ke saath milta hai scholarship aur dusre benefit seedhe account mein. Account kholne ke liye missed call dein 7877788977 par.
#FinoPaymentsBank #FikarNot #FinoBanker #DigitalBanking #SecureBanking #HarDinFino #FinoPay #AccountOpening #SavingsAccount #SecureYourFuture</t>
  </si>
  <si>
    <t>2024-02-29 17:00:10</t>
  </si>
  <si>
    <t>2024-02-29 17:00:00</t>
  </si>
  <si>
    <t>Innovation is at the core of Fino Payments Bank's business model resulting in its sustained growth and profitability. When efforts are recognized it's a matter of great pride. Immensely pleased to share that Mr. Ketan Merchant, CFO has been honoured with the "Best CFO-Financial Innovation" Award at the recently held ASSOCHAM 2nd Vibrant Bharat CFO event in New Delhi. 
Thanks for the recognition ASSOCHAM! 
Congratulations to Mr. Ketan Merchant and Team Fino!!
#FinoPaymentsBank #FikarNot #FinoBanker #DigitalBanking #SecureBanking #HarDinFino #FinoPay
Innovation is at the core of Fino Payments Bank's business model resulting in its sustained growth and profitability. When efforts are recognized it's a matter of great pride. Immensely pleased to share that Mr. Ketan Merchant, CFO has been honoured with the "Best CFO-Financial Innovation" Award at the recently held ASSOCHAM 2nd Vibrant Bharat CFO event in New Delhi. 
Thanks for the recognition ASSOCHAM! 
Congratulations to Mr. Ketan Merchant and Team Fino!!
#FinoPaymentsBank #FikarNot #FinoBanker #DigitalBanking #SecureBanking #HarDinFino #FinoPay</t>
  </si>
  <si>
    <t>2024-02-29 16:38:34</t>
  </si>
  <si>
    <t>2024-02-29 16:35:11</t>
  </si>
  <si>
    <t>Innovation is at the core of Fino Payments Banks business model resulting in its sustained growth and profitability. When efforts are recognized its a matter of great pride. Immensely pleased to share that Mr. @[Ketan Merchant](urn:li:person:YoARpbVmgz), CFO, Fino Payments Bank has been honoured with the "Best CFO-Financial Innovation" Award at the recently held ASSOCHAM 2nd Vibrant Bharat CFO event in New Delhi.
Thanks for the recognition @[ASSOCHAM \(The Associated Chambers of Commerce and Industry of India\)](urn:li:organization:14627231)!
Congratulations to Mr. Ketan Merchant andTeam Fino!!
@[Rishi Gupta](urn:li:person:EnpO49orWl) @[Ashish Ahuja](urn:li:person:Cpt8ThVrZf) @[Shailesh Pandey](urn:li:person:q0QI5q5ARc) @[Tejas Maniar](urn:li:person:YrExoGqq8J)
{hashtag|\#|DigitalBanking} {hashtag|\#|SecureBanking} {hashtag|\#|FikarNot}</t>
  </si>
  <si>
    <t>2024-02-29 16:26:33</t>
  </si>
  <si>
    <t>Ghanshyam Sain</t>
  </si>
  <si>
    <t>2024-02-29 16:02:56</t>
  </si>
  <si>
    <t>2024-02-29 16:00:09</t>
  </si>
  <si>
    <t>Atmnirbharhoon</t>
  </si>
  <si>
    <t>इमरान भारतीय</t>
  </si>
  <si>
    <t>2024-02-29 15:24:00</t>
  </si>
  <si>
    <t>TarushiNeha</t>
  </si>
  <si>
    <t>NEHA GUPTA</t>
  </si>
  <si>
    <t>Hi Fino Bank, There was a wrong crédit to one on your A/C holders,as u r benificiary ur persual to the matter is imp for amt reversal to the source. Pls corporate with sbi.03265@sbi.co.in, have mailed you the issue with relevant détails on customercare @FINOBANK @FinoPaymntsBank</t>
  </si>
  <si>
    <t>2024-02-29 13:42:51</t>
  </si>
  <si>
    <t>Amit Kumar J</t>
  </si>
  <si>
    <t>2024-02-29 13:02:51</t>
  </si>
  <si>
    <t>Sagar Patil</t>
  </si>
  <si>
    <t>2024-02-29 11:37:24</t>
  </si>
  <si>
    <t>TinkuYadav9334</t>
  </si>
  <si>
    <t>Tinku Yadav</t>
  </si>
  <si>
    <t>@FinoPaymntsBank I want to be a fino payment Bank bc distributor retailer please call me back on this number 9334023154 and support me</t>
  </si>
  <si>
    <t>2024-02-29 11:19:39</t>
  </si>
  <si>
    <t xml:space="preserve">Purnia </t>
  </si>
  <si>
    <t>QM-FINO-E665</t>
  </si>
  <si>
    <t>Ladu bink hy</t>
  </si>
  <si>
    <t>2024-02-29 09:39:39</t>
  </si>
  <si>
    <t>@user-jh1ko8nz3u</t>
  </si>
  <si>
    <t>Fino payment Bank aeps me kiyu nahi dikha ta</t>
  </si>
  <si>
    <t>2024-02-29 07:27:36</t>
  </si>
  <si>
    <t>DocuRm48398</t>
  </si>
  <si>
    <t>Rm Docu</t>
  </si>
  <si>
    <t>@Madhusu12176805 @TheOfficialSBI @PaytmBank Fino</t>
  </si>
  <si>
    <t>2024-02-29 00:59:11</t>
  </si>
  <si>
    <t xml:space="preserve">India </t>
  </si>
  <si>
    <t>2024-02-28</t>
  </si>
  <si>
    <t>Hello,fino team,I open a  account and deposit money, but I not use this money, what is this</t>
  </si>
  <si>
    <t>2024-02-28 23:15:29</t>
  </si>
  <si>
    <t>Aman Nagwanshi</t>
  </si>
  <si>
    <t>2024-02-28 22:28:58</t>
  </si>
  <si>
    <t>2024-02-28 22:18:20</t>
  </si>
  <si>
    <t>Fino Payments Bank: 👌</t>
  </si>
  <si>
    <t>2024-02-28 22:05:14</t>
  </si>
  <si>
    <t>Rajveersingh Rajput</t>
  </si>
  <si>
    <t>💯💯💥 आपको सफलता पानी है तो YOUTAG को करना ही पड़ेगा और अमीर को अमीर बनाने का बहुत सारे तरीके हैं
 💥💯💯✈️लेकिन गरीब को अमीर बनाने का एक ही तरीका है वह है YOUTAG👇🏻👇🏻👇🏻👇🏻
तो सोचिये नहीं, तुरन्त ज्वाइन कीजिये 👇🏻👇🏻IInstall YOUTAG BIZ and get Registered Using My ID:-11389854 to Get Registration Benefit
https://play.google.com/store/apps/details?id=com.youtagindia.business&amp;amp;referrer=utm_source%3Dgoogle%26utm_campaign%3D11389854
My I'd.11389854
Whats app no.  083194 88589 
#youtagbusiness #reel #fbreels #Youtagindia #fbreelsvideo #youtagfamily #YoutagCMD #mlm2024 #5kfollowers #lovelife #highlights #onlinebusiness #SonuSood Fino Payments Bank jobs in Delhi 
   @highlightDeveshShukla</t>
  </si>
  <si>
    <t>2024-02-28 21:57:34</t>
  </si>
  <si>
    <t>Aashish Yadav</t>
  </si>
  <si>
    <t>2024-02-28 21:30:26</t>
  </si>
  <si>
    <t>2024-02-28 21:17:17</t>
  </si>
  <si>
    <t>2024-02-28 21:17:09</t>
  </si>
  <si>
    <t>Bhusan Gupta</t>
  </si>
  <si>
    <t>Fino Payments Bank: Hiii</t>
  </si>
  <si>
    <t>2024-02-28 21:09:50</t>
  </si>
  <si>
    <t>Fino Payments Bank: Hioo</t>
  </si>
  <si>
    <t>2024-02-28 21:09:48</t>
  </si>
  <si>
    <t>Fino Payments Bank: फिनो पेमेंट बैंक आईडी बंद हो गई है क्या करे</t>
  </si>
  <si>
    <t>2024-02-28 20:57:10</t>
  </si>
  <si>
    <t>Amit Kumar</t>
  </si>
  <si>
    <t xml:space="preserve">I am looking for job to join organisation such as fintech industry.
current designation -sales associate
location -Hisar
PayNearby Spice Money Fino Payments Bank Ltd Airtel Payments Bank </t>
  </si>
  <si>
    <t>2024-02-28 18:36:11</t>
  </si>
  <si>
    <t>Fino Payments Bank How?</t>
  </si>
  <si>
    <t>2024-02-28 17:08:22</t>
  </si>
  <si>
    <t>Beware of fake apps that could potentially be dangerous to your mobile phone and personal data.
#FinoPaymentsBank #FikarNot #FinoBanker #DigitalBanking #SecureBanking #HarDinFino #FinoPay #ScamAlert #BankFraud #StayAlertToStaySafe #Beware</t>
  </si>
  <si>
    <t>2024-02-28 17:00:11</t>
  </si>
  <si>
    <t>Beware of fake apps that could potentially be dangerous to your mobile phone and personal data.
#FinoPaymentsBank #FikarNot #FinoBanker #DigitalBanking #SecureBanking #HarDinFino #FinoPay #ScamAlert #BankFraud #StayAlertToStaySafe #Beware https://t.co/eeLQ69w7B1</t>
  </si>
  <si>
    <t>2024-02-28 17:00:01</t>
  </si>
  <si>
    <t>2024-02-28 17:00:00</t>
  </si>
  <si>
    <t>ajeet_vish05</t>
  </si>
  <si>
    <t>Fino Payment Bank ki jisko I'd chahiye mujhe call kare  8817554813</t>
  </si>
  <si>
    <t>2024-02-28 15:31:51</t>
  </si>
  <si>
    <t>लालू कुमार</t>
  </si>
  <si>
    <t>Fino Payments Bank: ऐ</t>
  </si>
  <si>
    <t>2024-02-28 15:27:26</t>
  </si>
  <si>
    <t>Fino se Yes bank ho gaya h ab</t>
  </si>
  <si>
    <t>2024-02-28 15:19:42</t>
  </si>
  <si>
    <t>Yogesh Shrivastav Yogi</t>
  </si>
  <si>
    <t>Fino Payments Bank: Kindly share process for fino payment Bank marchent id</t>
  </si>
  <si>
    <t>2024-02-28 14:53:10</t>
  </si>
  <si>
    <t>Santoshkumar Belhi</t>
  </si>
  <si>
    <t>2024-02-28 14:34:54</t>
  </si>
  <si>
    <t>PiyushS33918577</t>
  </si>
  <si>
    <t>Piyush Singh</t>
  </si>
  <si>
    <t>Remembering Dr. CV Raman and his work in the field of light scattering. Let's promote scientific thought and embrace progress.
#FinoPaymentsBank #FikarNot #FinoBanker #DigitalBanking #SecureBanking #HarDinFino #FinoPay #NationalScienceDay #CVRaman #ScienceDay https://t.co/Sy21ZjDuvv</t>
  </si>
  <si>
    <t>2024-02-28 14:29:43</t>
  </si>
  <si>
    <t>Mahesh Gowda</t>
  </si>
  <si>
    <t>2024-02-28 14:24:03</t>
  </si>
  <si>
    <t>rohit.__2424</t>
  </si>
  <si>
    <t>2024-02-28 13:57:36</t>
  </si>
  <si>
    <t>@FinoPaymntsBank Please post telugu poster updates also</t>
  </si>
  <si>
    <t>2024-02-28 12:21:44</t>
  </si>
  <si>
    <t>2024-02-28 12:21:16</t>
  </si>
  <si>
    <t>harshit.daksh.9917630679</t>
  </si>
  <si>
    <t>𝙱𝚊𝚑𝚞𝚝 𝚊𝚌𝚑𝚑𝚊 𝚋𝚊𝚗𝚔 𝚑𝚊𝚒 𝚔𝚢𝚊 𝚔𝚑𝚊𝚗𝚒 ❤️</t>
  </si>
  <si>
    <t>2024-02-28 12:12:58</t>
  </si>
  <si>
    <t>indiadigitalsummit24</t>
  </si>
  <si>
    <t>Presenting the new set of speakers of liqvdasia Roundtable organized in association with iamai_forum 
The roundtable discussion will feature renowned speakers from the industry including:
Amit Sethiya, Head Marketing, syska.world 
Anand Bhatia, CMO, finopaymentsbank 
Argho Bhattacharya, Head of Marketing, payuindia 
Arjun Bhatia, CMO, bharatmatrimony 
Boni Noronha, Senior Vice President &amp; Head - Marketing, axis_mf 
#IAMAI #RoundTable</t>
  </si>
  <si>
    <t>2024-02-28 11:40:07</t>
  </si>
  <si>
    <t>ids2024</t>
  </si>
  <si>
    <t>India Digital Summit</t>
  </si>
  <si>
    <t>2024-02-28 11:33:20</t>
  </si>
  <si>
    <t>Presenting the new set of speakers of LIQVD ASIA Roundtable organized in association with Internet and Mobile Association of India (IAMAI).
The roundtable discussion will feature renowned speakers from the industry including:
Amit Sethiya, Head Marketing, Syska World
Anand Bhatia, CMO, Fino Payments Bank
Argho Bhattacharya, Head of Marketing, PayU India
Arjun Bhatia, CMO, Matrimony.com Limited
Boni Noronha, Senior Vice President &amp;amp; Head - Marketing, Axis Mutual Fund
#IAMAI #RoundTable</t>
  </si>
  <si>
    <t>2024-02-28 11:32:52</t>
  </si>
  <si>
    <t>Quantic Business Media Pvt. Ltd</t>
  </si>
  <si>
    <t xml:space="preserve">
💡 Elevating your Data Strategy: A Convergence of Cloud and AI
The Data Analytics and AI Show has begun with a huge bang
Here is the glimpse of our first panel discussion where our leaders converge to impart a wealth of invaluable knowledge and share their extensive experiences. Explore the transformative power of data and technology as our expert panel dives deep into the world of information, unravelling the brilliance concealed in every byte. 
Panel 1: Data Analytics: Illuminating Insights in Every Byte!
Our Expert Moderator for the panel:
Anirban Guha: Head of Analytics, @[Aditya Birla Finance Limited](urn:li:organization:29048406) 
Our eminent panelists for the panel are :
@[Virendra Pal](urn:li:person:DM5_foVdkb): Chief Data Science Officer, @[LenDenClub](urn:li:organization:10013264) 
 @[Dr. Kapil Singhal](urn:li:person:WqVU3e5pd2): Vice President - Data and Analytics,@[Vodafone Idea Limited](urn:li:organization:14439560) 
@[Anthony Devassy](urn:li:person:BUXqh1XRdQ): SVP&amp; Head - Data Office, @[TATA AIG General Insurance Company Limited](urn:li:organization:8207) 
@[Deepa Duraisamy](urn:li:person:K0wsbm_Wrs): Vice President, Head- Data, @[Edelweiss Tokio Life Insurance](urn:li:organization:2133771) 
@[Kunal Sakariya](urn:li:person:7uO7T6SlFY): Head of Analytics, @[Fino Payments Bank Ltd](urn:li:organization:247810) 
@[Kunal Urdhwareshe](urn:li:person:E9pWv77E1e):  Head of Analytics, Aditya Birla Housing Limited
@[Chandrakant \(CK\) Bharadwaj](urn:li:person:8yQMu-8iIT): Head of Data Management, @[Zeno Health](urn:li:organization:13409473) 
@[Subrata Mukherjee](urn:li:person:ukGOCqb3wm): Head- Trade Planning and Analytics, @[Trent Hypermarket Pvt Ltd \(STAR\)](urn:li:organization:69235908) 
✨ We are all geared up for the rest of the day packed with an exhilarating showcase of amazing solutions and awards ceremony! Get set for an exciting experience ahead!"
👉 If you are here, do tag us in your posts and mention {hashtag|\#|QuanticAwards} {hashtag|\#|QuanticDataAnalytics2024}
🤝 We're eagerly anticipating your presence – come join us!
{hashtag|\#|quanticawards} {hashtag|\#|QuanticDataAnalytics2024} {hashtag|\#|dataanalytics} {hashtag|\#|datascience} {hashtag|\#|bigdata} {hashtag|\#|bigdataanalytics} {hashtag|\#|analytics}  {hashtag|\#|machinelearning} {hashtag|\#|programming} {hashtag|\#|artificialintelligence} {hashtag|\#|cloudplatform} {hashtag|\#|datascientist} {hashtag|\#|ai} {hashtag|\#|data} {hashtag|\#|api} {hashtag|\#|generativeai} {hashtag|\#|businessanalysts} {hashtag|\#|speaker} {hashtag|\#|industryleaders} {hashtag|\#|industryinsights} {hashtag|\#|dataenthusiasts} {hashtag|\#|datadriven}  {hashtag|\#|datamanagement}</t>
  </si>
  <si>
    <t>2024-02-28 11:17:19</t>
  </si>
  <si>
    <t>2024-02-28 10:43:56</t>
  </si>
  <si>
    <t>2024-02-28 10:43:55</t>
  </si>
  <si>
    <t>Financial services</t>
  </si>
  <si>
    <t>Hii *लोन ही लोन*
*👉👉क्या आप लेना चाहते है लोन👈👈*
*घर बनाने के लिए,घर रेनोवेशन, घर खरीदने के लिए , अपने बिज़नेस को बड़ाने के लिए या फिर किसी भी तरह का प्रोपर्टी के उपर लोन लेने के लिए ...*
*संपर्क करें 79735-65694   गौरव कुमार*</t>
  </si>
  <si>
    <t>2024-02-28 09:50:28</t>
  </si>
  <si>
    <t>2024-02-28 09:35:04</t>
  </si>
  <si>
    <t>Fino Payment bank mein Account open kaise kare? Fino Payment bank kaisa hai?</t>
  </si>
  <si>
    <t>2024-02-28 09:33:27</t>
  </si>
  <si>
    <t>kabir__pratik</t>
  </si>
  <si>
    <t>2024-02-28 08:04:37</t>
  </si>
  <si>
    <t>Remembering Dr. CV Raman and his work in the field of light scattering. Let's promote scientific thought and embrace progress.
#FinoPaymentsBank #FikarNot #FinoBanker #DigitalBanking #SecureBanking #HarDinFino #FinoPay #NationalScienceDay #CVRaman #ScienceDay</t>
  </si>
  <si>
    <t>2024-02-28 08:00:13</t>
  </si>
  <si>
    <t>2024-02-28 08:00:01</t>
  </si>
  <si>
    <t>2024-02-28 08:00:00</t>
  </si>
  <si>
    <t>Sajeda Fino Bank</t>
  </si>
  <si>
    <t>Fino Payments Bank Account opening Kane Koyoi Koribo Lage</t>
  </si>
  <si>
    <t>2024-02-28 00:47:58</t>
  </si>
  <si>
    <t>2024-02-27</t>
  </si>
  <si>
    <t>sada kumar</t>
  </si>
  <si>
    <t>2024-02-27 23:50:27</t>
  </si>
  <si>
    <t>2024-02-27 23:49:05</t>
  </si>
  <si>
    <t>Dipak Luharuka</t>
  </si>
  <si>
    <t>Humko ac open karwate 5 month ho gaya abhi Tak open hi nahi hua</t>
  </si>
  <si>
    <t>2024-02-27 21:07:07</t>
  </si>
  <si>
    <t>Bank thik nahi</t>
  </si>
  <si>
    <t>2024-02-27 21:05:04</t>
  </si>
  <si>
    <t>Md Gulbaz</t>
  </si>
  <si>
    <t>2024-02-27 20:59:41</t>
  </si>
  <si>
    <t>bhavikvasa</t>
  </si>
  <si>
    <t>Bhavik Vasa</t>
  </si>
  <si>
    <t>@dhruvilsanghvi @billdesk @bookmyshow @chaloapp @CitiusTech @CleverTap @DezervHQ @Dream11 @DripCapital_Inc @EruditusExecEd @FinoPaymntsBank @flexiloansin @GOQii @GetVantage_Co @gupshup @haptik @Hungama_com @InfibeamAvenues @invideoOfficial @GetLocoNow @LogiNext @LoveLocalindia @MosaicWellness +1 @dhruvilsanghvi surely took a few days to recover from the #MumbaiTechWeek action &amp;amp; adventure!</t>
  </si>
  <si>
    <t>2024-02-27 20:15:59</t>
  </si>
  <si>
    <t>Üt: 18.963624,72.809484</t>
  </si>
  <si>
    <t>Sanjay Paswan</t>
  </si>
  <si>
    <t>Fino Payments Bank: How to get micro atm of fino Bank</t>
  </si>
  <si>
    <t>2024-02-27 20:01:35</t>
  </si>
  <si>
    <t>💯💯💥 आपको सफलता पानी है तो YOUTAG को करना ही पड़ेगा और अमीर को अमीर बनाने का बहुत सारे तरीके हैं
 💥💯💯✈️लेकिन गरीब को अमीर बनाने का एक ही तरीका है वह है YOUTAG👇🏻👇🏻👇🏻👇🏻
तो सोचिये नहीं, तुरन्त ज्वाइन कीजिये 👇🏻👇🏻IInstall YOUTAG BIZ and get Registered Using My ID:-11389854 to Get Registration Benefit
https://play.google.com/store/apps/details?id=com.youtagindia.business&amp;amp;referrer=utm_source%3Dgoogle%26utm_campaign%3D11389854
My I'd.11389854
Whats app no.  083194 88589 
#youtagbusiness #fbreels #reel #Youtagindia #youtagfamily #mlm2024 #YoutagCMD #fbreelsvideo #5kfollowers 
Fino Payments Bank #highlights 
   @highlightDeveshShukla</t>
  </si>
  <si>
    <t>2024-02-27 19:42:29</t>
  </si>
  <si>
    <t>Kushwaha King</t>
  </si>
  <si>
    <t>Without pan card account open kaise kare mobile se</t>
  </si>
  <si>
    <t>2024-02-27 19:04:28</t>
  </si>
  <si>
    <t>rahul02220</t>
  </si>
  <si>
    <t>rahul</t>
  </si>
  <si>
    <t>@FinoPaymntsBank not retailers friendly bank poor service</t>
  </si>
  <si>
    <t>2024-02-27 19:04:16</t>
  </si>
  <si>
    <t>Don't know</t>
  </si>
  <si>
    <t>Abhay Gautam</t>
  </si>
  <si>
    <t>Froad Bank hai inke employee fraud karte Hai aur customer care bhi Koi support nahin karte I hate Bank</t>
  </si>
  <si>
    <t>2024-02-27 19:01:37</t>
  </si>
  <si>
    <t>Fino Payment</t>
  </si>
  <si>
    <t>Fino Payments Bank // FinoPay iOS App UPI detailed walkthrough .</t>
  </si>
  <si>
    <t>2024-02-27 18:36:04</t>
  </si>
  <si>
    <t>Birendar Kumar</t>
  </si>
  <si>
    <t>2024-02-27 18:17:23</t>
  </si>
  <si>
    <t>Fine</t>
  </si>
  <si>
    <t>2024-02-27 18:17:02</t>
  </si>
  <si>
    <t>Rahul Kumar</t>
  </si>
  <si>
    <t>2024-02-27 18:14:56</t>
  </si>
  <si>
    <t>Radha Lodhi</t>
  </si>
  <si>
    <t>👎👎👎👎</t>
  </si>
  <si>
    <t>2024-02-27 18:02:47</t>
  </si>
  <si>
    <t>Fino Shubh Savings Account ke saath paaiyei labh se bharpur banking suvidha. Aaj hi khata kholne ke liye missed call de 7877788977 par.
#FinoPaymentsBank #FikarNot #FinoBanker #DigitalBanking #SecureBanking #AccountOpening #SavingsAccount #BankingServices #EASYPROCESS https://t.co/0jNOGpVxxQ</t>
  </si>
  <si>
    <t>2024-02-27 17:10:06</t>
  </si>
  <si>
    <t>Kaweer0</t>
  </si>
  <si>
    <t>Kaweer 007</t>
  </si>
  <si>
    <t>@FinoPaymntsBank 
Fino ne debit card ke liye 6/mahine pahle 413,rs wasule the debit card Aaj Tak nhi aaya pera costumer care pr call kro to faltu ki baat batate hai kisi fraud ki tarah</t>
  </si>
  <si>
    <t>2024-02-27 17:00:42</t>
  </si>
  <si>
    <t>Fino Shubh Savings Account ke saath paaiyei labh se bharpur banking suvidha. Aaj hi khata kholne ke liye missed call de 7877788977 par.
#FinoPaymentsBank #FikarNot #FinoBanker #DigitalBanking #SecureBanking #HarDinFino #FinoPay #AccountOpening #SavingsAccount #BankingServices #EASYPROCESS</t>
  </si>
  <si>
    <t>2024-02-27 17:00:09</t>
  </si>
  <si>
    <t>2024-02-27 17:00:00</t>
  </si>
  <si>
    <t>Aneesh Kumar</t>
  </si>
  <si>
    <t>Fino Payments Bank: Go ICC</t>
  </si>
  <si>
    <t>2024-02-27 16:07:33</t>
  </si>
  <si>
    <t>Fino Payments Bank: Bbye hv</t>
  </si>
  <si>
    <t>Dukhi Das: Namaste, Thank you for your interest in Fino Payments Bank. Please visit our website or call us on 022 6868 1414 to know more about our products and services. https://www.finobank.com/</t>
  </si>
  <si>
    <t>2024-02-27 15:20:36</t>
  </si>
  <si>
    <t>@kbv___2605 Namaste, Thank you for your interest in Fino Payments Bank. Please visit our website or call us on 022 6868 1414 to know more about our products and services. https://www.finobank.com/</t>
  </si>
  <si>
    <t>2024-02-27 15:20:19</t>
  </si>
  <si>
    <t>Rahul Kumar: Hi Sir, Please call on this number - 022 6868 1414</t>
  </si>
  <si>
    <t>2024-02-27 15:20:05</t>
  </si>
  <si>
    <t>MD AltAf Ansari</t>
  </si>
  <si>
    <t>2024-02-27 15:14:25</t>
  </si>
  <si>
    <t>Aman K idea</t>
  </si>
  <si>
    <t>Without Video KYC | Fino Payment Bank Account Opening 2024 | Fino Bank Account Opening Mobile</t>
  </si>
  <si>
    <t>2024-02-27 14:18:20</t>
  </si>
  <si>
    <t>Mahendr86765780</t>
  </si>
  <si>
    <t>Mahendra Pawar</t>
  </si>
  <si>
    <t>@FinoPaymntsBank Apke bank ne rent nahi diya or property kahli kar k chale gai 2 mahine ho gai , koi call bhi nahi uthata hai ab ,kya case karna padega ki kuch or batae from betul mp</t>
  </si>
  <si>
    <t>2024-02-27 13:41:42</t>
  </si>
  <si>
    <t>2024-02-27 13:41:18</t>
  </si>
  <si>
    <t>@FinoPaymntsBank Apke bank ne rent nahi diya or property kahli kar k chale gai 2 mahine ho gai , koi call bhi nahi uthata hai ab ,kya case karna padega ki kuch or batae from betul</t>
  </si>
  <si>
    <t>2024-02-27 13:41:02</t>
  </si>
  <si>
    <t>2024-02-27 13:40:46</t>
  </si>
  <si>
    <t>dhruvilsanghvi</t>
  </si>
  <si>
    <t>Dhruvil Sanghvi</t>
  </si>
  <si>
    <t>@billdesk @bookmyshow @chaloapp @CitiusTech @CleverTap @DezervHQ @Dream11 @DripCapital_Inc @EruditusExecEd @FinoPaymntsBank @flexiloansin @GOQii @GetVantage_Co @gupshup @haptik @Hungama_com @InfibeamAvenues @invideoOfficial @GetLocoNow @LogiNext @LoveLocalindia @MosaicWellness</t>
  </si>
  <si>
    <t>2024-02-27 13:40:02</t>
  </si>
  <si>
    <t>New york, usa</t>
  </si>
  <si>
    <t>@FinoPaymntsBank  illegal merchant enroll doing fraudulent transition, no revert on any complaint made. Fino payment itself encourages fraudulent merchant not compensating to Poor customer who are sufferer.</t>
  </si>
  <si>
    <t>2024-02-27 13:30:57</t>
  </si>
  <si>
    <t>2024-02-27 13:26:47</t>
  </si>
  <si>
    <t>@Indianpolity24</t>
  </si>
  <si>
    <t>Apke bank ne rent nahi diya or property kahli kar k chale gai 2 mahine ho gai , koi call bhi nahi uthata hai ab ,kya case karna padega ki kuch or batae</t>
  </si>
  <si>
    <t>2024-02-27 13:24:03</t>
  </si>
  <si>
    <t>2024-02-27 13:23:47</t>
  </si>
  <si>
    <t>2024-02-27 13:23:36</t>
  </si>
  <si>
    <t>2024-02-27 13:23:19</t>
  </si>
  <si>
    <t>2024-02-27 13:23:01</t>
  </si>
  <si>
    <t>2024-02-27 13:22:46</t>
  </si>
  <si>
    <t>Apke bank ne rent nahi diya or property kahli kar k chale gai 2 mahine ho gai , koi call bhi nahi uthata hai ab ,kya case karna padega ki kuch or batae😢</t>
  </si>
  <si>
    <t>2024-02-27 13:22:11</t>
  </si>
  <si>
    <t>And that’s a wrap! Took me a weekend to recover from the craziness at Mumbai Tech Week with 100% of the top startups and corporations being present. Super proud of the work done by Mumbai Tech TEAM and work is already in motion for the event bigger blast next year.
BookMyShow CitiusTech CleverTap Dezerv Dream11 Drip Capital Eruditus Fino FlexiLoans GOQii GetVantage Haptik Hungama Infibeam LogiNext invideo LoveLocal Mosaic Nazara Netcore Pepper Content Pepperfry PharmEasy Purplle.com Quantiphi Rebel Foods Route Mobile Servify Turtlemint Upstox Zepto</t>
  </si>
  <si>
    <t>2024-02-27 13:15:58</t>
  </si>
  <si>
    <t>Davandra Sani Davandra Sani</t>
  </si>
  <si>
    <t>Sabse bekar Bank 🏦 hai</t>
  </si>
  <si>
    <t>2024-02-27 13:09:22</t>
  </si>
  <si>
    <t>Fino Payments Bank: Frod bank</t>
  </si>
  <si>
    <t>2024-02-27 13:08:37</t>
  </si>
  <si>
    <t>M.D. Gulzar Good</t>
  </si>
  <si>
    <t>Fino Payments Bank: Yes</t>
  </si>
  <si>
    <t>2024-02-27 12:22:05</t>
  </si>
  <si>
    <t>Leadup Universe</t>
  </si>
  <si>
    <t xml:space="preserve">Time is of the essence – Don't let this opportunity pass you by! 
Immerse yourself in the extensive lineup of forward-thinking organizations contributing to the transformative 2024 Employers of the Future Study - from emerging startups to industry titans. 
Register now: https://lnkd.in/gcbmQMKE
Stay tuned for more updates!
@[Outlook Business](urn:li:organization:10203434) @[Rashmi Mandloi](urn:li:person:BaZlHDXNb-) @[Mayank Verma](urn:li:person:3qZP9RsZDT) @[Akanksha Arora Malik](urn:li:person:nqGfhkrGtS) @[Leena Khaparde](urn:li:person:z56s9BOd6o) @[Baisnabi Chhetri](urn:li:person:TAPSo74FBk) @[Rajiv Murti](urn:li:person:DRDRhfWXdh) @[Anil Bhatia](urn:li:person:PJc-V6fR2E) @[Sayantan Dasgupta](urn:li:person:pGjPJ-DIVt) @[Zarina L Stanford](urn:li:person:g93iBi2_k6) @[Rajeev Dubey](urn:li:person:yEGC21DqUN) @[Dr NS Rajan](urn:li:person:78rLtfxpNO) @[RenewBuy](urn:li:organization:9350817) @[Fino Payments Bank Ltd](urn:li:organization:247810) @[Advance Valves](urn:li:organization:461198) @[ZETWERK](urn:li:organization:14441773) @[The Good Glamm Group](urn:li:organization:76161202) @[L&amp;T Finance](urn:li:organization:82623) @[EdgeVerve](urn:li:organization:3790570) @[Allstate India](urn:li:organization:3168910) @[Altimetrik](urn:li:organization:775402) @[Tata BlueScope Steel](urn:li:organization:148478) @[Curefit - house of cult](urn:li:organization:13188703) @[ORIX Group](urn:li:organization:530393) @[Airtel Payments Bank](urn:li:organization:13361480) @[Shree Renuka Sugars Limited](urn:li:organization:738542) @[Biz2Credit](urn:li:organization:265111) 
{hashtag|\#|outlook2024}  {hashtag|\#|eotf24} {hashtag|\#|futureleaders} {hashtag|\#|futuretrends} {hashtag|\#|employers} {hashtag|\#|registernow}  {hashtag|\#|forwardthinking} {hashtag|\#|transformativeleadership} {hashtag|\#|startup} {hashtag|\#|multinationalcompanies} {hashtag|\#|futureofwork} 
</t>
  </si>
  <si>
    <t>2024-02-27 11:33:06</t>
  </si>
  <si>
    <t>Mohd Parvez Alam</t>
  </si>
  <si>
    <t>Lonchahiye</t>
  </si>
  <si>
    <t>2024-02-27 10:16:24</t>
  </si>
  <si>
    <t>Fino wishes a Happy Marathi Language Day to the people of Maharashtra and Marathi-speaking people elsewhere.
#FinoPaymentsBank #FikarNot #FinoBanker #DigitalBanking #SecureBanking #HarDinFino #FinoPay #MarathiLanguageDay #MarathiLanguage #Maharashtra https://t.co/ETQcJIZyOT</t>
  </si>
  <si>
    <t>2024-02-27 09:56:21</t>
  </si>
  <si>
    <t>Fino payment Bank CSP ID kese banwaye. Fino CSP ID kese Le. Fino BC marchant id kese banwaye. Fino</t>
  </si>
  <si>
    <t>2024-02-27 09:22:25</t>
  </si>
  <si>
    <t>Fino wishes a Happy International Mother Language Day to everyone. Let's celebrate our own language and speak it with pride.
#FinoPaymentsBank #FikarNot #FinoBanker #DigitalBanking #SecureBanking #HarDinFino #InternationalMotherLanguageDay #MotherLanguageDay #MotherLanguage https://t.co/8YmHabzQ2Y</t>
  </si>
  <si>
    <t>2024-02-27 09:17:53</t>
  </si>
  <si>
    <t>On World NGO Day, Fino recognises organisations working for social causes and for public welfare.
#FinoPaymentsBank #FikarNot #FinoBanker #DigitalBanking #SecureBanking #HarDinFino #FinoPay #WorldNGODay #NGO #SocialCause #PublicWelfare https://t.co/vKxY2Tf4UX</t>
  </si>
  <si>
    <t>2024-02-27 09:17:36</t>
  </si>
  <si>
    <t>Kamil Aii</t>
  </si>
  <si>
    <t>2024-02-27 09:09:05</t>
  </si>
  <si>
    <t>Fino Small Finance Bank | Fino Bank Service India | Fino Distributor Nadia | Fino CSP Point</t>
  </si>
  <si>
    <t>2024-02-27 09:02:26</t>
  </si>
  <si>
    <t>On World NGO Day, Fino recognises organisations working for social causes and for public welfare.
#FinoPaymentsBank #FikarNot #FinoBanker #DigitalBanking #SecureBanking #HarDinFino #FinoPay #WorldNGODay #NGO #SocialCause #PublicWelfare</t>
  </si>
  <si>
    <t>2024-02-27 09:00:11</t>
  </si>
  <si>
    <t>On World NGO Day, Fino recognises organisations working for social causes and for public welfare.
Here are some of the NGOs with whom we take pride in associating ourselves:
Sanjeevani-Life Beyond Cancer 
V Care Foundation
#FinoPaymentsBank #FikarNot #FinoBanker #DigitalBanking #SecureBanking #HarDinFino #FinoPay #WorldNGODay #NGO #SocialCause #PublicWelfare</t>
  </si>
  <si>
    <t>2024-02-27 09:00:01</t>
  </si>
  <si>
    <t>2024-02-27 09:00:00</t>
  </si>
  <si>
    <t>Divakar Jha</t>
  </si>
  <si>
    <t>Fino Payments Bank: Ludhiana</t>
  </si>
  <si>
    <t>2024-02-27 08:41:54</t>
  </si>
  <si>
    <t>Fino Payments Bank: divakarjhajhan@gmail.com</t>
  </si>
  <si>
    <t>2024-02-27 08:41:40</t>
  </si>
  <si>
    <t>Fino wishes a Happy Marathi Language Day to the people of Maharashtra and Marathi-speaking people elsewhere.
#FinoPaymentsBank #FikarNot #FinoBanker #DigitalBanking #SecureBanking #HarDinFino #FinoPay #MarathiLanguageDay #MarathiLanguage #Maharashtra</t>
  </si>
  <si>
    <t>2024-02-27 08:00:09</t>
  </si>
  <si>
    <t>2024-02-27 08:00:00</t>
  </si>
  <si>
    <t>fizzleroxx</t>
  </si>
  <si>
    <t>sntt</t>
  </si>
  <si>
    <t>@MumbaiPolice @MahaCyber1 please take required actions against these 
  Quoted Tweet : @Richaa_Tripathi : @MumbaiPolice @Mum_CyberPolice @NPCI_NPCI @GooglePay @RBI @FinoPaymntsBank @CPMumbaiPolice I received a call from 8982535241 (claiming to be Ashok Kumar) regarding a Gpay payment he wants to make to my dad. He wanted to transfer ₹12,000 to my dad via GPay but mentioned that my dad redirected to my account due to server problems.</t>
  </si>
  <si>
    <t>2024-02-27 00:18:57</t>
  </si>
  <si>
    <t>@MumbaiPolice @Mum_CyberPolice @NPCI_NPCI @GooglePay @RBI @FinoPaymntsBank @CPMumbaiPolice I received a call from 8982535241 (claiming to be Ashok Kumar) regarding a Gpay payment he wants to make to my dad. He wanted to transfer ₹12,000 to my dad via GPay but mentioned that my dad redirected to my account due to server problems.</t>
  </si>
  <si>
    <t>2024-02-27 00:18:12</t>
  </si>
  <si>
    <t>2024-02-26</t>
  </si>
  <si>
    <t>kshitij0710</t>
  </si>
  <si>
    <t>Kshitij</t>
  </si>
  <si>
    <t>2024-02-26 23:36:23</t>
  </si>
  <si>
    <t>NMaster32862</t>
  </si>
  <si>
    <t>Noob Master</t>
  </si>
  <si>
    <t>2024-02-26 23:22:26</t>
  </si>
  <si>
    <t>bipinyadav0704</t>
  </si>
  <si>
    <t>Bipin Yadav</t>
  </si>
  <si>
    <t>@MumbaiPolice @CPMumbaiPolice @Mum_CyberPolice 
  Quoted Tweet : @Richaa_Tripathi : @MumbaiPolice @Mum_CyberPolice @NPCI_NPCI @GooglePay @RBI @FinoPaymntsBank @CPMumbaiPolice I received a call from 8982535241 (claiming to be Ashok Kumar) regarding a Gpay payment he wants to make to my dad. He wanted to transfer ₹12,000 to my dad via GPay but mentioned that my dad redirected to my account due to server problems.</t>
  </si>
  <si>
    <t>2024-02-26 23:21:58</t>
  </si>
  <si>
    <t>2024-02-26 23:15:56</t>
  </si>
  <si>
    <t>AnmolSingh73412</t>
  </si>
  <si>
    <t>Anmol Singh</t>
  </si>
  <si>
    <t>@MumbaiPolice @Mum_CyberPolice @NPCI_NPCI @GooglePay @RBI @FinoPaymntsBank @CPMumbaiPolice @indianbank @FinoPaymentBank @CMOMaharashtra https://t.co/IysSAijMh1</t>
  </si>
  <si>
    <t>2024-02-26 23:09:32</t>
  </si>
  <si>
    <t>@MumbaiPolice @Mum_CyberPolice @NPCI_NPCI @GooglePay @RBI @FinoPaymntsBank @CPMumbaiPolice @indianbank @FinoPaymentBank With all my hopes from @Mum_CyberPolice,  @MumbaiPolice,   @CPMumbaiPolice @CMOMaharashtra  and trusting their potential. I request y'all to please look into it seriously so that other innocent people do not get trapped by such fraudsters.</t>
  </si>
  <si>
    <t>2024-02-26 23:09:28</t>
  </si>
  <si>
    <t>@MumbaiPolice @Mum_CyberPolice @NPCI_NPCI @GooglePay @RBI @FinoPaymntsBank @CPMumbaiPolice @indianbank I urge @FinoPaymentBank to get your details checked  ensure thorough employee verification and address discrepancies in branch information.I called at your your customer care for the bank address and your employee gave me an address of Kurla west however there is no branch there</t>
  </si>
  <si>
    <t>2024-02-26 23:09:27</t>
  </si>
  <si>
    <t>@MumbaiPolice @Mum_CyberPolice @NPCI_NPCI @GooglePay @RBI @FinoPaymntsBank @CPMumbaiPolice @indianbank Moreover, I have raised the complain with @NPCI_NPCI  hoping some help. @GooglePay @RBI 
I share this unfortunate incident to raise awareness so that others do not fall for the same trap.</t>
  </si>
  <si>
    <t>2024-02-26 23:09:25</t>
  </si>
  <si>
    <t>@MumbaiPolice @Mum_CyberPolice @NPCI_NPCI @GooglePay @RBI @FinoPaymntsBank @CPMumbaiPolice @indianbank Despite , the officer suggested that @Mum_CyberPolice  may offer further assistance. Not to forget, I tried reaching @Mum_CyberPolice at 1930 50+ times before reaching bank.
However, after officer's advice me and my family is trying to reach 1930 made 200+ calls and yet no luck</t>
  </si>
  <si>
    <t>2024-02-26 23:09:23</t>
  </si>
  <si>
    <t>@MumbaiPolice @Mum_CyberPolice @NPCI_NPCI @GooglePay @RBI @FinoPaymntsBank @CPMumbaiPolice @indianbank I reached MIDC Police station to get this registered, and they redirected me to their Cyber department. The officer, took the initial action and mailed @FinoPaymntsBank regarding the same. The account registered to with the bank is A/C: 20353700595.</t>
  </si>
  <si>
    <t>2024-02-26 23:09:20</t>
  </si>
  <si>
    <t>@MumbaiPolice @Mum_CyberPolice @NPCI_NPCI @GooglePay @RBI @FinoPaymntsBank @CPMumbaiPolice He instructed to return  this 20,000 to 8085369864. My attempt failed due to limits.
I consulted with my dad realizing it was a scam,I contacted @IndianBank Mahakali who promptly blocked my account. They advised filing a complaint with @MumbaiPolice,where my case was documented.</t>
  </si>
  <si>
    <t>2024-02-26 23:09:18</t>
  </si>
  <si>
    <t>@MumbaiPolice @Mum_CyberPolice @NPCI_NPCI @GooglePay @RBI @FinoPaymntsBank @CPMumbaiPolice Moments later, I got ₹10,000 credited with SMS and GPay notifications. Another ₹20,000 came, and "Ashok" insisted on returning ₹18,000, claiming a ₹20,000 error. Falling for it, I sent ₹18,000 then, another ₹20,000 arrived with the same story.</t>
  </si>
  <si>
    <t>2024-02-26 23:09:16</t>
  </si>
  <si>
    <t>2024-02-26 23:09:14</t>
  </si>
  <si>
    <t>@MumbaiPolice @Mum_CyberPolice  @NPCI_NPCI @GooglePay @RBI @FinoPaymntsBank @CPMumbaiPolice 
# Scam Alert! 🚨
Today, at 12:30 pm, I encountered a scam and I'm sharing my story to warn you all about this new tactic.
Read comments for entire scenario -</t>
  </si>
  <si>
    <t>2024-02-26 23:09:11</t>
  </si>
  <si>
    <t>imvaibhav0909</t>
  </si>
  <si>
    <t>Tripathi Vaibhav</t>
  </si>
  <si>
    <t>2024-02-26 22:43:14</t>
  </si>
  <si>
    <t>Bablu Shrevastav</t>
  </si>
  <si>
    <t>2024-02-26 22:32:03</t>
  </si>
  <si>
    <t>Richaa_Tripathi</t>
  </si>
  <si>
    <t>Richa Tripathi</t>
  </si>
  <si>
    <t>2024-02-26 22:29:17</t>
  </si>
  <si>
    <t>2024-02-26 22:28:41</t>
  </si>
  <si>
    <t>2024-02-26 22:24:49</t>
  </si>
  <si>
    <t>2024-02-26 22:23:13</t>
  </si>
  <si>
    <t>2024-02-26 22:22:18</t>
  </si>
  <si>
    <t>2024-02-26 22:19:01</t>
  </si>
  <si>
    <t>2024-02-26 22:15:09</t>
  </si>
  <si>
    <t>2024-02-26 22:11:02</t>
  </si>
  <si>
    <t>2024-02-26 22:09:50</t>
  </si>
  <si>
    <t>2024-02-26 22:08:01</t>
  </si>
  <si>
    <t>Sintu74688725</t>
  </si>
  <si>
    <t>Sintu Kumar</t>
  </si>
  <si>
    <t>@FinoPaymntsBank 
Sir I had taken id from Subhash Kumar, I am not able to login for a long https://t.co/Z3kfggacS3 id is also blocked.Then I talked to Fino branch Madhepura,   they told me that your id is in Jharkhand.Sir please map my id in my area.
Id- 116048531</t>
  </si>
  <si>
    <t>2024-02-26 21:52:42</t>
  </si>
  <si>
    <t>बिहार, भारत</t>
  </si>
  <si>
    <t>Sintu Kumar Yadav Madhepura</t>
  </si>
  <si>
    <t>Fino Payments Bank: Sir I sintu kumar father's name pawan kumar yadav Village kankar post bishanpur bazar police station kumarkhand district Madhepura state Bihar pin code 852112 I am a permanent resident .Sir I had taken id from Subhash Kumar, I am not able to login for a long time.I talked to the distributor Subhash Kumar and he said I can't help, my id is also blocked.Then I talked to Fino branch Madhepura,   they told me that your id is in Jharkhand.Sir please map my id in my area.
Id- 116048531
Name -sintu kumar
Mobile no 8084274043
Aadhar no 6743-5163-5017
Pan no - HSWPK2098P
DOB- 15 NOVEMBER 1998</t>
  </si>
  <si>
    <t>2024-02-26 21:49:22</t>
  </si>
  <si>
    <t>Prabhu Kumar</t>
  </si>
  <si>
    <t>P̊r̊åb̊h̊ů m̊ån̊f̊ål̊</t>
  </si>
  <si>
    <t>2024-02-26 20:38:26</t>
  </si>
  <si>
    <t>@ramsingh251 @consumr_rights @FinMinIndia @FinoPaymntsBank @aajtak your complaint with the relevant team. You are requested to wait for the update. 
Thanks
 (2/2)</t>
  </si>
  <si>
    <t>2024-02-26 18:32:44</t>
  </si>
  <si>
    <t>@ramsingh251 @consumr_rights @FinMinIndia @FinoPaymntsBank @aajtak Hi Ram, we are sorry for the problems you faced. As discussed on the call, your problem is related to your Move to Bank and Move to Wallet blocks, and while doing Mini Statement Transaction, you are facing the error "Mini Statement Transaction Limit Expired." We have shared (1/2)</t>
  </si>
  <si>
    <t>2024-02-26 18:32:43</t>
  </si>
  <si>
    <t>@shibani_kurian Stocks driven by AI in India are 
Paytm ( Already researched)
Yes Bank (Highest UPI)
HDFC Bank(Loan AI tool)
NIIT Ltd (Undervalued Tech stock)
Fino Payment(Highest digital)
Adani Wilmar (First in consumer)
TCS(New Projects)
@NileshShah68 @KotakMF</t>
  </si>
  <si>
    <t>2024-02-26 18:20:22</t>
  </si>
  <si>
    <t>@MahfuzAppsVideo9K</t>
  </si>
  <si>
    <t>2024-02-26 18:07:14</t>
  </si>
  <si>
    <t>Sanu Pal</t>
  </si>
  <si>
    <t>2024-02-26 17:56:23</t>
  </si>
  <si>
    <t>ramsingh251</t>
  </si>
  <si>
    <t>Ram Prakash Singh राम प्रकाश सिंह</t>
  </si>
  <si>
    <t>@PayNearby banking services are stopped. Please don't buy their New ID 
They blocked my trade wallet and now I am not able to withdraw or transfer money to my bank account.
#PleaseHelp
@consumr_rights @FinMinIndia @FinoPaymntsBank @aajtak https://t.co/Gwqp0SLbEa</t>
  </si>
  <si>
    <t>2024-02-26 17:47:40</t>
  </si>
  <si>
    <t>24-ashok marg,lucknow, india</t>
  </si>
  <si>
    <t>Fino Payment Bank Merchant Kaise Bane - Fino Bank BC Id Kaise Banaye | Fino Mitra Registration</t>
  </si>
  <si>
    <t>2024-02-26 16:59:12</t>
  </si>
  <si>
    <t>Kashiram prajapati mps</t>
  </si>
  <si>
    <t>Fino paymen Bank 🏦</t>
  </si>
  <si>
    <t>2024-02-26 14:12:33</t>
  </si>
  <si>
    <t>Amresh Kushwaha</t>
  </si>
  <si>
    <t>Sir video kyc krna hai only no 8540002862</t>
  </si>
  <si>
    <t>2024-02-26 13:55:57</t>
  </si>
  <si>
    <t>@FinoPaymntsBank 126138358
Rohit Kumar
My I'd is blocked why https://t.co/CIR76oBxxd</t>
  </si>
  <si>
    <t>2024-02-26 13:50:57</t>
  </si>
  <si>
    <t>AIRTEL PAYMENT BANK PASSBOOK PRINT ID SOFTWARE PASSBOOK PRINT PRINTER SETUP BANK PASSBOOK PRINT FULL</t>
  </si>
  <si>
    <t>2024-02-26 13:49:22</t>
  </si>
  <si>
    <t>@FinoPaymntsBank 126138358
My I'd is blocked?? What is the reason https://t.co/dbtgFnN0fn</t>
  </si>
  <si>
    <t>2024-02-26 13:38:54</t>
  </si>
  <si>
    <t>Sonu Soni</t>
  </si>
  <si>
    <t>2024-02-26 13:09:53</t>
  </si>
  <si>
    <t>Rajender Majoka</t>
  </si>
  <si>
    <t>Ek car chalane wale ke hath Railgadi thamayoge  to vo exident pe exident hi karega</t>
  </si>
  <si>
    <t>2024-02-26 12:42:58</t>
  </si>
  <si>
    <t>_____000TEJPAL</t>
  </si>
  <si>
    <t>T$ 🍁</t>
  </si>
  <si>
    <t>Hlo @FinoPaymntsBank  mere paisa khaya saale kut****</t>
  </si>
  <si>
    <t>2024-02-26 12:09:37</t>
  </si>
  <si>
    <t>শুভজিৎ চক্রবর্ত্তী</t>
  </si>
  <si>
    <t>CSP I'd nite chai</t>
  </si>
  <si>
    <t>2024-02-26 11:08:07</t>
  </si>
  <si>
    <t>Kareena Kumar Kajal I</t>
  </si>
  <si>
    <t>2024-02-26 10:44:31</t>
  </si>
  <si>
    <t>stocksthiti</t>
  </si>
  <si>
    <t>स्थिती (Sthiti)</t>
  </si>
  <si>
    <t>🌟Company Name:- Fino Payments Bank Ltd #FINOPB 
👉TA setup/pattern:- Cup and Handle  (Bullish) https://t.co/HpI3w0wgbs</t>
  </si>
  <si>
    <t>2024-02-26 10:18:49</t>
  </si>
  <si>
    <t>🌟Company Name:- Fino Payments Bank Ltd #FINOPB
👉TA setup/pattern:- Cup and Handle  (Bullish)  
👉CMP 198.80 https://t.co/eMEXuqotJi</t>
  </si>
  <si>
    <t>2024-02-26 10:17:43</t>
  </si>
  <si>
    <t>Md juber Alam</t>
  </si>
  <si>
    <t xml:space="preserve">It’s been a while since I started my role at @[Fino Payments Bank Ltd](urn:li:organization:247810) as a Account Manager, but I wanted to share this update with everyone. </t>
  </si>
  <si>
    <t>2024-02-26 09:20:34</t>
  </si>
  <si>
    <t>Fino Bank Passbook Unboxing | Fino Bank CSP Passbook Unboxing | Fino Bank CSP Passbook</t>
  </si>
  <si>
    <t>2024-02-26 08:43:18</t>
  </si>
  <si>
    <t>Shivamshravasti</t>
  </si>
  <si>
    <t>Shivanand Kashyap (Shivam) Journalist</t>
  </si>
  <si>
    <t>@FinoPaymntsBank  मेरी मर्चेंट आईडी ब्लॉक बता रहा हैं, कई बार शिकायत के बाद भी मैं काम नही कर पा रहा हूं,, अगर समाधान न हो पाए तो मैं किसी और बैंक का सीएसपी लू। मेरी मर्चेंट आईडी यह है 114310619. मो. 8853333323 हैं।</t>
  </si>
  <si>
    <t>2024-02-26 00:12:38</t>
  </si>
  <si>
    <t>Shrawasti, india</t>
  </si>
  <si>
    <t>2024-02-25</t>
  </si>
  <si>
    <t>Satish Sharma</t>
  </si>
  <si>
    <t>Very nice Bank</t>
  </si>
  <si>
    <t>2024-02-25 22:39:58</t>
  </si>
  <si>
    <t>TafizAhmed2000</t>
  </si>
  <si>
    <t>Tafiz Uddin Ahmed</t>
  </si>
  <si>
    <t>@FinoPaymntsBank my Distributor ID is Blocked
Id: 138336737072
Name: TAFIZ UDDIN AHMED
Please Solve my problem</t>
  </si>
  <si>
    <t>2024-02-25 22:16:35</t>
  </si>
  <si>
    <t>@FinoPaymntsBank Dear sir / ma'am I am Distributor of fino payment bank, I created merchant by mistake in different state from my distributor ID I didn't know not to make merchan in different state later and merchant from my Id in any different state I will not create
My Id :</t>
  </si>
  <si>
    <t>2024-02-25 22:14:30</t>
  </si>
  <si>
    <t>👏</t>
  </si>
  <si>
    <t>2024-02-25 22:05:40</t>
  </si>
  <si>
    <t>Fino benk IFSC code chahie</t>
  </si>
  <si>
    <t>2024-02-25 22:05:19</t>
  </si>
  <si>
    <t>Gupta Sandeep</t>
  </si>
  <si>
    <t>Fino Payments Bank: Hamko Lena hai</t>
  </si>
  <si>
    <t>2024-02-25 21:18:49</t>
  </si>
  <si>
    <t>2024-02-25 21:18:40</t>
  </si>
  <si>
    <t>Fino Payments Bank: Fino payment Bank ka id lene ke liye</t>
  </si>
  <si>
    <t>2024-02-25 21:18:37</t>
  </si>
  <si>
    <t>navneet4192</t>
  </si>
  <si>
    <t>Navneet Singh</t>
  </si>
  <si>
    <t>#CarabaoCupFinal Sir, I had transferred money to my younger brother's Fino bank for the refund of Flipkart, but that bank deducted it whenever his balance was zero and then made it negative and stole my entire day's wages. Please help me.  please help me Pelase</t>
  </si>
  <si>
    <t>2024-02-25 21:11:17</t>
  </si>
  <si>
    <t>@RishiRahar Sir, I had transferred money to my younger brother's Fino bank for the refund of Flipkart, but that bank deducted it whenever his balance was zero and then made it negative and stole my entire day's wages. Please help me.  please help me Pelase</t>
  </si>
  <si>
    <t>2024-02-25 21:10:49</t>
  </si>
  <si>
    <t>@GyanTherapy Sir, I had transferred money to my younger brother's Fino bank for the refund of Flipkart, but that bank deducted it whenever his balance was zero and then made it negative and stole my entire day's wages. Please help me.  please help me Pelase sir</t>
  </si>
  <si>
    <t>2024-02-25 21:10:01</t>
  </si>
  <si>
    <t>@FinoPaymntsBank This Bank is furad</t>
  </si>
  <si>
    <t>2024-02-25 21:06:32</t>
  </si>
  <si>
    <t>@FinoPaymntsBank Give me ceo number</t>
  </si>
  <si>
    <t>2024-02-25 21:05:53</t>
  </si>
  <si>
    <t>@FinoPaymntsBank I will do hair on you return my money as soon as possible</t>
  </si>
  <si>
    <t>2024-02-25 21:05:15</t>
  </si>
  <si>
    <t>@GyanTherapy Sir, I had transferred money to my younger brother's Fino bank for the refund of Flipkart, but that bank deducted it whenever his balance was zero and then made it negative and stole my entire day's wages. Please help me.  please help me Pelase</t>
  </si>
  <si>
    <t>2024-02-25 21:02:54</t>
  </si>
  <si>
    <t>Fino Pay App Kaise use Kare | Fino Pay Login Kaise Kare | Fino Pay | Fino Pay Kaise Chalu Karen</t>
  </si>
  <si>
    <t>2024-02-25 20:58:51</t>
  </si>
  <si>
    <t>Fino bank kept my account in negative balance even though it was zero.  When I put money in it, money was deducted from it. @RBI @narendramodi @FinoPaymntsBank</t>
  </si>
  <si>
    <t>2024-02-25 20:55:40</t>
  </si>
  <si>
    <t>@FinoPaymntsBank Fino Bank has made my bank account negative and has deducted thousands of rupees from me. Please return my money otherwise I will have to take legal action.  To save you from this trouble, please refund me my money. @RBI</t>
  </si>
  <si>
    <t>2024-02-25 20:52:01</t>
  </si>
  <si>
    <t>Instant Loan Wale</t>
  </si>
  <si>
    <t>Fino Payments Bank Se Personal Loan Kaise Le | Fino Bank Personal Loan | Fino Bank Se Loan Kaise Le</t>
  </si>
  <si>
    <t>2024-02-25 20:40:00</t>
  </si>
  <si>
    <t>Fino Payments Bank   Rockstar Merchant Interview (Episode  1 )</t>
  </si>
  <si>
    <t>2024-02-25 20:15:02</t>
  </si>
  <si>
    <t>Priya Pawar</t>
  </si>
  <si>
    <t xml:space="preserve">https://leig.dnb.co.in/BFSI_PP_2024.html
Greetings from Dun and Bradstreet! We are conducting complimentary BFSI &amp; Fintech Summit for all valuable people and higher designated prospects from Finance and IT vertical General Manager, VP,CEO,CXO, CFO, Director, President, Chairman, Director, Managing Director,Senior VP on 27th Feb at Taj hotel Santacruz, Mumbai from 4.00PM followed with dinner and cocktail. Please its a request to all the higher management prospects to spare sometime and register today if possible https://leig.dnb.co.in/BFSI_PP_2024.html
Its a complimentary Summit no charge involved
https://leig.dnb.co.in/BFSI_PP_2024.html
</t>
  </si>
  <si>
    <t>2024-02-25 19:28:07</t>
  </si>
  <si>
    <t>2024-02-25 19:27:57</t>
  </si>
  <si>
    <t>2024-02-25 19:27:49</t>
  </si>
  <si>
    <t>2024-02-25 19:27:43</t>
  </si>
  <si>
    <t>2024-02-25 19:27:35</t>
  </si>
  <si>
    <t>2024-02-25 19:27:27</t>
  </si>
  <si>
    <t>2024-02-25 19:27:19</t>
  </si>
  <si>
    <t>2024-02-25 19:27:12</t>
  </si>
  <si>
    <t>https://leig.dnb.co.in/BFSI_PP_2024.html
Greetings from Dun and Bradstreet! We are conducting complimentary BFSI &amp; Fintech Summit for all valuable people and higher designated prospects fromFinance and IT vertical General Manager, VP,CEO,CXO, CFO, Director, President, Chairman, Director, Managing Director,Senior VP on 27th Feb at Taj hotel Santacruz, Mumbai from 4.00PM followed with dinner and cocktail. Please its a request to all the higher management prospects to spare sometime and register today if possible https://leig.dnb.co.in/BFSI_PP_2024.html
Its a complimentary Summit no charge involved
https://leig.dnb.co.in/BFSI_PP_2024.html</t>
  </si>
  <si>
    <t>2024-02-25 19:27:05</t>
  </si>
  <si>
    <t>2024-02-25 19:26:57</t>
  </si>
  <si>
    <t>Fetch Account Details, Find bank account Fino payment bank, Forgot Ac, Finding CIF Fino Bank Update</t>
  </si>
  <si>
    <t>2024-02-25 17:36:09</t>
  </si>
  <si>
    <t>Gupteshvar Prasad</t>
  </si>
  <si>
    <t>2024-02-25 17:10:08</t>
  </si>
  <si>
    <t>Fetch Account Details, Find bank account Fino payment bank, Forgot Ac, Finding CIF, merchant portal</t>
  </si>
  <si>
    <t>2024-02-25 16:00:00</t>
  </si>
  <si>
    <t>Saleem Khan Sahab</t>
  </si>
  <si>
    <t>2024-02-25 15:57:04</t>
  </si>
  <si>
    <t>Krishan Pal Kashyap</t>
  </si>
  <si>
    <t>Boio</t>
  </si>
  <si>
    <t>2024-02-25 14:11:38</t>
  </si>
  <si>
    <t>2024-02-25 14:10:32</t>
  </si>
  <si>
    <t>Samsir Samsir</t>
  </si>
  <si>
    <t>Fino payments Bank mera bond hoga</t>
  </si>
  <si>
    <t>2024-02-25 11:45:52</t>
  </si>
  <si>
    <t>2024-02-25 10:55:15</t>
  </si>
  <si>
    <t>2024-02-25 10:53:02</t>
  </si>
  <si>
    <t>Arun Marandi</t>
  </si>
  <si>
    <t>Mera mobile number link karana hai 9508270850</t>
  </si>
  <si>
    <t>2024-02-25 10:05:19</t>
  </si>
  <si>
    <t>*_सर 90% लोग इसलिए असफल रहते है जब कोई मौका आता है तो उसे सक के निगाह से देखते है क्या आप इन्ही लोगो में से तो नही_*
 *_डियर सर आज आपका ..... रुपये का प्रॉफिट होने वाला है तुरंत कॉल कीजिये सर_*
7002280660 #सूझेगा #लखपति #मगर #साल #मौका #हजार Fino Payments Bank Jishu Dey</t>
  </si>
  <si>
    <t>2024-02-25 09:06:33</t>
  </si>
  <si>
    <t>Nizaamjanseva</t>
  </si>
  <si>
    <t>Abdul Mueed</t>
  </si>
  <si>
    <t>@FinoPaymntsBank  Why are you not interested in my query</t>
  </si>
  <si>
    <t>2024-02-25 08:49:09</t>
  </si>
  <si>
    <t>रिच्छा</t>
  </si>
  <si>
    <t>Rajan Kumar</t>
  </si>
  <si>
    <t>2024-02-25 07:35:29</t>
  </si>
  <si>
    <t>haruntechofficial</t>
  </si>
  <si>
    <t>Sir mujhe csp chahiye</t>
  </si>
  <si>
    <t>2024-02-25 07:34:38</t>
  </si>
  <si>
    <t>Bhola Kumar</t>
  </si>
  <si>
    <t>2024-02-25 01:55:26</t>
  </si>
  <si>
    <t>2024-02-25 01:55:04</t>
  </si>
  <si>
    <t>2024-02-25 01:54:22</t>
  </si>
  <si>
    <t>2024-02-24</t>
  </si>
  <si>
    <t>fino mitra new update | fino mitra login problem slove | fino bank | fino payment bank new update</t>
  </si>
  <si>
    <t>2024-02-24 22:00:04</t>
  </si>
  <si>
    <t>theanitin</t>
  </si>
  <si>
    <t>Sir jobs in new delhi 12 pass vacancies (new delhi ) delhi sir</t>
  </si>
  <si>
    <t>2024-02-24 21:23:54</t>
  </si>
  <si>
    <t>Fino Payments Bank: खाता नंबर से दूसरा सिम कार्ड जोड़ना है</t>
  </si>
  <si>
    <t>2024-02-24 20:52:04</t>
  </si>
  <si>
    <t>Fino Payments Bank Marchant Apply | online free Fino marchant 2024 | Fino Retailer</t>
  </si>
  <si>
    <t>2024-02-24 20:32:12</t>
  </si>
  <si>
    <t>kbv___2605</t>
  </si>
  <si>
    <t>Average Monthly Balance?</t>
  </si>
  <si>
    <t>2024-02-24 20:01:59</t>
  </si>
  <si>
    <t>Dukhi Das</t>
  </si>
  <si>
    <t>Fino Payments Bank: Are loan lene ke liye kya karna</t>
  </si>
  <si>
    <t>2024-02-24 20:01:43</t>
  </si>
  <si>
    <t>the_____rahul____</t>
  </si>
  <si>
    <t>Sabse ghatiya bank hai</t>
  </si>
  <si>
    <t>2024-02-24 19:50:01</t>
  </si>
  <si>
    <t>cards_wizard</t>
  </si>
  <si>
    <t>Cards Wizard</t>
  </si>
  <si>
    <t>📊 Debit cards Market Share
Using Debit Cards as proxy for accounts opened!
🔝 Paytm was the top player!
📮 India Post PB doing well!  
💹 Fino PB is the only pure play listed payments bank!
❌ No data available for Jio &amp;amp; Idea PB!
Source: RBI data https://t.co/NHGlza2098</t>
  </si>
  <si>
    <t>2024-02-24 18:04:11</t>
  </si>
  <si>
    <t>EveryDay Banking</t>
  </si>
  <si>
    <t>Fino Payments Bank POS Machine #bank #swipe #posmachine #shorts</t>
  </si>
  <si>
    <t>2024-02-24 16:02:24</t>
  </si>
  <si>
    <t>Ovais Kaboo</t>
  </si>
  <si>
    <t>App taking too long to respond 👎</t>
  </si>
  <si>
    <t>2024-02-24 15:41:55</t>
  </si>
  <si>
    <t>Mahtab Alam</t>
  </si>
  <si>
    <t>Fino Payments Bank: Your bank frod hai</t>
  </si>
  <si>
    <t>2024-02-24 15:14:21</t>
  </si>
  <si>
    <t>Fino payment BC #viral #short #finomság #Ghar #baithe #Hain #BC #lene #ke #liye🏦😃😃</t>
  </si>
  <si>
    <t>2024-02-24 14:59:32</t>
  </si>
  <si>
    <t>A Awadhesh</t>
  </si>
  <si>
    <t>Fino Payments Bank: 𝙷𝚒</t>
  </si>
  <si>
    <t>2024-02-24 14:33:42</t>
  </si>
  <si>
    <t>FINO PAYMENTS BANK PASSBOOK PRINT | AIRTEL FINO NSDL  INDIAN POST PAYMENT  BANK PASSBOOK PRINTING</t>
  </si>
  <si>
    <t>2024-02-24 14:12:44</t>
  </si>
  <si>
    <t>blackfoxindia</t>
  </si>
  <si>
    <t>Blackfox Financial</t>
  </si>
  <si>
    <t>Payments banks to knock on RBI’s door to seek permission for small-value deposits: Report https://t.co/OrJjeVW0WG https://t.co/zFzIoulusu</t>
  </si>
  <si>
    <t>2024-02-24 14:09:20</t>
  </si>
  <si>
    <t>New delhi</t>
  </si>
  <si>
    <t>2024-02-24 13:39:15</t>
  </si>
  <si>
    <t>2024-02-24 13:39:06</t>
  </si>
  <si>
    <t>2024-02-24 13:39:00</t>
  </si>
  <si>
    <t>2024-02-24 13:38:58</t>
  </si>
  <si>
    <t>2024-02-24 13:38:57</t>
  </si>
  <si>
    <t>2024-02-24 13:38:56</t>
  </si>
  <si>
    <t>Prathmesh Chande</t>
  </si>
  <si>
    <t>फिनो बेकार है
उल्लू बनाते है
मशीन का 25000 ऐंठ लिया
जो दूसरी कंपनी फ्री में देती है
Fino BPCL Tie-up का गलत फायदा उठाती है
मूल में ही चोरी हो फिर प्रगति का कोई चांस ही नही</t>
  </si>
  <si>
    <t>2024-02-24 13:21:56</t>
  </si>
  <si>
    <t>Download karein FinoPay aur Digital Banking se judi har suvidha paaiye ek app par.
#FinoPaymentsBank #FikarNot #FinoBanker #DigitalBanking #SecureBanking #HarDinFino #FinoPay #Download #DownloadNow #UPITransactions #OneAppForAll https://t.co/5F8gHkFQ8c</t>
  </si>
  <si>
    <t>2024-02-24 12:28:28</t>
  </si>
  <si>
    <t>Fino pays respects to the great Chhatrapati Shivaji Maharaj and extends wishes to his followers on the occasion of his birth anniversary.
#FinoPaymentsBank #FikarNot #FinoBanker #DigitalBanking #SecureBanking #ChhatrapatiShivajiMaharajJayanti #BirthAnniversary https://t.co/w26fhzYGfT</t>
  </si>
  <si>
    <t>2024-02-24 12:28:02</t>
  </si>
  <si>
    <t>Looking for 1 reason to open a Shubh Savings account? We have many. Give a Missed Call to 7877788977 now!!
#FinoPaymentsBank #FikarNot #FinoBanker #DigitalBanking #SecureBanking #SavingsAccount #AccountOpening #DownloadNow #ShubhSavingsAccount https://t.co/ffitnZ17MB</t>
  </si>
  <si>
    <t>2024-02-24 12:27:26</t>
  </si>
  <si>
    <t>Fino Payments Bank has applied for a small finance bank (SFB) license with the Reserve Bank of India</t>
  </si>
  <si>
    <t>2024-02-24 08:19:35</t>
  </si>
  <si>
    <t>starbhai_gaurav</t>
  </si>
  <si>
    <t>@shahjada_afzal_khan please dm me</t>
  </si>
  <si>
    <t>2024-02-24 07:24:47</t>
  </si>
  <si>
    <t>editoramar20</t>
  </si>
  <si>
    <t>@sahankur2 Bihar</t>
  </si>
  <si>
    <t>2024-02-24 06:37:48</t>
  </si>
  <si>
    <t>Yousuf Edk</t>
  </si>
  <si>
    <t>Fino Payments Bank: Helo</t>
  </si>
  <si>
    <t>2024-02-24 05:56:33</t>
  </si>
  <si>
    <t>Refer And Earn Loot</t>
  </si>
  <si>
    <t>fino kit order kaise kare | fino combo kit unboxing | fino payment bank | fino physical debit card</t>
  </si>
  <si>
    <t>2024-02-24 02:10:30</t>
  </si>
  <si>
    <t>fino combo kit unboxing | Fino Bank Combo Kit Order Kaise Kare | Fino Welcome Kit Online Order Karen</t>
  </si>
  <si>
    <t>2024-02-24 01:58:54</t>
  </si>
  <si>
    <t>sujal___972</t>
  </si>
  <si>
    <t>Baskwas bank account 😤</t>
  </si>
  <si>
    <t>2024-02-24 01:46:32</t>
  </si>
  <si>
    <t>Fino Payment Bank Assam | Fino Welcome Kit Order Kaise Kare | Combo Kit Order Karen Online #fino</t>
  </si>
  <si>
    <t>2024-02-24 01:14:17</t>
  </si>
  <si>
    <t>2024-02-23</t>
  </si>
  <si>
    <t>@TheSudhirVai</t>
  </si>
  <si>
    <t>Improve Fino pay app, merchant web portal and customer care service
Definitely fix these two things in 2024. Otherwise, the work cannot be done. I am Fino merchant from Kolkata.</t>
  </si>
  <si>
    <t>2024-02-23 23:11:40</t>
  </si>
  <si>
    <t>2024-02-23 23:11:20</t>
  </si>
  <si>
    <t>2024-02-23 23:10:58</t>
  </si>
  <si>
    <t>Yes Minor Account eligible for you</t>
  </si>
  <si>
    <t>2024-02-23 23:10:47</t>
  </si>
  <si>
    <t>2024-02-23 23:09:27</t>
  </si>
  <si>
    <t>sahankur2</t>
  </si>
  <si>
    <t>@editoramar20 which state bro?</t>
  </si>
  <si>
    <t>2024-02-23 23:03:03</t>
  </si>
  <si>
    <t>App improve Karo &amp; Customer care unko kuch nahi pata acche se...👎🏻</t>
  </si>
  <si>
    <t>2024-02-23 23:02:12</t>
  </si>
  <si>
    <t>Fino Payments Bank Dear Team last day eveng 6pm to still partner Login not working and Mitra app also not working</t>
  </si>
  <si>
    <t>2024-02-23 22:35:22</t>
  </si>
  <si>
    <t>Vansh Digital Services</t>
  </si>
  <si>
    <t>Relipay Distributor I&amp;#39;d kaise le। Relipay Distributor I&amp;#39;d le kr unlimited Retelar Free।RNFI I&amp;#39;d Free</t>
  </si>
  <si>
    <t>2024-02-23 21:48:49</t>
  </si>
  <si>
    <t>2024-02-23 21:37:29</t>
  </si>
  <si>
    <t>Giyanshu Don</t>
  </si>
  <si>
    <t>2024-02-23 21:00:32</t>
  </si>
  <si>
    <t>fino kit order kaise kare | fino payments bank assam | fino payment bank | fino combo kit order</t>
  </si>
  <si>
    <t>2024-02-23 20:51:54</t>
  </si>
  <si>
    <t>kakodiya_sonu267</t>
  </si>
  <si>
    <t>एक खाता को कई महीने से चालु कर ने कि कोसी कि लेकिन चालु नही हो सका और मेनै बैंक वाले से बात कि पर बैंक ने भी कोई सहायता नहीं कि और मेनै मेला भी जाने कितने बार कर दिया पर अभी तक कोई मत लब नही है इस बैंक मै भुलाकर भी खाता मत खोलना भैया और मेरे पैसे कितने फसे 15000 रुपए डुब रहे है</t>
  </si>
  <si>
    <t>2024-02-23 20:38:32</t>
  </si>
  <si>
    <t>deepakcmishra81</t>
  </si>
  <si>
    <t>Deepak Mishra</t>
  </si>
  <si>
    <t>@FinoPaymntsBank system to chalu karojo band 6 hrs se</t>
  </si>
  <si>
    <t>2024-02-23 20:09:53</t>
  </si>
  <si>
    <t xml:space="preserve">Ahmedabad </t>
  </si>
  <si>
    <t>Fino Marchant Id kaise banaye | how to Fino Payments Bank Marchant apply 2024</t>
  </si>
  <si>
    <t>2024-02-23 19:50:58</t>
  </si>
  <si>
    <t>UPI ने AEPS के धंदे को ख़तम कर दिया है तो अब AEPS संचालक क्या करेंगे ? roinet,spice money,fino bank</t>
  </si>
  <si>
    <t>2024-02-23 19:43:52</t>
  </si>
  <si>
    <t>fino kit order karen | fino payments bank account opening combo kit | Fino combo kit order online</t>
  </si>
  <si>
    <t>2024-02-23 19:30:17</t>
  </si>
  <si>
    <t>Babai Dey</t>
  </si>
  <si>
    <t>Fino Payments Bank: AC opening charges ki acha ...?</t>
  </si>
  <si>
    <t>2024-02-23 19:17:05</t>
  </si>
  <si>
    <t>Ajj Server Kyou Band Tha???</t>
  </si>
  <si>
    <t>2024-02-23 19:09:14</t>
  </si>
  <si>
    <t>@FinoPaymntsBank since morning issue is coming in the fino portal and app and there is timeline of restoration so how we can provide the services to customer</t>
  </si>
  <si>
    <t>2024-02-23 18:00:50</t>
  </si>
  <si>
    <t>JeetRech</t>
  </si>
  <si>
    <t>jeet rech</t>
  </si>
  <si>
    <t>@FinoPaymntsBank subah se sarvar nahi chal raha hai</t>
  </si>
  <si>
    <t>2024-02-23 17:54:44</t>
  </si>
  <si>
    <t>Aeps Cash withdrawal option not showing</t>
  </si>
  <si>
    <t>2024-02-23 17:45:24</t>
  </si>
  <si>
    <t>Aaj server bahut down↓ hai sir</t>
  </si>
  <si>
    <t>2024-02-23 17:44:54</t>
  </si>
  <si>
    <t>indianman7861</t>
  </si>
  <si>
    <t>Mr Sam</t>
  </si>
  <si>
    <t>@FinoPaymntsBank not able to register on your app not sending message and why deposit needed while opening account solve this</t>
  </si>
  <si>
    <t>2024-02-23 17:37:00</t>
  </si>
  <si>
    <t>2024-02-23 17:14:16</t>
  </si>
  <si>
    <t>Yogesh Bajaj</t>
  </si>
  <si>
    <t xml:space="preserve">Fino server is down since morning and no an positive replay, CMS and DMT customers are awaiting since morning,
what is next..
</t>
  </si>
  <si>
    <t>2024-02-23 17:03:28</t>
  </si>
  <si>
    <t>Payment aur banking aasan banane ke liye download karen FinoPay aur le anand suvidhajanak banking ka! Download FinoPay now!
#FinoPaymentsBank #FikarNot #FinoBanker #DigitalBanking #SecureBanking #HarDinFino #FinoPay #Download #DownloadNow #UPITransactions #OneAppForAll</t>
  </si>
  <si>
    <t>2024-02-23 17:00:39</t>
  </si>
  <si>
    <t>2024-02-23 17:00:01</t>
  </si>
  <si>
    <t>Payment aur banking aasan banane ke liye download karen FinoPay aur le anand suvidhajanak banking ka! Download FinoPay now!
#FinoPaymentsBank #FikarNot #FinoBanker #DigitalBanking #SecureBanking #HarDinFino #FinoPay #Download #DownloadNow #UPITransactions #OneAppForAll https://t.co/7TVKazrjDN</t>
  </si>
  <si>
    <t>2024-02-23 17:00:00</t>
  </si>
  <si>
    <t>2024-02-23 16:46:58</t>
  </si>
  <si>
    <t>royal_baghel_up84</t>
  </si>
  <si>
    <t>Babut bakbas bank</t>
  </si>
  <si>
    <t>2024-02-23 16:23:07</t>
  </si>
  <si>
    <t>Laxman Tech 1M</t>
  </si>
  <si>
    <t>Best Zero Balance Bank Account || Bina bank Jaye Zero Balance Bank Account Opening Online in 2024</t>
  </si>
  <si>
    <t>2024-02-23 16:16:01</t>
  </si>
  <si>
    <t>lovepartner_1</t>
  </si>
  <si>
    <t>Rahul kumar</t>
  </si>
  <si>
    <t>@FinoPaymntsBank Fikar not kaam nhi kar raha hai site</t>
  </si>
  <si>
    <t>2024-02-23 16:01:08</t>
  </si>
  <si>
    <t>2024-02-23 16:00:00</t>
  </si>
  <si>
    <t>Mufaddal Travels</t>
  </si>
  <si>
    <t>Fino Payments Bank: How many time start application?</t>
  </si>
  <si>
    <t>2024-02-23 15:35:57</t>
  </si>
  <si>
    <t>Fino Payments Bank: Server issue</t>
  </si>
  <si>
    <t>2024-02-23 15:35:24</t>
  </si>
  <si>
    <t>rohits_bn</t>
  </si>
  <si>
    <t>Rohit Saini</t>
  </si>
  <si>
    <t>Fino Payments Bank
Meet with Abakkus Funds https://t.co/7LzdXdyWim</t>
  </si>
  <si>
    <t>2024-02-23 14:55:52</t>
  </si>
  <si>
    <t>2024-02-23 13:27:55</t>
  </si>
  <si>
    <t>FNIO PAYMENT BANK</t>
  </si>
  <si>
    <t>FINO PAYMENT BANK, ARANI</t>
  </si>
  <si>
    <t>2024-02-23 13:07:24</t>
  </si>
  <si>
    <t>Amar_Maida_</t>
  </si>
  <si>
    <t>Amar Maida</t>
  </si>
  <si>
    <t>@FinoPaymntsBank Fino Mitra App and Web Portal doesn't working #finobank #fikarnot #finopaymentnbank</t>
  </si>
  <si>
    <t>2024-02-23 12:54:08</t>
  </si>
  <si>
    <t>@FinoPaymntsBank Finomitra app and Web portal doesn't working</t>
  </si>
  <si>
    <t>2024-02-23 12:51:11</t>
  </si>
  <si>
    <t>IAMAIForum</t>
  </si>
  <si>
    <t>IAMAI</t>
  </si>
  <si>
    <t>Don't miss to check out the most recent Special Jury Member of India Digital Awards 2024!🏆🌟
Rishi Gupta, Fino Payments Bank
Tushar Vyas, GroupM South Asia
Visit https://t.co/CIXD9vfx2z to know more.
#14IDA #Logistics #Gaming #OTT #IndiaDigitalAwards #IDA2024 #IAMAI https://t.co/JOCWkAhvSt</t>
  </si>
  <si>
    <t>2024-02-23 12:24:03</t>
  </si>
  <si>
    <t>Internet and Mobile Association of India (IAMAI)</t>
  </si>
  <si>
    <t>Don't miss to check out the most recent Special Jury Member of India Digital Awards 2024!🏆🌟
Rishi Gupta, Fino Payments Bank 
Tushar Vyas, GroupM
Visit https://ida.iamaiawards.in to know more.
#14IDA #Logistics #Gaming #OTT #IndiaDigitalAwards #IDA2024 #IAMAI #InternetAndMobileAssociationOfIndia #NominateNow #DigitalContentChampions #CreativeMagic #DigitalInnovation</t>
  </si>
  <si>
    <t>2024-02-23 12:23:26</t>
  </si>
  <si>
    <t>Internet and Mobile Association of India</t>
  </si>
  <si>
    <t>Don't miss to check out the most recent Special Jury Member of India Digital Awards 2024!🏆🌟
Rishi Gupta, Fino Payments Bank Ltd
Tushar Vyas, GroupM 
Visit https://ida.iamaiawards.in to know more.
#14IDA #Logistics #Gaming #OTT #IndiaDigitalAwards #IDA2024 #IAMAI #InternetAndMobileAssociationOfIndia #NominateNow #DigitalContentChampions #CreativeMagic #DigitalInnovation</t>
  </si>
  <si>
    <t>2024-02-23 12:21:30</t>
  </si>
  <si>
    <t>tauseeflala1991</t>
  </si>
  <si>
    <t>Tauseef Lala</t>
  </si>
  <si>
    <t>@FinoPaymntsBank I am not comfortable putting contact details here. Can you message me so i can share it over there?</t>
  </si>
  <si>
    <t>2024-02-23 11:53:14</t>
  </si>
  <si>
    <t>Fino Payments Bank: BC</t>
  </si>
  <si>
    <t>2024-02-23 11:35:16</t>
  </si>
  <si>
    <t>Fino Payments Bank: Server Kam nahin kar raha hai id login nahin ho raha</t>
  </si>
  <si>
    <t>2024-02-23 11:34:32</t>
  </si>
  <si>
    <t>@FinoPaymntsBank Master gayab ho gya fino ka https://t.co/D3HNA2hWzR</t>
  </si>
  <si>
    <t>2024-02-23 11:13:25</t>
  </si>
  <si>
    <t>@FinoPaymntsBank Jujooo https://t.co/OKSA9nLQnU</t>
  </si>
  <si>
    <t>2024-02-23 11:06:37</t>
  </si>
  <si>
    <t>@FinoPaymntsBank Jujooo https://t.co/Z87V3eVOf0</t>
  </si>
  <si>
    <t>2024-02-23 10:22:34</t>
  </si>
  <si>
    <t>kailash_bishnoi_732</t>
  </si>
  <si>
    <t>Online account open hota hai kya</t>
  </si>
  <si>
    <t>2024-02-23 10:19:33</t>
  </si>
  <si>
    <t>Online account open hota lya</t>
  </si>
  <si>
    <t>2024-02-23 10:19:13</t>
  </si>
  <si>
    <t>Ajay Vasava</t>
  </si>
  <si>
    <t>2024-02-23 10:12:46</t>
  </si>
  <si>
    <t>rathorerj55</t>
  </si>
  <si>
    <t>Rajendra Singh Rathore</t>
  </si>
  <si>
    <t>@FinoPaymntsBank aapka mobile banking system chal kyo nhi rha hai</t>
  </si>
  <si>
    <t>2024-02-23 09:13:37</t>
  </si>
  <si>
    <t>bagavaaan</t>
  </si>
  <si>
    <t>maaran</t>
  </si>
  <si>
    <t>@FinoPaymntsBank How to get ur aadhar sewa Kendra franchise</t>
  </si>
  <si>
    <t>2024-02-23 00:22:02</t>
  </si>
  <si>
    <t>Earth</t>
  </si>
  <si>
    <t>Rajesh Sarkar</t>
  </si>
  <si>
    <t>2024-02-23 00:08:46</t>
  </si>
  <si>
    <t>2024-02-22</t>
  </si>
  <si>
    <t>FinancewidAkhil</t>
  </si>
  <si>
    <t>CA Akhil Agarwal</t>
  </si>
  <si>
    <t>IPOs with CMP &amp;lt; IPO Price
That too after Listing Gains 😳
NYKAA
DELHIVERY
PB FINTECH
NAZARA TECH
EXXARO TILES
HP ADHESIVES
FINO PAYMENTS
CARTRADE TECH
MEDPLUS HEALTH
TARSONS PRODUCT
ADITYA BIRLA SL AMC
CHEMPLAST SANMAR
CAMPUS ACTIVEWEAR
KRSNAA DIAGNOSTICS
AGS TRANSACT TECHNO https://t.co/sC8FmPrZLM</t>
  </si>
  <si>
    <t>2024-02-22 22:54:00</t>
  </si>
  <si>
    <t>Dashrath Nishad</t>
  </si>
  <si>
    <t>Fino Payments Bank: अकाउंट न्यू फोन हो रहा है</t>
  </si>
  <si>
    <t>2024-02-22 22:21:04</t>
  </si>
  <si>
    <t>2024-02-22 22:20:38</t>
  </si>
  <si>
    <t>2024-02-22 22:14:42</t>
  </si>
  <si>
    <t>helfire578096</t>
  </si>
  <si>
    <t>helfire</t>
  </si>
  <si>
    <t>@FinoPaymntsBank I am not able to receive payment on my bank account number 9599293575 kindly solve me or call me 
Bank account holder name : Santhosh mohan rathod https://t.co/Cqw0HaCDWy</t>
  </si>
  <si>
    <t>2024-02-22 22:14:16</t>
  </si>
  <si>
    <t>Fino Payments Bank: Please help</t>
  </si>
  <si>
    <t>2024-02-22 21:55:58</t>
  </si>
  <si>
    <t>2024-02-22 21:55:49</t>
  </si>
  <si>
    <t>Fino Payments Bank: You take my 15 days but not solve my problem</t>
  </si>
  <si>
    <t>2024-02-22 21:55:37</t>
  </si>
  <si>
    <t>Fino Payments Bank: My debit relaxation problem not solve</t>
  </si>
  <si>
    <t>2024-02-22 21:55:14</t>
  </si>
  <si>
    <t>Fino Payments Bank: You have very bad customer support</t>
  </si>
  <si>
    <t>2024-02-22 21:54:54</t>
  </si>
  <si>
    <t>2024-02-22 21:54:44</t>
  </si>
  <si>
    <t>Mahatama Varma</t>
  </si>
  <si>
    <t>2024-02-22 21:36:07</t>
  </si>
  <si>
    <t>Sabse bekar Bank 🏧🏦 hai</t>
  </si>
  <si>
    <t>2024-02-22 21:29:16</t>
  </si>
  <si>
    <t>______kila_r____302</t>
  </si>
  <si>
    <t>Bekar bank Hai Bhai koi mat kholo</t>
  </si>
  <si>
    <t>2024-02-22 21:09:26</t>
  </si>
  <si>
    <t>Kartik Kumar</t>
  </si>
  <si>
    <t>Chor bank 🏦</t>
  </si>
  <si>
    <t>2024-02-22 20:39:40</t>
  </si>
  <si>
    <t>Nice bank fino matalab fikar not</t>
  </si>
  <si>
    <t>2024-02-22 20:17:54</t>
  </si>
  <si>
    <t>ASHOK DOIPHODE</t>
  </si>
  <si>
    <t xml:space="preserve">I am searching job </t>
  </si>
  <si>
    <t>2024-02-22 20:04:37</t>
  </si>
  <si>
    <t>Brijesh Ram</t>
  </si>
  <si>
    <t>2024-02-22 19:41:15</t>
  </si>
  <si>
    <t>Atm Franchisee</t>
  </si>
  <si>
    <t>Master distributor kaise milega aapka mere pas bahut retailer lead hai</t>
  </si>
  <si>
    <t>2024-02-22 19:22:51</t>
  </si>
  <si>
    <t>Verma volgs</t>
  </si>
  <si>
    <t>How to contact📞 Fino payment bank customer care number||#finopaymentsbank helpline number 2024</t>
  </si>
  <si>
    <t>2024-02-22 18:53:46</t>
  </si>
  <si>
    <t>Gaurav Rajput</t>
  </si>
  <si>
    <t xml:space="preserve">Interested to work in Sales and marketing, operation, HRBP profile in banking and finance Sector.
Location- Bihar
Qualification- MBA (Marketing Management)
Experience- Fresher
Fino Payments Bank Ltd   Fincare Small Finance Bank  Ujjivan Small Finance Bank  HDB Financial Services Ltd.  Bajaj Finserv   IndusInd Bank Bandhan Bank  ICICI Prudential AMC Ltd ICICI Bank HDFC Bank HDFC Limited  Axis Bank  Citi  HDFC Affordable Real Estate and Technology  </t>
  </si>
  <si>
    <t>2024-02-22 18:36:12</t>
  </si>
  <si>
    <t>2024-02-22 18:13:17</t>
  </si>
  <si>
    <t>Chaurasiya Munna</t>
  </si>
  <si>
    <t>9304051715cantect me</t>
  </si>
  <si>
    <t>2024-02-22 18:06:36</t>
  </si>
  <si>
    <t>Yes</t>
  </si>
  <si>
    <t>2024-02-22 18:03:44</t>
  </si>
  <si>
    <t>Bhuvnesh Dutt Sharma</t>
  </si>
  <si>
    <t>2024-02-22 17:26:07</t>
  </si>
  <si>
    <t>Aapke apno ke future ko secure karne ke liye chune Fino Bhavishya Savings Account. Aaj hi account kholne ke liye missed call de 7877788977 par.
#FinoPaymentsBank #FikarNot #FinoBanker #DigitalBanking #SecureBanking #HarDinFino #AccountOpening #SavingsAccount #SecureYourFuture https://t.co/idLoaL115q</t>
  </si>
  <si>
    <t>2024-02-22 17:21:03</t>
  </si>
  <si>
    <t>Fazle Haque</t>
  </si>
  <si>
    <t>Fino Payments Bank: 8053292420</t>
  </si>
  <si>
    <t>2024-02-22 17:03:44</t>
  </si>
  <si>
    <t>Fazle Haque: Namaste, Please share your query and contact number. Someone from our team will get in touch with you. Thanks!</t>
  </si>
  <si>
    <t>2024-02-22 17:03:21</t>
  </si>
  <si>
    <t>Ainul Khan</t>
  </si>
  <si>
    <t>Fino Payments Bank: Ainul Khan</t>
  </si>
  <si>
    <t>2024-02-22 17:03:09</t>
  </si>
  <si>
    <t>Ainul Khan: @[Rihan Khan]   Namaste! How can we help you ?</t>
  </si>
  <si>
    <t>2024-02-22 17:02:40</t>
  </si>
  <si>
    <t>Kiran Sarvade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</si>
  <si>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2024-02-22 17:02:16</t>
  </si>
  <si>
    <t>Rihan Khan   Namaste, Thank you for your interest in Fino Payments Bank. Please visit our website or call us on 022 6868 1414 to know more about our products and services. https://www.finobank.com/</t>
  </si>
  <si>
    <t>2024-02-22 17:00:20</t>
  </si>
  <si>
    <t>Aapke apno ke future ko secure karne ke liye chune Fino Bhavishya Savings Account. Aaj hi account kholne ke liye missed call de 7877788977 par.
#FinoPaymentsBank #FikarNot #FinoBanker #DigitalBanking #SecureBanking #HarDinFino #FinoPay #AccountOpening #SavingsAccount #SecureYourFuture</t>
  </si>
  <si>
    <t>2024-02-22 17:00:10</t>
  </si>
  <si>
    <t>2024-02-22 17:00:00</t>
  </si>
  <si>
    <t>Raj Yadav   Namaste! How can we help you ?</t>
  </si>
  <si>
    <t>2024-02-22 16:59:14</t>
  </si>
  <si>
    <t>@sandipbrw Namaste, Please share your query and contact number. Someone from our team will get in touch with you. Thanks!</t>
  </si>
  <si>
    <t>2024-02-22 16:58:43</t>
  </si>
  <si>
    <t>Ajaypal Singh Mahal: Namaste, Thank you for your interest in Fino Payments Bank. Please visit our website or call us on 022 6868 1414 to know more about our products and services. https://www.finobank.com/</t>
  </si>
  <si>
    <t>2024-02-22 16:57:39</t>
  </si>
  <si>
    <t>2024-02-22 16:57:22</t>
  </si>
  <si>
    <t>Rajdeepyadav Yadav: Namaste! How can we help you ?</t>
  </si>
  <si>
    <t>2024-02-22 16:47:54</t>
  </si>
  <si>
    <t>Anand Mohan Tiwari</t>
  </si>
  <si>
    <t xml:space="preserve">Interested to work in Sales and marketing, operation, HRBP profile in banking and finance Sector. 
Location- Bihar
Qualification- MBA (Marketing Management)
Experience- Fresher
Fino Payments Bank Ltd Fincare Small Finance Bank Ujjivan Small Finance Bank HDB Financial Services Ltd. Bajaj Allianz General Insurance Bajaj Finserv Airtel Payments Bank IndusInd Bank Syndicate Bank  Bandhan Bank ICICI Bank HDFC Bank Axis Bank Shriram Finance Limited </t>
  </si>
  <si>
    <t>2024-02-22 16:29:05</t>
  </si>
  <si>
    <t>Shivam Yadav</t>
  </si>
  <si>
    <t>Mera Paisa ₹34 kata hai</t>
  </si>
  <si>
    <t>2024-02-22 16:04:04</t>
  </si>
  <si>
    <t>The social baba</t>
  </si>
  <si>
    <t>Fino merchant kese bane</t>
  </si>
  <si>
    <t>2024-02-22 14:52:35</t>
  </si>
  <si>
    <t>sameer______79061</t>
  </si>
  <si>
    <t>2024-02-22 14:28:25</t>
  </si>
  <si>
    <t>shahjada_afzal_khan</t>
  </si>
  <si>
    <t>How to open bank account plz reply</t>
  </si>
  <si>
    <t>2024-02-22 14:06:22</t>
  </si>
  <si>
    <t>@LakhanVerm36420 Namaste, Please share your query and contact number. Someone from our team will get in touch with you. Thanks!</t>
  </si>
  <si>
    <t>2024-02-22 13:36:38</t>
  </si>
  <si>
    <t>Md Arif   Namaste, Thank you for your interest in Fino Payments Bank. Please visit our website or call us on 022 6868 1414 to know more about our products and services. https://www.finobank.com/</t>
  </si>
  <si>
    <t>2024-02-22 13:36:00</t>
  </si>
  <si>
    <t>@pandit.gk.ravan Namaste, Please share your query and contact number. Someone from our team will get in touch with you. Thanks!</t>
  </si>
  <si>
    <t>2024-02-22 13:31:49</t>
  </si>
  <si>
    <t>2024-02-22 13:30:52</t>
  </si>
  <si>
    <t>Chaurasiya Munna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</si>
  <si>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2024-02-22 13:28:11</t>
  </si>
  <si>
    <t>Shailendra Singh: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</si>
  <si>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2024-02-22 13:27:10</t>
  </si>
  <si>
    <t>Chandan Chauhan   Namaste! How can we help you ?</t>
  </si>
  <si>
    <t>2024-02-22 13:24:16</t>
  </si>
  <si>
    <t>@Sanjay__Ahirwar Namaste, Please share your query and contact number. Someone from our team will get in touch with you. Thanks!</t>
  </si>
  <si>
    <t>2024-02-22 13:24:03</t>
  </si>
  <si>
    <t>Mahesh Sharma   Namaste, Please share your query and contact number. Someone from our team will get in touch with you. Thanks!</t>
  </si>
  <si>
    <t>2024-02-22 13:22:40</t>
  </si>
  <si>
    <t>Mahesh Sharma</t>
  </si>
  <si>
    <t>Bakwas hai yah Bank Achcha Nahin Hota</t>
  </si>
  <si>
    <t>2024-02-22 12:51:57</t>
  </si>
  <si>
    <t>Contact</t>
  </si>
  <si>
    <t>2024-02-22 10:29:04</t>
  </si>
  <si>
    <t>SK Priyam Raj</t>
  </si>
  <si>
    <t>Prithviraj Chauhan Ind 9002238547</t>
  </si>
  <si>
    <t>2024-02-22 09:49:33</t>
  </si>
  <si>
    <t>QM-FINO-E661</t>
  </si>
  <si>
    <t>Sanjay__Ahirwar</t>
  </si>
  <si>
    <t>Sanjay</t>
  </si>
  <si>
    <t>@FinoPaymntsBank 
अगर आप लोगो को केवाईसी करनी नही होती तो आप लोग अकाउंट खुलते ही पैसे क्यों मांगते हो मैने पचास बार केवाईसी करने की कोशिश की अलग अलग डिवाइस से और नेटवर्क से लेकिन केवाईसी हमेशा नेटवर्क इश्यू बताकर आप लोग टाल देते हो अगर आज केवाईसी नही हुई तो आरबीआई में शिकायत</t>
  </si>
  <si>
    <t>2024-02-22 09:28:30</t>
  </si>
  <si>
    <t>Chandan Chauhan</t>
  </si>
  <si>
    <t>2024-02-22 08:21:27</t>
  </si>
  <si>
    <t>2024-02-21</t>
  </si>
  <si>
    <t>Fino Payments Bank: I am Marchant</t>
  </si>
  <si>
    <t>2024-02-21 23:11:11</t>
  </si>
  <si>
    <t>Fino Payments Bank: 449rs. Account opening no options</t>
  </si>
  <si>
    <t>2024-02-21 23:09:04</t>
  </si>
  <si>
    <t>Mali Rajveer Kharya</t>
  </si>
  <si>
    <t>अगर किसी को फिनकेयर स्माल फाइनेंस बैंक में 0 बैलेंस अकाउंट ओपन वाली चाहिए तो मुझे व्हाट्सएप करना चाहिए I बिलकुल फ्री मिलेगी इंडिया में कहीं भी या लाइफ टाइम के लिए अकाउंट ओपन सर्विस मिलेगी या AEPS में भी कमीशन हाई वह हमें अभी व्हाट्सएप करे +918821917332
Agar kisi ko fincare small finance Bank me 0 balance acount opne wali I'd chahiye to mujhe WhatsApp kare I'd  billkul free milegi India me kahi bhi or life time ke liye acount opne sarvice milegi or AEPS me bhi commission high he  hme abhi whatsup kare +918821917332</t>
  </si>
  <si>
    <t>2024-02-21 22:59:49</t>
  </si>
  <si>
    <t>Sourav Kamalpur Dhali Tripura</t>
  </si>
  <si>
    <t>Fino Payments Bank: Nice 👍👍</t>
  </si>
  <si>
    <t>2024-02-21 20:26:05</t>
  </si>
  <si>
    <t>Fino ka I'd kitna me milega</t>
  </si>
  <si>
    <t>2024-02-21 20:12:48</t>
  </si>
  <si>
    <t>𝐅𝐨𝐥𝐥𝐨𝐰 𝐊𝐚𝐫 𝐥𝐞𝐧𝐚 𝐛𝐡𝐚𝐢🥰
.
.
.
.
.
.
.
.
.
.
.
.
.
.
alone_boy_prince935 radhesao417 tradgo_app its_lalan_top_br_09 nirajkumar97984 vk4905611 nandani_sharma109 rdxeditor20 abhishekji100k kiran.kumari805 razzubhai finopaymentsbank itzz_nandani_20k smart_boy_mithun.420 recharge.multi surendrasharma7922 prahalad_majhi__112 kir_ankumari805 recharge.par.id tech_spert it.s_krishna___ jyotigoutam1811 alhabibi_01</t>
  </si>
  <si>
    <t>2024-02-21 18:33:58</t>
  </si>
  <si>
    <t>*_तुम यूँ ही सोचते रहोगे, दुसरे कर जायेंगे_* |
*_तुम यूँ ही टालते रहोगे, दुसरे बढ़ जायेंगे_* |
*_अवसर कभी रुकते नहीं, आगे निकल जायेंगें_* |
*_हाँथ पर हाँथ रख बैठे रहोगे, सपने मर जायेंगें ||_*
*_किस्मत भी बादशाह उन्हीं को बनाती है जो खुद कुछ करने का हुनर रखते हैं_* 🔥☝
*_दुनिया में अगर कोई कर सकता है तो आप भी कर सकते हो खुद पर भरोसा रखो_* ❤💎🤝✌✌
*आओ मिलकर🫂 बड़ा नहीं बहुत बड़ा करते है।।*
 *""*🤝. 😎🤟🏻* #networkmarketing #lifestyle #mlm #followers #onlinemarketing Fino Payments Bank Jishu Dey @highlight</t>
  </si>
  <si>
    <t>2024-02-21 17:55:21</t>
  </si>
  <si>
    <t>Monu Kumar   Namaste, Please share your query and contact number. Someone from our team will get in touch with you. Thanks!</t>
  </si>
  <si>
    <t>2024-02-21 17:47:51</t>
  </si>
  <si>
    <t>Fino Fino payment Bank meeting 🤝</t>
  </si>
  <si>
    <t>2024-02-21 16:08:54</t>
  </si>
  <si>
    <t>Partha Jena</t>
  </si>
  <si>
    <t>Fino Payments Bank: 8328938272</t>
  </si>
  <si>
    <t>2024-02-21 15:48:29</t>
  </si>
  <si>
    <t>QM-FINO-E662</t>
  </si>
  <si>
    <t>BIRBAL DjMix</t>
  </si>
  <si>
    <t>how to contact fino payment Bank customer care number fino payment Bank customer care helpline numbe</t>
  </si>
  <si>
    <t>2024-02-21 15:46:44</t>
  </si>
  <si>
    <t>Badal Raaz: Hi Sir,  how can i help you ?</t>
  </si>
  <si>
    <t>2024-02-21 15:39:48</t>
  </si>
  <si>
    <t>Sachin Kumar: Namaste! How can we help you ?</t>
  </si>
  <si>
    <t>2024-02-21 15:14:04</t>
  </si>
  <si>
    <t>2024-02-21 15:02:43</t>
  </si>
  <si>
    <t>Dheeraj Kumar: Namaste, Thank you for your interest in Fino Payments Bank. Please visit our website or call us on 022 6868 1414 to know more about our products and services. https://www.finobank.com/</t>
  </si>
  <si>
    <t>2024-02-21 15:01:44</t>
  </si>
  <si>
    <t>Partha Jena: Namaste, Please share your query and contact number. Someone from our team will get in touch with you. Thanks!</t>
  </si>
  <si>
    <t>2024-02-21 14:59:54</t>
  </si>
  <si>
    <t>Manish Gawariya: Namaste, Please share your query and contact number. Someone from our team will get in touch with you. Thanks!</t>
  </si>
  <si>
    <t>2024-02-21 14:59:11</t>
  </si>
  <si>
    <t>2024-02-21 14:55:13</t>
  </si>
  <si>
    <t>Goribe Blogs R1</t>
  </si>
  <si>
    <t>fino Paytm bank se phone pay Google pay Kaise banaya</t>
  </si>
  <si>
    <t>2024-02-21 14:55:00</t>
  </si>
  <si>
    <t>financewithakhilendra</t>
  </si>
  <si>
    <t>National Highway Authority of India (NHAI) has removed the Paytm from the list of banks for Fastag Service
Here are the list of active members
airtelpaymentsbank 
aubankindia axis_bank bandhan_bank canarabankinsta centralbankofindiaofficial
Cosmos Bank
Dombivli Nagari Sahakari Bank
federalbanklimited finopaymentsbank hdfcbank icicibank idbibankofficial idfcfirstbank myindianbank iobindia indusind_bank karnatakabank officialkarurvysyabank pnbindia
Bank of Baroda
Bank of Maharashtra
City Union Bank
Equitas Small Finance Bank
Saraswat Bank
South Indian Bank
State Bank of India
The Jalgaon People Cooperative Bank
Thrissur District Cooperative Bank
UCO Bank
Union Bank of India
Yes Bank
LivQuik/QuikWallet
#financewithakhilendra #financebyakhil #financewithakhil #finance #fastag #paytmfastag #business</t>
  </si>
  <si>
    <t>2024-02-21 14:52:32</t>
  </si>
  <si>
    <t>Krishan Singh Sisodiya: Namaste! How can we help you ?</t>
  </si>
  <si>
    <t>2024-02-21 14:52:31</t>
  </si>
  <si>
    <t>@tauseeflala1991 Namaste, Please share your query and contact number. Someone from our team will get in touch with you. Thanks!</t>
  </si>
  <si>
    <t>2024-02-21 14:52:12</t>
  </si>
  <si>
    <t>@Babaji962 Namaste, Please share your query and contact number. Someone from our team will get in touch with you. Thanks!</t>
  </si>
  <si>
    <t>2024-02-21 14:51:01</t>
  </si>
  <si>
    <t>Fino payment Bank Atm card pin Kane koyi bonabo lage</t>
  </si>
  <si>
    <t>2024-02-21 13:55:55</t>
  </si>
  <si>
    <t>We are investing into building a leadership team. We are intending to have a dedicated team to enhance liabilities, says @[Ketan Merchant](urn:li:person:YoARpbVmgz), CFO, Fino Payments Bank as the banks average deposits grew by 42% YoY.
Read the complete article here! https://lnkd.in/dr-hF5kx
@[Rishi Gupta](urn:li:person:EnpO49orWl) @[Shailesh Pandey](urn:li:person:q0QI5q5ARc) @[Tejas Maniar](urn:li:person:YrExoGqq8J) @[Ashish Ahuja](urn:li:person:Cpt8ThVrZf) 
{hashtag|\#|FinoPaymentsBank} {hashtag|\#|FikarNot} {hashtag|\#|FinoBanker} {hashtag|\#|DigitalBanking} {hashtag|\#|SecureBanking} {hashtag|\#|HarDinFino} {hashtag|\#|FinoPay} {hashtag|\#|ArticleBlog} {hashtag|\#|InvestmentStrategy}</t>
  </si>
  <si>
    <t>2024-02-21 13:30:08</t>
  </si>
  <si>
    <t>Adhaar me mobile number update ka kam bhi do</t>
  </si>
  <si>
    <t>2024-02-21 13:30:06</t>
  </si>
  <si>
    <t>We are investing into building a leadership team,” says Ketan Merchant, CFO, Fino Payments Bank as the bank's average deposits grew by 42% YoY.
Read the complete article here! https://t.co/ow0DzqdnrY
#FinoPaymentsBank #FikarNot #FinoBanker #DigitalBanking #SecureBanking</t>
  </si>
  <si>
    <t>2024-02-21 13:30:00</t>
  </si>
  <si>
    <t>Prithviraj Chauhan Ind</t>
  </si>
  <si>
    <t>Arpan Singh sir please send me contact number</t>
  </si>
  <si>
    <t>2024-02-21 13:06:22</t>
  </si>
  <si>
    <t>Mufaddal Travels sir please send me contact number</t>
  </si>
  <si>
    <t>2024-02-21 13:03:45</t>
  </si>
  <si>
    <t>Nabin Chakma sir please send me contact number of</t>
  </si>
  <si>
    <t>2024-02-21 13:03:02</t>
  </si>
  <si>
    <t>SK Priyam Raj sir please send me contact number of</t>
  </si>
  <si>
    <t>2024-02-21 13:02:50</t>
  </si>
  <si>
    <t>Lakshmi Sah   Namaste, Thank you for your interest in Fino Payments Bank. Please visit our website or call us on 022 6868 1414 to know more about our products and services. https://www.finobank.com/</t>
  </si>
  <si>
    <t>2024-02-21 12:55:05</t>
  </si>
  <si>
    <t>Ram Ratan   Namaste! How can we help you ?</t>
  </si>
  <si>
    <t>2024-02-21 12:54:10</t>
  </si>
  <si>
    <t>Akbar Mohammad   Namaste, Thank you for your interest in Fino Payments Bank. Please visit our website or call us on 022 6868 1414 to know more about our products and services. https://www.finobank.com/</t>
  </si>
  <si>
    <t>2024-02-21 12:53:24</t>
  </si>
  <si>
    <t>2024-02-21 12:52:52</t>
  </si>
  <si>
    <t>@awanag6531</t>
  </si>
  <si>
    <t>Sir mail id mang rha h</t>
  </si>
  <si>
    <t>2024-02-21 12:31:06</t>
  </si>
  <si>
    <t>how to contact Fino payment bank Customer Care Number | how to call Live Fino  bank  helpline number</t>
  </si>
  <si>
    <t>2024-02-21 11:09:36</t>
  </si>
  <si>
    <t>pandit.gk.ravan</t>
  </si>
  <si>
    <t>सबसे बेकार बैंक है फीनो</t>
  </si>
  <si>
    <t>2024-02-21 10:57:19</t>
  </si>
  <si>
    <t>Shubam Vishwakarma</t>
  </si>
  <si>
    <t>Fino Payments Bank: TQ</t>
  </si>
  <si>
    <t>2024-02-21 10:32:05</t>
  </si>
  <si>
    <t>Gudiya Meena</t>
  </si>
  <si>
    <t>फ्री टीम के लिए टेलीग्रामजॉइन कर लो👇
https://t.me/+i32SnZ7vBkRlMmM9
https://t.me/+i32SnZ7vBkRlMmM9</t>
  </si>
  <si>
    <t>2024-02-21 09:05:14</t>
  </si>
  <si>
    <t>Cheqs?</t>
  </si>
  <si>
    <t>2024-02-21 08:22:16</t>
  </si>
  <si>
    <t>Fino wishes a Happy International Mother Language Day to everyone. Let's celebrate our own language and speak it with pride.
#FinoPaymentsBank #FikarNot #FinoBanker #DigitalBanking #SecureBanking #HarDinFino #FinoPay #InternationalMotherLanguageDay #MotherLanguageDay #MotherLanguage</t>
  </si>
  <si>
    <t>2024-02-21 08:03:54</t>
  </si>
  <si>
    <t>2024-02-21 08:00:00</t>
  </si>
  <si>
    <t>Ram Ratan</t>
  </si>
  <si>
    <t>2024-02-21 07:42:04</t>
  </si>
  <si>
    <t>May poll paper pay salt homemade pay saga jata hai his kitchen cadiz</t>
  </si>
  <si>
    <t>2024-02-21 07:41:40</t>
  </si>
  <si>
    <t>Account Restriction welcome kit, DMS Revision Fino Payment Bank problem, Fino error, relative issue</t>
  </si>
  <si>
    <t>2024-02-21 06:59:47</t>
  </si>
  <si>
    <t>Lakshmi Sah</t>
  </si>
  <si>
    <t>Jero balance ac open ho jayega ji</t>
  </si>
  <si>
    <t>2024-02-21 00:18:43</t>
  </si>
  <si>
    <t>2024-02-20</t>
  </si>
  <si>
    <t xml:space="preserve">Efforts of the team giving recognition to their Zonal Head. Good Job guys Satish Dubey Rajnish Srivastava Sandeep Ghai Ashish Gupta  😊 Fino Payments Bank Ltd </t>
  </si>
  <si>
    <t>2024-02-20 23:27:31</t>
  </si>
  <si>
    <t>Agar kisi ko fincare small finance Bank me 0 balance acount opne wali I'd chahiye to mujhe WhatsApp kare I'd  billkul free milegi India me kahi bhi or life time ke liye acount opne sarvice milegi or AEPS me bhi commission high he  hme abhi whatsup kare +918821917332</t>
  </si>
  <si>
    <t>2024-02-20 23:08:41</t>
  </si>
  <si>
    <t>But 450 charges hai account opening par</t>
  </si>
  <si>
    <t>2024-02-20 21:45:34</t>
  </si>
  <si>
    <t>QM-FINO-E663</t>
  </si>
  <si>
    <t>shivam___________maharaj</t>
  </si>
  <si>
    <t>😍😍</t>
  </si>
  <si>
    <t>2024-02-20 21:39:58</t>
  </si>
  <si>
    <t>Cheqs Pls</t>
  </si>
  <si>
    <t>2024-02-20 21:28:49</t>
  </si>
  <si>
    <t>78702_89411</t>
  </si>
  <si>
    <t>Super 😊</t>
  </si>
  <si>
    <t>2024-02-20 21:21:33</t>
  </si>
  <si>
    <t>सुपर सर्विस फिनो पेमेंट बँक</t>
  </si>
  <si>
    <t>2024-02-20 21:15:30</t>
  </si>
  <si>
    <t>2024-02-20 21:15:04</t>
  </si>
  <si>
    <t>7355ramesh</t>
  </si>
  <si>
    <t>Chor hai</t>
  </si>
  <si>
    <t>2024-02-20 20:58:39</t>
  </si>
  <si>
    <t>@FinoPaymntsBank  हमारे ट्वीट को संज्ञान में क्यों नहीं लिया जाता है</t>
  </si>
  <si>
    <t>2024-02-20 20:53:10</t>
  </si>
  <si>
    <t>QM-FINO-E664</t>
  </si>
  <si>
    <t>2024-02-20 20:25:07</t>
  </si>
  <si>
    <t>Moni Jat Airtel ka barnch kaha hai sir</t>
  </si>
  <si>
    <t>2024-02-20 19:55:22</t>
  </si>
  <si>
    <t>Moni Jat me chala ke dekh liya Airtel ko maja nahi aaya ok sir कैमिसन कम है सर हमने 3 साल कम किया है</t>
  </si>
  <si>
    <t>2024-02-20 19:54:46</t>
  </si>
  <si>
    <t>Md Arif</t>
  </si>
  <si>
    <t>449 per year changr lat hai</t>
  </si>
  <si>
    <t>2024-02-20 19:47:10</t>
  </si>
  <si>
    <t>*आपसे कुछ सवाल है भाई जी क्या आप तैयार* ?
 क्या आप Status देखते है ,रील देखते है स्टोरी देखते है 
जवाब तो आपका हां ही है लेकिन आपको कितना पैसा आता है 
सच बताना नही न आता है नहीं लेकिन आपको क्या इसके बदले इनकम करना है तो...Msg me
https://wa.link/x5fln5
#networkmarketing #lifestyle #mlm #followers #onlinemarketing Fino Payments Bank Jishu Dey</t>
  </si>
  <si>
    <t>2024-02-20 19:27:48</t>
  </si>
  <si>
    <t>LakhanVerm36420</t>
  </si>
  <si>
    <t>Lakhan Verma</t>
  </si>
  <si>
    <t>@FinoPaymntsBank @Babaji962 Hello sir I am your fino bank marchent customer 
Please 🙏 meri me Aeps withdrawal option jalo nhi a rah he mere address verification bhi karawa Diya he 
So please help me</t>
  </si>
  <si>
    <t>2024-02-20 19:14:24</t>
  </si>
  <si>
    <t>Rajdeepyadav Yadav</t>
  </si>
  <si>
    <t>2024-02-20 19:14:21</t>
  </si>
  <si>
    <t>@FinoPaymntsBank 
Merchant customer ke liye farjivada karta hai this is a totally fraud</t>
  </si>
  <si>
    <t>2024-02-20 19:08:41</t>
  </si>
  <si>
    <t>thesubhan96</t>
  </si>
  <si>
    <t>450rs mai</t>
  </si>
  <si>
    <t>2024-02-20 18:59:32</t>
  </si>
  <si>
    <t>Our project on {hashtag|\#|Cleaning} {hashtag|\#|Treatment} of waterbody with \@social umbrella foundation under CSR from @[Fino Payments Bank Ltd](urn:li:organization:247810) .</t>
  </si>
  <si>
    <t>2024-02-20 18:54:20</t>
  </si>
  <si>
    <t>Nabin Chakma</t>
  </si>
  <si>
    <t>Fino Payment Bank funding change 450 is very high</t>
  </si>
  <si>
    <t>2024-02-20 18:49:14</t>
  </si>
  <si>
    <t>Looking for 1 reason to open a Shubh Savings account? We have many. Give a Missed Call to 7877788977 now!!
#FinoPaymentsBank #FikarNot #FinoBanker #DigitalBanking #SecureBanking #SavingsAccount #AccountOpening #DownloadNow #ShubhSavingsAccount</t>
  </si>
  <si>
    <t>2024-02-20 18:42:47</t>
  </si>
  <si>
    <t>2024-02-20 18:42:45</t>
  </si>
  <si>
    <t>2024-02-20 18:42:35</t>
  </si>
  <si>
    <t>Ashok Kumar Pandey</t>
  </si>
  <si>
    <t>#kadarmehnatki #fikarnot Fino Payments Bank Ltd  - Thanks Team Jharkhand and Chhattisgarh</t>
  </si>
  <si>
    <t>2024-02-20 18:02:43</t>
  </si>
  <si>
    <t>Looking for 1 reason to open a Shubh Savings account? We have many. Give a Missed Call to 7877788977 now!!
#FinoPaymentsBank #FikarNot #FinoBanker #DigitalBanking #SecureBanking #SavingsAccount #AccountOpening #DownloadNow #ShubhSavingsAccount https://t.co/2AmLHOKjfV</t>
  </si>
  <si>
    <t>2024-02-20 17:49:50</t>
  </si>
  <si>
    <t>2024-02-20 17:47:55</t>
  </si>
  <si>
    <t>Ajaypal Singh Mahal</t>
  </si>
  <si>
    <t>Fino Payments Bank: Also how to open bank account online on fino payment bank</t>
  </si>
  <si>
    <t>2024-02-20 17:19:41</t>
  </si>
  <si>
    <t>Fino Payments Bank: And also that is any maintenance or annual charges regarding card or bank account</t>
  </si>
  <si>
    <t>2024-02-20 17:19:26</t>
  </si>
  <si>
    <t>Fino Payments Bank: Is there any charges for opening fino account</t>
  </si>
  <si>
    <t>2024-02-20 17:19:02</t>
  </si>
  <si>
    <t>Fino Payments Bank: @finopayment bank</t>
  </si>
  <si>
    <t>2024-02-20 17:18:46</t>
  </si>
  <si>
    <t>2024-02-20 17:18:32</t>
  </si>
  <si>
    <t>sandipbrw</t>
  </si>
  <si>
    <t>sandeep barwey</t>
  </si>
  <si>
    <t>@FinoPaymntsBank 
Hello sir 
My name is sandeep barve 
Your agent create my fino id But I'd not crated before six month 
Plz sir solve my problem</t>
  </si>
  <si>
    <t>2024-02-20 17:17:05</t>
  </si>
  <si>
    <t>Chhindwara, india</t>
  </si>
  <si>
    <t>durgesh_n8</t>
  </si>
  <si>
    <t>Durgesh Nishad</t>
  </si>
  <si>
    <t>🚨 Top Payments Bank in India*
• India Post Payments Bank- 80M
• Airtel Payments Bank- 60M
• Paytm Payments Bank- 30M
• Fino Payments Bank- 8M
• Jio Payments Bank- NA
• NSDL Payments Bank- NA</t>
  </si>
  <si>
    <t>2024-02-20 16:22:32</t>
  </si>
  <si>
    <t xml:space="preserve">Bangalore </t>
  </si>
  <si>
    <t>🚨 Top Payments Bank in India *
• India Post Payments Bank- 80M
• Airtel Payments Bank- 60M
• Paytm Payments Bank- 30M
• Fino Payments Bank- 8M
• Jio Payments Bank- NA
• NSDL Payments Bank- NA
* based on user base, indicated after each name</t>
  </si>
  <si>
    <t>2024-02-20 16:21:38</t>
  </si>
  <si>
    <t>Cyber Vle</t>
  </si>
  <si>
    <t>FINO PAYMENT BANK PASSBOOK PRINT ID|PAYMENT BANK PASSBOOK PRINT FINO AIRTEL PAYTM INDIA POST PAYMENT</t>
  </si>
  <si>
    <t>2024-02-20 16:11:22</t>
  </si>
  <si>
    <t>Account Restriction welcome kit, DMS Revision Fino Payment Bank problem,Fino error, relative issue</t>
  </si>
  <si>
    <t>2024-02-20 16:00:03</t>
  </si>
  <si>
    <t>@FinoPaymntsBank हमे एसबीआई और बैंक ऑफ बड़ौदा में कैश deposit करने में दिक्कत का सामना हो रहा है।
हम कैश इन की request कैसे लगाएं।
ब्रांच वाले सहायता नही कर रहे हैं।
@RBI</t>
  </si>
  <si>
    <t>2024-02-20 14:55:20</t>
  </si>
  <si>
    <t>Mukesh Khatri</t>
  </si>
  <si>
    <t>2024-02-20 14:45:42</t>
  </si>
  <si>
    <t>Raj Yadav</t>
  </si>
  <si>
    <t>2024-02-20 13:54:57</t>
  </si>
  <si>
    <t>2024-02-20 13:54:26</t>
  </si>
  <si>
    <t>Vijay Malhotra</t>
  </si>
  <si>
    <t>2024-02-20 13:39:59</t>
  </si>
  <si>
    <t>br_07__road_king_ssrl_tpt_</t>
  </si>
  <si>
    <t>Ghatiya Bank hai</t>
  </si>
  <si>
    <t>2024-02-20 11:28:18</t>
  </si>
  <si>
    <t>Amit Mishra</t>
  </si>
  <si>
    <t>fino payment bank 🏦 #fino #combo kit #accounting #atm @FinoBankDistributor</t>
  </si>
  <si>
    <t>2024-02-20 10:54:50</t>
  </si>
  <si>
    <t>Chaudhari Associates</t>
  </si>
  <si>
    <t>Fino Bank Smart POS Watchdeta WD-91F Full Introduction | Fino Bank WPos Machine Unboxing 2024</t>
  </si>
  <si>
    <t>2024-02-20 08:04:55</t>
  </si>
  <si>
    <t>KundanVip1</t>
  </si>
  <si>
    <t>Fino payment bank account number kaise pata kare | fino bank account number forget online</t>
  </si>
  <si>
    <t>2024-02-20 07:19:17</t>
  </si>
  <si>
    <t>The Financial Express</t>
  </si>
  <si>
    <t>Fino to expand leadership, boost deposits before conversion to SFB: CFO</t>
  </si>
  <si>
    <t>2024-02-20 01:15:00</t>
  </si>
  <si>
    <t>2024-02-19</t>
  </si>
  <si>
    <t>Fino payment Bank account open ho jayega</t>
  </si>
  <si>
    <t>2024-02-19 22:51:22</t>
  </si>
  <si>
    <t>2024-02-19 22:17:11</t>
  </si>
  <si>
    <t>itasam18</t>
  </si>
  <si>
    <t>Nakli bank  hai only pass kat ta hai</t>
  </si>
  <si>
    <t>2024-02-19 21:26:24</t>
  </si>
  <si>
    <t>Extra SarkariFast</t>
  </si>
  <si>
    <t>Fino Payment Bank Update 2024 | Fino Currant Account Kaise Khole 2024 | How To Open Fino Currant AC</t>
  </si>
  <si>
    <t>2024-02-19 21:15:06</t>
  </si>
  <si>
    <t>Fino Payment Bank | Fino Bank ka Branch Kahan hai | Fino Bank ka Ifsc Code</t>
  </si>
  <si>
    <t>2024-02-19 20:00:07</t>
  </si>
  <si>
    <t>G D TECH</t>
  </si>
  <si>
    <t>Fino payment bank | Fino best | Fino payment bank digitally security | Fino Dbt npci account opened</t>
  </si>
  <si>
    <t>2024-02-19 19:46:36</t>
  </si>
  <si>
    <t>Aditya Samrat</t>
  </si>
  <si>
    <t>Fino Payments Bank: Hi fino payment
Sir kya ham fino payment Bank ko Facebook monetization me add kar sakate hai</t>
  </si>
  <si>
    <t>2024-02-19 18:19:37</t>
  </si>
  <si>
    <t>Kiran Sarvade</t>
  </si>
  <si>
    <t>I want fino bank csp</t>
  </si>
  <si>
    <t>2024-02-19 14:09:17</t>
  </si>
  <si>
    <t>Dharmraj Patidar</t>
  </si>
  <si>
    <t>🙏🙏🙏🙏🙏</t>
  </si>
  <si>
    <t>2024-02-19 13:00:09</t>
  </si>
  <si>
    <t>2024-02-19 12:48:37</t>
  </si>
  <si>
    <t>Fino Payments Bank: Na hi kyc puri ho paa Rahi</t>
  </si>
  <si>
    <t>2024-02-19 12:24:04</t>
  </si>
  <si>
    <t>Fino Payments Bank: Kayi baar request raise karne k baad bhi kisi ne contact na koya</t>
  </si>
  <si>
    <t>2024-02-19 12:23:52</t>
  </si>
  <si>
    <t>Fino Payments Bank: Sir maine Account open krne k liye request Dali hui</t>
  </si>
  <si>
    <t>2024-02-19 12:23:37</t>
  </si>
  <si>
    <t>2024-02-19 12:23:23</t>
  </si>
  <si>
    <t>yogensachdev</t>
  </si>
  <si>
    <t>Yogen Sachdev</t>
  </si>
  <si>
    <t>@Pasha2k Brother, just switch to Fino, WYLD, Au small finance Bank or one of these modern (fully digital) banks who actually care about the customer. Avoid dealing with giants.</t>
  </si>
  <si>
    <t>2024-02-19 11:44:50</t>
  </si>
  <si>
    <t>कृपाल सिंह सोनू तोमर</t>
  </si>
  <si>
    <t>Fino payment bank giret</t>
  </si>
  <si>
    <t>2024-02-19 11:39:39</t>
  </si>
  <si>
    <t>RANJAN KUMAR</t>
  </si>
  <si>
    <t>I'm searching job for  assets product as a supervisor. My previous experience approx 5 year.</t>
  </si>
  <si>
    <t>2024-02-19 11:06:51</t>
  </si>
  <si>
    <t>2024-02-19 11:06:14</t>
  </si>
  <si>
    <t>Anand Bhatia</t>
  </si>
  <si>
    <t xml:space="preserve">At the Mumbai Tech Week , Jio Convention Center.
Drop in for a chat on - Fintech, Banking, Partnerships, Open Banking, Digital Banking...
Tech Entrepreneurs Association of Mumbai (TEAM) Fino Payments Bank Ltd </t>
  </si>
  <si>
    <t>2024-02-19 10:23:03</t>
  </si>
  <si>
    <t>@EditorAmar_Official</t>
  </si>
  <si>
    <t>New merchant I'd but aeps cash withdrawal option not showing</t>
  </si>
  <si>
    <t>2024-02-19 08:40:44</t>
  </si>
  <si>
    <t>Fino pays respects to the great Chhatrapati Shivaji Maharaj and extends wishes to his followers on the occasion of his birth anniversary.
#FinoPaymentsBank #FikarNot #FinoBanker #DigitalBanking #SecureBanking #HarDinFino #FinoPay #ChhatrapatiShivajiMaharajJayanti #ChhatrapatiShivajiMaharaj #BirthAnniversary</t>
  </si>
  <si>
    <t>2024-02-19 08:00:14</t>
  </si>
  <si>
    <t>2024-02-19 08:00:01</t>
  </si>
  <si>
    <t>2024-02-19 08:00:00</t>
  </si>
  <si>
    <t>I Can XT</t>
  </si>
  <si>
    <t>bank new update 2024  I RBI का नया नियम 2024 में I सभी बैंक खाताधारक अवश्य देखे I</t>
  </si>
  <si>
    <t>2024-02-19 07:24:08</t>
  </si>
  <si>
    <t>Tach pradum. 250K views . 5 hours.....</t>
  </si>
  <si>
    <t>fino payment bank ifsc code kaise pata kare ? fino payment bank ifsc code kaise nikale</t>
  </si>
  <si>
    <t>2024-02-19 07:03:49</t>
  </si>
  <si>
    <t>OperatorMama</t>
  </si>
  <si>
    <t>FintechGuy</t>
  </si>
  <si>
    <t>1. Airtel PB
2. Jio
3. FINO
4. HDFC Bank
5. MasterCard
6. Amex
All had non compliance issues, but were either levied penalty or placed under embargo.
Never both
PPBL case could actually become a case study for Investigative Journalist to unearth the truth behind the decision</t>
  </si>
  <si>
    <t>2024-02-19 00:32:40</t>
  </si>
  <si>
    <t>Multiverse</t>
  </si>
  <si>
    <t>2024-02-18</t>
  </si>
  <si>
    <t>Badal Raaz</t>
  </si>
  <si>
    <t>Fino Payments Bank: How are you</t>
  </si>
  <si>
    <t>2024-02-18 22:28:34</t>
  </si>
  <si>
    <t>Kunal Singh</t>
  </si>
  <si>
    <t>2024-02-18 22:28:24</t>
  </si>
  <si>
    <t>Sabse ghatiya bank h</t>
  </si>
  <si>
    <t>2024-02-18 22:07:03</t>
  </si>
  <si>
    <t>Kabhi bhi ye bank open mat karwana koi bhi</t>
  </si>
  <si>
    <t>2024-02-18 22:06:54</t>
  </si>
  <si>
    <t xml:space="preserve">Asgar ji tech </t>
  </si>
  <si>
    <t>𝗙𝗶𝗻𝗼 𝗣𝗮𝘆𝗺𝗲𝗻𝘁 𝗕𝗮𝗻𝗸 | 𝐲𝐨𝐮 𝐡𝐚𝐯𝐞 𝐞𝐧𝐚𝐛𝐥𝐞𝐝 𝐃𝐞𝐯𝐞𝐥𝐨𝐩𝐞𝐫 𝐨𝐩𝐭𝐢𝐨𝐧 | 𝙐𝙎𝘽 𝙙𝙚𝙗𝙪𝙜𝙜𝙞𝙣𝙜 𝙤𝙣 𝙮𝙤𝙪𝙧 𝙥𝙝𝙤𝙣𝙚 | Problem Solve</t>
  </si>
  <si>
    <t>2024-02-18 22:00:02</t>
  </si>
  <si>
    <t>ImranAh87415675</t>
  </si>
  <si>
    <t>Imran Ahmad</t>
  </si>
  <si>
    <t>@FinoPaymntsBank    ऐसा बैंक जो अपने ही merchant की आईडी बंद कर दे। आज 15 दिन से मेरा id number 127164101 बंद मैं किसी का पैसा नहीं निकाल पा रहा हूं। इस बैंक का न कोई मां है न बाप है लावारिस की तरह। मेरा आईडी कैसे चालू हो गा कोई शलूषण दे।User Unathurise to accese लिख कर आता है।</t>
  </si>
  <si>
    <t>2024-02-18 21:40:49</t>
  </si>
  <si>
    <t>Tech Mr Selim</t>
  </si>
  <si>
    <t>Fino bank new insurance policy 😱 | fino payment bank new update</t>
  </si>
  <si>
    <t>2024-02-18 20:15:08</t>
  </si>
  <si>
    <t>Kumar Ramesh</t>
  </si>
  <si>
    <t>Fino Payments Bank: dlf</t>
  </si>
  <si>
    <t>2024-02-18 19:43:54</t>
  </si>
  <si>
    <t>Eternity investment and Trading pvt ltd.</t>
  </si>
  <si>
    <t>Fino bank@EternityInvestment</t>
  </si>
  <si>
    <t>2024-02-18 18:50:33</t>
  </si>
  <si>
    <t>Apps ki Gyan</t>
  </si>
  <si>
    <t>fino payment bank customer care number I fino payment bank complaint number | helpline number</t>
  </si>
  <si>
    <t>2024-02-18 18:00:10</t>
  </si>
  <si>
    <t>Kakasaheb Aute</t>
  </si>
  <si>
    <t>2024-02-18 17:10:03</t>
  </si>
  <si>
    <t>Mst Marjiya Mat Marjiya</t>
  </si>
  <si>
    <t>2024-02-18 14:53:06</t>
  </si>
  <si>
    <t>Chandrasekhar Yadav</t>
  </si>
  <si>
    <t>2024-02-18 14:33:25</t>
  </si>
  <si>
    <t>Fino payment Bank Atm Device Kane koyi pari Koribo lage</t>
  </si>
  <si>
    <t>2024-02-18 11:43:42</t>
  </si>
  <si>
    <t>alone_boyy___11</t>
  </si>
  <si>
    <t>I'm 15 years old what I'm eligible on fino???</t>
  </si>
  <si>
    <t>2024-02-18 11:22:18</t>
  </si>
  <si>
    <t>2024-02-18 11:22:00</t>
  </si>
  <si>
    <t>@SAFIUL__YT</t>
  </si>
  <si>
    <t>2024-02-18 11:20:38</t>
  </si>
  <si>
    <t>@FinoPaymntsBank 
I had opened a new account, its KYC is not happening, always the video stops or gets stuck during video KYC, I tried for KYC in different devices but it did not happen, same problem every time. There is no network problem even though I changed the state,</t>
  </si>
  <si>
    <t>2024-02-18 10:36:59</t>
  </si>
  <si>
    <t>Ashish Gupta</t>
  </si>
  <si>
    <t>Good Morning Everyone, Let Catch up at the Mumbai Tech Fest !!! Fino Payments Bank Ltd</t>
  </si>
  <si>
    <t>2024-02-18 10:10:09</t>
  </si>
  <si>
    <t>Zagring Koksi</t>
  </si>
  <si>
    <t>Where should i get the branch</t>
  </si>
  <si>
    <t>2024-02-18 08:42:24</t>
  </si>
  <si>
    <t>Rachhna R Kalra</t>
  </si>
  <si>
    <t xml:space="preserve">Let’s not destroy our waterbodies in the name of development and rather value their importance and preserve them . 
India is endowed with extraordinarily diverse and distinctive traditional waterbodies found in different parts of the country, commonly known as ponds, tanks, lakes, bawdis, talabs and others.
They play an important role in maintaining and restoring the ecological balance. They act as sources of drinking water, recharge groundwater, control floods, support biodiversity, and provide livelihood opportunities to a large number of people.
Lets rejuvenate, repair and restore our water bodies. Thanks to 
CSR initiative of @[Fino Payments Bank Ltd](urn:li:organization:247810) with \@social Umbrellaa foundation  , @[Winfluential Technology](urn:li:person:duTYNdokM1) . {hashtag|\#|Tuglakabadpond} {hashtag|\#|Newdelhi} . </t>
  </si>
  <si>
    <t>2024-02-18 08:40:02</t>
  </si>
  <si>
    <t>JantaNews628012</t>
  </si>
  <si>
    <t>Janta up live</t>
  </si>
  <si>
    <t>@FinoPaymntsBank 
मेरी यह आईडी काफी दिनों से बंद कर दी गई जिसके चलते मै कोई काम नहीं कर पा रहा हूं महोदय मेरी आइडी चालू कराने की कृपा करें। https://t.co/IMKqUx2wDo</t>
  </si>
  <si>
    <t>2024-02-18 07:39:46</t>
  </si>
  <si>
    <t xml:space="preserve">Lakhnow </t>
  </si>
  <si>
    <t>मुझे पता है कि आप मेरे पोस्ट को देखेंगे भी और इग्नोर भी करेंगे लेकिन क्या लगता है सर ऐसे करने से आपको कितना पैसा आएगा आप चाहते हैं कि किसी का स्टेटस स्टोरी की जगह आप खुद का स्टेटस स्टोरी लगे और पैसे आए तो संपर्क करिए मैं बताऊंगा ना आपको पैसे कमाने का तरीका बिना शक किया संपर्क तो करिए
https://wa.link/x5fln5
#lifestyle #mlm #followers #networkmarketing #OnlineMarketing #दुनिया Fino Payments Bank @highlight</t>
  </si>
  <si>
    <t>2024-02-18 05:24:23</t>
  </si>
  <si>
    <t>Stockvesting</t>
  </si>
  <si>
    <t>Fino Payments Bank Share analysis |Tamil | இப்பொழுது வாங்கலாமா ? | Swing Trade Opportunity |</t>
  </si>
  <si>
    <t>2024-02-18 03:43:20</t>
  </si>
  <si>
    <t>2024-02-17</t>
  </si>
  <si>
    <t>Sir hum me sub ko mail kiya huwa hai but reply nahi hai care wale email par bhi kiya hai mail but koi response nahi hai mene is email se mail kiya hai aap check karwaiye aur email par reply kare-my email id-Mufaddaltravelslimdi@gmail.com</t>
  </si>
  <si>
    <t>2024-02-17 22:30:01</t>
  </si>
  <si>
    <t>Mufaddal Travels Apka TSM ko bolo form complete krky bhejega 1 Day ka kaam hai koi muskil nhi hai.</t>
  </si>
  <si>
    <t>2024-02-17 21:35:30</t>
  </si>
  <si>
    <t>Moni Jat kisny bola apko</t>
  </si>
  <si>
    <t>2024-02-17 21:34:28</t>
  </si>
  <si>
    <t>Win Fluential Technology</t>
  </si>
  <si>
    <t>Let’s not destroy our waterbodies in the name of development and rather value their importance.
India is endowed with extraordinarily diverse and distinctive traditional waterbodies found in different parts of the country, commonly known as ponds, tanks, lakes, vayalgam, ahars, bawdis, talabs and others.
They play an important role in maintaining and restoring the ecological balance. They act as sources of drinking water, recharge groundwater, control floods, support biodiversity, and provide livelihood opportunities to a large number of people.
Lets respect, rejuvenate, repair and restore our water bodies our proud. 
Thanks to Fino Payments Bank for #CSR initiative to restore #Tuglakabad pond, New Delhi with Social Umbrella Foundation . 
Rachhna R kalra</t>
  </si>
  <si>
    <t>2024-02-17 21:30:21</t>
  </si>
  <si>
    <t>Jay Sharma</t>
  </si>
  <si>
    <t>2024-02-17 21:09:50</t>
  </si>
  <si>
    <t>Ajay K Ideas</t>
  </si>
  <si>
    <t>Fino Payments Bank CSP Rental Charges Stop / MATM Rental Charges kaise band kare #2024 process</t>
  </si>
  <si>
    <t>2024-02-17 20:48:38</t>
  </si>
  <si>
    <t>IshuRan88190335</t>
  </si>
  <si>
    <t>ITZ RANA🚩</t>
  </si>
  <si>
    <t>Hey @assampolice @CMOfficeAssam @DGPAssamPolice @CyberAssam 
This Men Is Doing Fraud With Many Shopkeeper ye bolta hai ki ye fino payment Bank ka BC FOR ACCOUNT OPEN KI ID DETA HAI OR USKE BADLE YE 6000 SE 7000 RUPAY MANGTA HAI SABSE USKE BAAD YE SABKO BLOCK KR DETA H https://t.co/CvS5h3ROTJ</t>
  </si>
  <si>
    <t>2024-02-17 19:56:26</t>
  </si>
  <si>
    <t>MY TEC TIME</t>
  </si>
  <si>
    <t>finopay app କେମିତି login କରିବା2024 || finopay kaise login karen2024 || how to use finopay</t>
  </si>
  <si>
    <t>2024-02-17 19:36:25</t>
  </si>
  <si>
    <t>Fino Payments Bank: 9548003188</t>
  </si>
  <si>
    <t>2024-02-17 19:23:05</t>
  </si>
  <si>
    <t>**********</t>
  </si>
  <si>
    <t>2024-02-17 19:23:00</t>
  </si>
  <si>
    <t>2024-02-17 19:22:40</t>
  </si>
  <si>
    <t>Anjar Tech</t>
  </si>
  <si>
    <t>Fino Payment Bank BC নিয়ে কাজ করুন, Distributer নিয়ে ও কাজ করতে পারেন</t>
  </si>
  <si>
    <t>2024-02-17 18:14:01</t>
  </si>
  <si>
    <t>K K Earning Tricks</t>
  </si>
  <si>
    <t>Fino Payment Bank Passbook Cash On Delivery Kaise Order kare Fino Passbook Cash On delivery 🚚 order</t>
  </si>
  <si>
    <t>2024-02-17 18:05:01</t>
  </si>
  <si>
    <t>AnJar Tech</t>
  </si>
  <si>
    <t>Fino Payments Bank  BC নিয়ে কাজ শুরু করুন</t>
  </si>
  <si>
    <t>2024-02-17 18:03:03</t>
  </si>
  <si>
    <t>AIRTEL PAYMENT BANK PASSBOOK PRINT|PAYMENT BANK PASSBOOK PRINT FINO AIRTEL PAYTM INDIA POST PAYMENT</t>
  </si>
  <si>
    <t>2024-02-17 17:46:31</t>
  </si>
  <si>
    <t>2024-02-17 16:20:04</t>
  </si>
  <si>
    <t>Sir restriction account solution nahi mil raha hai, ne merchant hu but hamne koi help nahi mil raha hai…so plz I request you to given best service’s</t>
  </si>
  <si>
    <t>2024-02-17 15:58:38</t>
  </si>
  <si>
    <t>SMART CSP</t>
  </si>
  <si>
    <t>FINO PAYMENT BANK PASSBOOK PRINT ID|PASSBOOK PRINT SOFTWARE FINO PAYMENT BANK  PASSBOOK SMART CSP ID</t>
  </si>
  <si>
    <t>2024-02-17 15:37:09</t>
  </si>
  <si>
    <t>firozshekh99458</t>
  </si>
  <si>
    <t>firoz shekh</t>
  </si>
  <si>
    <t>@FinoPaymntsBank my contact number is 6352176028 kindly call me your customer care is also useless no one answers the call any Time kindly connect me over call</t>
  </si>
  <si>
    <t>2024-02-17 15:34:08</t>
  </si>
  <si>
    <t>@FinoPaymntsBank it's been more More then 1year and more still my Fino bank account is not able to get registered On this application always showing pop-up Kindly help me to login this account I have proper recharged number so there is no issue from my Side kindly help me pls https://t.co/5uDD6sQ0M5</t>
  </si>
  <si>
    <t>2024-02-17 15:32:54</t>
  </si>
  <si>
    <t>Moni Jat  Hello. Please share your contact number so that we can help</t>
  </si>
  <si>
    <t>2024-02-17 15:10:46</t>
  </si>
  <si>
    <t>PUBLIC TIMES NEWS 24×7</t>
  </si>
  <si>
    <t>Aadhaar Pay New Update 10K Nikashi एक मिनट में आधार पे से किसी बैंक का 10 हजार निकासी करें #aeps</t>
  </si>
  <si>
    <t>2024-02-17 14:57:43</t>
  </si>
  <si>
    <t>imankyvrmarlbaj</t>
  </si>
  <si>
    <t>Ankit Verma</t>
  </si>
  <si>
    <t>#NHAI की और से पेटीएम #FASTag यूजर्स के लिए आई बुरी खबर, NHAI ने की FasTag के लिए अधिकृत पेमेंट बैंक की लिस्ट जारी की इस लिस्ट से #PaytmPaymentsBank हुआ बाहर, यानी अब पेटीएम फास्टैग काम नही करेगा ।
NHAI ने इन बैंक को किया फास्टेग के लिए अधिकृत Fino Payments Bank, HDFC, ICICI,… https://t.co/N4u7uBQ8lw</t>
  </si>
  <si>
    <t>2024-02-17 13:38:32</t>
  </si>
  <si>
    <t>Lucknow, india</t>
  </si>
  <si>
    <t>xel2024</t>
  </si>
  <si>
    <t>@finopaymentsbank  ye gando bank hai iski problem bhot badi hai koi bhi is bank main account na hi khulwai to achcha hoga bhai</t>
  </si>
  <si>
    <t>2024-02-17 13:05:31</t>
  </si>
  <si>
    <t>VijayGopalBhat2</t>
  </si>
  <si>
    <t>Vijay Gopal Bhatt</t>
  </si>
  <si>
    <t>2024-02-17 12:21:27</t>
  </si>
  <si>
    <t>Moni Jat</t>
  </si>
  <si>
    <t>bhai ye bank band hone wala h]</t>
  </si>
  <si>
    <t>2024-02-17 12:06:26</t>
  </si>
  <si>
    <t>Even distributor didn't close account nor he resubmit</t>
  </si>
  <si>
    <t>2024-02-17 12:04:34</t>
  </si>
  <si>
    <t>Fino Payments Bank I have call but they told to go to branch where the branch is so far and i couldn't go there</t>
  </si>
  <si>
    <t>2024-02-17 12:03:29</t>
  </si>
  <si>
    <t>karan0473</t>
  </si>
  <si>
    <t>KARAN KUMAR</t>
  </si>
  <si>
    <t>@FinoPaymntsBank Mera naam Kiran nahi Hai Karan hai</t>
  </si>
  <si>
    <t>2024-02-17 10:51:04</t>
  </si>
  <si>
    <t>Bihar, india</t>
  </si>
  <si>
    <t>@FinoPaymntsBank Hello sir
Humne baat kiye the is number per 
Unhone kaha ki yahan se account close nahin hoga
Vah bole ki aapko PC agent ke pass hi Jana hoga aur mere state mein PC agent ek hi the vah date kar Gaya Hai use karna band kar diye Hai aapko baat samajh Mei aai sir</t>
  </si>
  <si>
    <t>2024-02-17 10:50:46</t>
  </si>
  <si>
    <t>Ahbab Sahil</t>
  </si>
  <si>
    <t>Fino Payments Bank 
Look, Maine Aapko Last Year Apna Number Diya Tha....</t>
  </si>
  <si>
    <t>2024-02-17 10:49:06</t>
  </si>
  <si>
    <t>Fino Payments Bank 
9867259392</t>
  </si>
  <si>
    <t>2024-02-17 10:48:02</t>
  </si>
  <si>
    <t>Sir, you can open the account on https://www.finobank.com/individual</t>
  </si>
  <si>
    <t>2024-02-17 10:37:08</t>
  </si>
  <si>
    <t>Ahbab Sahil  Sir, please share your number and we will help</t>
  </si>
  <si>
    <t>2024-02-17 10:36:26</t>
  </si>
  <si>
    <t>Partha Jena: Sir, Can you please call the help desk on 02268681414</t>
  </si>
  <si>
    <t>2024-02-17 10:35:10</t>
  </si>
  <si>
    <t>Arpan Singh  Sir, Can you please share your contact details and we will help</t>
  </si>
  <si>
    <t>2024-02-17 10:33:54</t>
  </si>
  <si>
    <t>Sandip Kumar: thank you sandip. Have shared your contact details with our head of alliances. His team will reach out.</t>
  </si>
  <si>
    <t>2024-02-17 10:25:38</t>
  </si>
  <si>
    <t>@Babaji962 Hi.
Can you please call the help desk on 02268681234 and the team will help</t>
  </si>
  <si>
    <t>2024-02-17 10:21:59</t>
  </si>
  <si>
    <t>@karan0473 Hi Kiran. Can you please call us on 02268681414 and we will help.</t>
  </si>
  <si>
    <t>2024-02-17 10:21:14</t>
  </si>
  <si>
    <t>@xel2024 Hi. Please share your contact number so that we can help</t>
  </si>
  <si>
    <t>2024-02-17 10:15:29</t>
  </si>
  <si>
    <t>Hi. How can we help you?</t>
  </si>
  <si>
    <t>2024-02-17 10:10:13</t>
  </si>
  <si>
    <t>Mltn Marak  Sir, can you call the help desk on 02268681234 and they will help you</t>
  </si>
  <si>
    <t>2024-02-17 10:08:32</t>
  </si>
  <si>
    <t>Zero Charges Physical PassBook Service Fino payment Bank issues new passbook update2024</t>
  </si>
  <si>
    <t>2024-02-17 10:06:31</t>
  </si>
  <si>
    <t>2024-02-17 08:46:12</t>
  </si>
  <si>
    <t>Distributor Of Fino mitra will you help to close my merchant id that has been rejected I don't need this such type of problem</t>
  </si>
  <si>
    <t>2024-02-17 08:36:15</t>
  </si>
  <si>
    <t>monty_chadha</t>
  </si>
  <si>
    <t>monty chadha</t>
  </si>
  <si>
    <t>32 Authorised Banks for FASTag  Issuance👇
Airtel Payments Bank
Allahabad Bank
AU Small Finance Bank
Axis Bank
Bank of Baroda
Bank of Maharashtra
Canara Bank
Central Bank of India
City Union Bank
Cosmos Bank
Equitas Small Finance Bank
Federal Bank
FINO Payments Bank
HDFC Bank…</t>
  </si>
  <si>
    <t>2024-02-17 08:19:21</t>
  </si>
  <si>
    <t xml:space="preserve">Bharat </t>
  </si>
  <si>
    <t>DivyanshRajUP95</t>
  </si>
  <si>
    <t>Divyansh Raj Verma</t>
  </si>
  <si>
    <t>2024-02-17 08:11:08</t>
  </si>
  <si>
    <t>Barabanki,up</t>
  </si>
  <si>
    <t>Back To Back 74/70 IPL Pass 🔥
Back To Back 56/ 52 BBL (KFC)Pass🔥
🔥क्रिकेट मैच 🔥मै जिस भाई को फ्री मे पैसा कमाना है इस  ᴄʜᴀɴɴᴇʟ ᴋᴏ ᴊᴏɪɴ kro👇
https://t.me/+Se7nUJLaaGRRlopd
☄𝙏𝙤𝙨𝙨+𝙈𝙖𝙩𝙘𝙝 +𝙎𝙚𝙨𝙨𝙞𝙤𝙣 100% FIXED  𝙋𝙧𝙚𝙙𝙞𝙘𝙩𝙞𝙤𝙣☄
𝑴𝒖𝒔𝒕 𝑱𝒐𝒊𝒏 𝑻𝒆𝒍𝒆𝒈𝒓𝒂𝒎 𝑪𝒉𝒂𝒏𝒏𝒆𝒍 𝑳𝒊𝒏𝒌 👇👆https://t.me/+Se7nUJLaaGRRlopd</t>
  </si>
  <si>
    <t>2024-02-17 06:35:50</t>
  </si>
  <si>
    <t>victortangodkm</t>
  </si>
  <si>
    <t>Delta Kilo Mike</t>
  </si>
  <si>
    <t>@FederalBankLtd @FinoPaymntsBank @HDFC_Bank @ICICIBank @IDBI_Bank @IDFCFIRSTBank @MyIndianBank @MyIndusIndBank @JandKBank @KarnatakaBank @KarurVysyaBank_ @KotakBankLtd @pnbindia 25. @SaraswatBank
26. @OfficialSIBLtd
27. @TheOfficialSBI
28. @kerala_bank
29. @UCOBankOfficial
30. @UnionBankTweets
31. @YESBANK
32. @DnsBank
(3/3)</t>
  </si>
  <si>
    <t>2024-02-17 01:10:38</t>
  </si>
  <si>
    <t>11. @FederalBankLtd
12. @FinoPaymntsBank
13. @HDFC_Bank
14. @ICICIBank
15. @IDBI_Bank 
16. @IDFCFIRSTBank
17. @MyIndianBank
18. @MyIndusIndBank
19. @JandKBank
20. @KarnatakaBank
21. @KarurVysyaBank_
22. @KotakBankLtd
23. Nagpur Nagarik Sahakari Bank
24. @pnbindia
(2/n)</t>
  </si>
  <si>
    <t>2024-02-17 01:07:03</t>
  </si>
  <si>
    <t>2024-02-16</t>
  </si>
  <si>
    <t xml:space="preserve"> Rahulteem</t>
  </si>
  <si>
    <t>fino payment  bank# 🏦  foraod bank   #manoj #account #opening  change 499 ₹ foraod # bank se  bacho</t>
  </si>
  <si>
    <t>2024-02-16 23:46:02</t>
  </si>
  <si>
    <t>Sangita dongre</t>
  </si>
  <si>
    <t>It’s been a while since I started my role at @[Fino Payments Bank Ltd](urn:li:organization:247810) as a Senior Executive, but I wanted to share this update with everyone.</t>
  </si>
  <si>
    <t>2024-02-16 22:59:22</t>
  </si>
  <si>
    <t>AmitShu28448963</t>
  </si>
  <si>
    <t>Amit Shukla1312</t>
  </si>
  <si>
    <t>2024-02-16 22:05:52</t>
  </si>
  <si>
    <t>लखनऊ, भारत</t>
  </si>
  <si>
    <t>Hemant Goyal</t>
  </si>
  <si>
    <t>Lala g kiweoo</t>
  </si>
  <si>
    <t>2024-02-16 22:00:30</t>
  </si>
  <si>
    <t xml:space="preserve">GLOBALFAST TECHNOLOGY </t>
  </si>
  <si>
    <t>Kotak Bank Passbook Print Portal| All Bank Passbook Print Portal | 1 Click Passbook Print &amp;amp; Download</t>
  </si>
  <si>
    <t>2024-02-16 20:34:17</t>
  </si>
  <si>
    <t>rhade_krishna_1</t>
  </si>
  <si>
    <t>हरिओम जय श्री राधे राधेश्याम जय श्री कृष्णाय नमः</t>
  </si>
  <si>
    <t>2024-02-16 20:16:35</t>
  </si>
  <si>
    <t>बाराबंकी उत्तर प्रदेश225001</t>
  </si>
  <si>
    <t>ry7404517</t>
  </si>
  <si>
    <t>2024-02-16 19:32:52</t>
  </si>
  <si>
    <t>Aidel undefined</t>
  </si>
  <si>
    <t>2024-02-16 19:31:49</t>
  </si>
  <si>
    <t>Some Explain It</t>
  </si>
  <si>
    <t>Difference Between Payment Bank And Commercial bank</t>
  </si>
  <si>
    <t>2024-02-16 19:16:51</t>
  </si>
  <si>
    <t>Ram64298170</t>
  </si>
  <si>
    <t>Ram</t>
  </si>
  <si>
    <t>🚨 Active Payments Banks in India
• Airtel Payments Bank
• India Post Payments Bank
• Fino Payments Bank
• Jio Payments Bank
• Paytm Payments Bank
• NSDL Payments Bank
Payments Bank in India Cannot Issue Loans &amp;amp; Credit Cards To Customers</t>
  </si>
  <si>
    <t>2024-02-16 19:03:21</t>
  </si>
  <si>
    <t>Remembering Dr. CV Raman and his work in the field of light scattering. Lets promote scientific thought and embrace progress.
{hashtag|\#|FinoPaymentsBank} {hashtag|\#|FikarNot} {hashtag|\#|FinoBanker} {hashtag|\#|DigitalBanking} {hashtag|\#|SecureBanking} {hashtag|\#|HarDinFino} {hashtag|\#|FinoPay} {hashtag|\#|NationalScienceDay} {hashtag|\#|CVRaman} {hashtag|\#|ScienceDay}</t>
  </si>
  <si>
    <t>2024-02-16 19:00:41</t>
  </si>
  <si>
    <t>On World NGO Day, Fino recognises organisations working for social causes and for public welfare.
{hashtag|\#|FinoPaymentsBank} {hashtag|\#|FikarNot} {hashtag|\#|FinoBanker} {hashtag|\#|DigitalBanking} {hashtag|\#|SecureBanking} {hashtag|\#|HarDinFino} {hashtag|\#|FinoPay} {hashtag|\#|WorldNGODay} {hashtag|\#|NGO} {hashtag|\#|SocialCause} {hashtag|\#|PublicWelfare}</t>
  </si>
  <si>
    <t>2024-02-16 18:54:57</t>
  </si>
  <si>
    <t>Fino wishes a Happy Marathi Language Day to the people of Maharashtra and Marathi-speaking people elsewhere.
{hashtag|\#|FinoPaymentsBank} {hashtag|\#|FikarNot} {hashtag|\#|FinoBanker} {hashtag|\#|DigitalBanking} {hashtag|\#|SecureBanking} {hashtag|\#|HarDinFino} {hashtag|\#|FinoPay} {hashtag|\#|MarathiLanguageDay} {hashtag|\#|MarathiLanguage} {hashtag|\#|Maharashtra}</t>
  </si>
  <si>
    <t>2024-02-16 18:44:13</t>
  </si>
  <si>
    <t>Fino wishes a Happy International Mother Language Day to everyone. Lets celebrate our own language and speak it with pride.
{hashtag|\#|FinoPaymentsBank} {hashtag|\#|FikarNot} {hashtag|\#|FinoBanker} {hashtag|\#|DigitalBanking} {hashtag|\#|SecureBanking} {hashtag|\#|HarDinFino} {hashtag|\#|FinoPay} {hashtag|\#|InternationalMotherLanguageDay} {hashtag|\#|MotherLanguageDay} {hashtag|\#|MotherLanguage}</t>
  </si>
  <si>
    <t>2024-02-16 18:38:42</t>
  </si>
  <si>
    <t>Fino pays respects to the great Chhatrapati Shivaji Maharaj and extends wishes to his followers on the occasion of his birth anniversary.
{hashtag|\#|FinoPaymentsBank} {hashtag|\#|FikarNot} {hashtag|\#|FinoBanker} {hashtag|\#|DigitalBanking} {hashtag|\#|SecureBanking} {hashtag|\#|HarDinFino} {hashtag|\#|FinoPay} {hashtag|\#|ChhatrapatiShivajiMaharajJayanti} {hashtag|\#|ChhatrapatiShivajiMaharaj} {hashtag|\#|BirthAnniversary}</t>
  </si>
  <si>
    <t>2024-02-16 18:27:31</t>
  </si>
  <si>
    <t>x_bay_nitin</t>
  </si>
  <si>
    <t>Sale pyese hi kat the he</t>
  </si>
  <si>
    <t>2024-02-16 18:26:31</t>
  </si>
  <si>
    <t>Maki cut yese byek ki</t>
  </si>
  <si>
    <t>2024-02-16 18:26:20</t>
  </si>
  <si>
    <t>@airtelbank @IPPBOnline @FinoPaymntsBank @PaytmBank @jio_bank @nsdlpb</t>
  </si>
  <si>
    <t>2024-02-16 18:18:28</t>
  </si>
  <si>
    <t>patel__07</t>
  </si>
  <si>
    <t>🅿️R🆎H🅰️T🇮🇳</t>
  </si>
  <si>
    <t>#NHAI की और से पेटीएम #FASTag यूजर्स के लिए आई बुरी खबर, NHAI ने की FasTag के लिए अधिकृत पेमेंट बैंक की लिस्ट जारी की इस लिस्ट से #PaytmPaymentsBank हुआ बाहर, यानी अब पेटीएम फास्टैग काम नही करेगा ।
NHAI ने इन बैंक को किया फास्टेग के लिए अधिकृत Fino Payments Bank, HDFC, .</t>
  </si>
  <si>
    <t>2024-02-16 18:18:05</t>
  </si>
  <si>
    <t>2024-02-16 18:17:09</t>
  </si>
  <si>
    <t>imAbhirajsinha</t>
  </si>
  <si>
    <t>Abhiraj Sinha</t>
  </si>
  <si>
    <t>2024-02-16 18:17:07</t>
  </si>
  <si>
    <t>Digital Ashok 2.0</t>
  </si>
  <si>
    <t>Fino Payments Bank | Fino Payment Bank CSP apply online | Fino Payments Bank IIBF Certificate upload</t>
  </si>
  <si>
    <t>2024-02-16 17:55:35</t>
  </si>
  <si>
    <t>Antariksh Roy</t>
  </si>
  <si>
    <t xml:space="preserve">Taglines' Power in Rural India:
In rural #india , taglines can be powerful branding tools, shaping how #consumers perceive your brand. Here's why:
Memorable &amp; Recognizable: A catchy #tagline sticks in memory, helping your brand stand out in a competitive market.
Value Communication: A well-crafted tagline concisely conveys your brand's core values, mission, and #benefits , resonating with #rural audiences.
Trust &amp; Authenticity: Using local languages, idioms, or cultural references connects with rural audiences on a deeper level, building #trust and #authenticity .
Emotional Connection: Effective taglines evoke positive emotions and associations, leading to stronger #brand #loyalty and preference.
Examples of Impactful Taglines:
Fino Payments Bank Ltd : Fino matlab, Fikar Not
Aavas Financiers Ltd : Aavas hai toh Aasan hai
Corteva Agriscience : Har Haal Bemisaal
Excel Corporate: Pyade anek, Vazeer sirf ek!
And many such impactful taglines to connect with the rural consumers. In case you're wondering, yes these were crafted by Eggfirst Advertising and Digital Marketing Agency after devoting weeks to #research , #brainstorming and understanding the brand and it target consumers!!
#ruralmarketing #branding #ruralindia #marketinginindia #eggfirst #brandbuilding #communicationstrategy #culturalmarketing #authenticmarketing #storytelling #influencermarketing #communitymarketing #ruraldevelopment #sustainablegrowth #Eggfirst
#EggfirstFamily #AndeKaFunda #digitalagency #swaadsangam
#clientwork #clientdiaries  #onwardsandupwards 
</t>
  </si>
  <si>
    <t>2024-02-16 17:49:05</t>
  </si>
  <si>
    <t>RajivTi04537150</t>
  </si>
  <si>
    <t>Rajiv Tiwari ರಾಜೀವ್ ತಿವಾರಿ</t>
  </si>
  <si>
    <t>2024-02-16 17:36:54</t>
  </si>
  <si>
    <t>Noida/ pushkar, india</t>
  </si>
  <si>
    <t>Bhot bekar service hai chootiya bank hai koi banifet nhi</t>
  </si>
  <si>
    <t>2024-02-16 17:10:57</t>
  </si>
  <si>
    <t>SShuklaabvp</t>
  </si>
  <si>
    <t>Sachin ShuklaABVP</t>
  </si>
  <si>
    <t>2024-02-16 17:10:24</t>
  </si>
  <si>
    <t>Choose one app for every mode of Payment. Download FinoPay right away!
#FinoPaymentsBank #FikarNot #FinoBanker #DigitalBanking #SecureBanking #HarDinFino #FinoPay #Download #DownloadNow #UPITransactions #OneAppForAll</t>
  </si>
  <si>
    <t>2024-02-16 17:00:58</t>
  </si>
  <si>
    <t>2024-02-16 17:00:48</t>
  </si>
  <si>
    <t>Choose one app for every mode of Payment. Download FinoPay right away!
#FinoPaymentsBank #FikarNot #FinoBanker #DigitalBanking #SecureBanking #HarDinFino #FinoPay #Download #DownloadNow #UPITransactions #OneAppForAll https://t.co/cEG6Cvb0ck</t>
  </si>
  <si>
    <t>2024-02-16 17:00:42</t>
  </si>
  <si>
    <t>AnuragV08533729</t>
  </si>
  <si>
    <t>Av</t>
  </si>
  <si>
    <t>2024-02-16 16:47:31</t>
  </si>
  <si>
    <t>ShanuKumarVerm2</t>
  </si>
  <si>
    <t>Shanu Kumar Verma</t>
  </si>
  <si>
    <t>2024-02-16 16:44:51</t>
  </si>
  <si>
    <t>💓💓lucknow, india💓💓</t>
  </si>
  <si>
    <t>@RBI please sir help me 
Mera @FinoPaymntsBank ka ek account hai or hame band karna hai aur jo PC agent mere account open kiye the vah ab date kar gaye hai or aur mere state mein koi PC agent nahin Hai fino Bank ka Maine customer care se baat Kiya to unhone meri koi madad nahi ki</t>
  </si>
  <si>
    <t>2024-02-16 16:38:52</t>
  </si>
  <si>
    <t>BBKNews</t>
  </si>
  <si>
    <t>Barabanki News</t>
  </si>
  <si>
    <t>2024-02-16 16:31:59</t>
  </si>
  <si>
    <t xml:space="preserve">Barabanki up </t>
  </si>
  <si>
    <t>TusharA34445800</t>
  </si>
  <si>
    <t>Tushar Anand 🆇</t>
  </si>
  <si>
    <t>2024-02-16 15:53:24</t>
  </si>
  <si>
    <t>Babaji962</t>
  </si>
  <si>
    <t>CSC Vle Mithu</t>
  </si>
  <si>
    <t>@FinoPaymntsBank maine abhise 6 mahijna pahle fino merchent id chalu karwya tha jiske liye 600 laga lekin abhi tak koi bhi id ya koi bhi service dene nhi aya hai koi bhi na hai id password mila kaise seva de paye ge logoko</t>
  </si>
  <si>
    <t>2024-02-16 14:20:16</t>
  </si>
  <si>
    <t>Lakhisarai, india</t>
  </si>
  <si>
    <t>2024-02-16 14:19:14</t>
  </si>
  <si>
    <t>Fino Payments Bank 9415966365</t>
  </si>
  <si>
    <t>2024-02-16 11:55:32</t>
  </si>
  <si>
    <t>QM-FINO-E650</t>
  </si>
  <si>
    <t>Hello @FinoPaymntsBank . I am unable to complete VKYC on the app as it errors out every single time saying that the representatives are not available. Please help</t>
  </si>
  <si>
    <t>2024-02-16 11:41:24</t>
  </si>
  <si>
    <t>Ravisutanjani</t>
  </si>
  <si>
    <t>2024-02-16 11:26:17</t>
  </si>
  <si>
    <t>Ravisutanjani@gmail.com</t>
  </si>
  <si>
    <t>Krishan Singh Sisodiya</t>
  </si>
  <si>
    <t>2024-02-16 09:44:23</t>
  </si>
  <si>
    <t>Sandip Kumar</t>
  </si>
  <si>
    <t>Fino Payments Bank: We need your banking API for our fintech new company. We hope you will help us.
API Name : AEPS, DMT, PAYOUT, MICRO MATM 
Name : SANDIP KUMAR
Mobile No : 8969209632
Email ID : sk9817992@gmail.com
Vill-Basantpur, Po- Jaintpur, Ps- Paroo, Dist- Muzaffarpur, State- Bihar-843123</t>
  </si>
  <si>
    <t>2024-02-16 09:25:18</t>
  </si>
  <si>
    <t>Restriction DMS Reject close Account, Fino Payment Bank Savings Account problem welcome kit error</t>
  </si>
  <si>
    <t>2024-02-16 09:00:00</t>
  </si>
  <si>
    <t>Sudhanshu Yadav</t>
  </si>
  <si>
    <t>Are harami parchar band kar loura wala bank hi</t>
  </si>
  <si>
    <t>2024-02-16 07:53:05</t>
  </si>
  <si>
    <t>HeleneMila49981</t>
  </si>
  <si>
    <t>Helene Mila</t>
  </si>
  <si>
    <t>@Crypto_Troop @Khurshid_Alam__ @FinoPaymntsBank @RBI #RetweetAndMint ⬇️↙️⬇️ https://t.co/LWW33ONyYu 
  Quoted Tweet : @eretuzagurgel : 🚨 MINT IS LIVE 🚨
🔗 https://t.co/UjGmDMYatn
🟢 Get your Seiyan's mint today!
⚠️ Only for the first 1000! ⚠️
#Web3Gaming #PlayToEarn #GameFi #Metaverse #NFT $ETH #Uniswap #Coinbase #DeFi #NFT #Solana $SOL $ZEPH $COIN $BNB https://t.co/vIuKUc8gHy</t>
  </si>
  <si>
    <t>2024-02-16 03:53:50</t>
  </si>
  <si>
    <t>2024-02-15</t>
  </si>
  <si>
    <t>Mera account khul gaya usmein Paisa Dal diya ab usne KYC ke liye Kah Raha Hai Kya Karna chahie Mujhe aur ATM bhi shuru ho gaya hai</t>
  </si>
  <si>
    <t>2024-02-15 22:32:22</t>
  </si>
  <si>
    <t>QM-FINO-E651</t>
  </si>
  <si>
    <t>Ankit Singh Insights</t>
  </si>
  <si>
    <t>Payment Banks | In India | Active payment Banks | Paytm | Fino | Airtel | #paymentbank#banks #shorts</t>
  </si>
  <si>
    <t>2024-02-15 20:25:37</t>
  </si>
  <si>
    <t>Fino Payments Bank User ID Kaise Banaye | Fino Mitra User id apply | Fino Bank CSP Apply online</t>
  </si>
  <si>
    <t>2024-02-15 20:13:02</t>
  </si>
  <si>
    <t>Fino Mitra User Id kaise Banaye | Fino Payments Bank CSP Apply Kase Kare | Fino Bank</t>
  </si>
  <si>
    <t>2024-02-15 20:12:08</t>
  </si>
  <si>
    <t>Davandra Sani Davandra Sani cont your TSM or CH ho jaiga</t>
  </si>
  <si>
    <t>2024-02-15 19:44:16</t>
  </si>
  <si>
    <t>Shailesh N Shenmare no bikul sahi hai ( 18 paise commision hota hai Distributor ka wahi milta hai</t>
  </si>
  <si>
    <t>2024-02-15 18:38:22</t>
  </si>
  <si>
    <t>Kotak Mahindra Bank CSP ID kaise le | Kotak Bank BC Partner | Kotak BC Ekyc  Agent Big Update 2024</t>
  </si>
  <si>
    <t>2024-02-15 17:00:42</t>
  </si>
  <si>
    <t>Behtar bhavishya banane ke liye Fino Bhavishya Savings Account apnaye. Aaj hi account kholne ke liye missed call de 7877788977 par.
#FinoPaymentsBank #FikarNot #FinoBanker #DigitalBanking #SecureBanking #HarDinFino #FinoPay #AccountOpening #SavingsAccount #FinancialPlanning101</t>
  </si>
  <si>
    <t>2024-02-15 17:00:06</t>
  </si>
  <si>
    <t>Behtar bhavishya banane ke liye Fino Bhavishya Savings Account apnaye. Aaj hi account kholne ke liye missed call de 7877788977 par.
#FinoPaymentsBank #FikarNot #FinoBanker #DigitalBanking #SecureBanking #HarDinFino #FinoPay #AccountOpening #SavingsAccount #FinancialPlanning101 https://t.co/j8OneYKIRa</t>
  </si>
  <si>
    <t>2024-02-15 17:00:00</t>
  </si>
  <si>
    <t>Fino Bank se Pan Card Kaise Bnaye | New Pan Apply Service | Fino Bank Update | Fino Payment Bank</t>
  </si>
  <si>
    <t>2024-02-15 16:43:41</t>
  </si>
  <si>
    <t>2024-02-15 16:00:02</t>
  </si>
  <si>
    <t>Manish Gawariya</t>
  </si>
  <si>
    <t>Fino Payments Bank: Passport forget nahin ho raha hai</t>
  </si>
  <si>
    <t>2024-02-15 15:59:31</t>
  </si>
  <si>
    <t>2024-02-15 15:59:17</t>
  </si>
  <si>
    <t>FINO Payment Bank | RBI Applied For Small Finance Bank Licance</t>
  </si>
  <si>
    <t>2024-02-15 15:35:44</t>
  </si>
  <si>
    <t>@PayNearby is not transferring my money since July 2023
@PayNearby blocking without any reason Trade wallet to bank account money transfer. 
I complained many times but did not transfer money to my bank account.
@RBI @consumr_rights @PMOIndia @PIB_India @FinoPaymntsBank https://t.co/1arIStlPLd</t>
  </si>
  <si>
    <t>2024-02-15 15:27:47</t>
  </si>
  <si>
    <t>Fino Payments Bank: My adhar no not addnwith same mobile no what to do</t>
  </si>
  <si>
    <t>2024-02-15 15:06:26</t>
  </si>
  <si>
    <t>Fino Payments Bank: I have problem when I trying to open account</t>
  </si>
  <si>
    <t>2024-02-15 15:05:54</t>
  </si>
  <si>
    <t>2024-02-15 15:05:10</t>
  </si>
  <si>
    <t>Fino Payments Bank 
Query Bahut Hai..
Aap Apne System Me Bande Ko Educate Kijiye...
4Month Se 1Probkem Resolve Nahi Hota....
Aaj Digital Yug Me Aapke Branch Me Written Me Application Mangte Hain..
Aur Application Do Tow Uspe Kam Nahi Hota....</t>
  </si>
  <si>
    <t>2024-02-15 14:56:49</t>
  </si>
  <si>
    <t>@PremlataPal-fo5ql</t>
  </si>
  <si>
    <t>Sir open krane m kitna paisa lgta h</t>
  </si>
  <si>
    <t>2024-02-15 14:31:02</t>
  </si>
  <si>
    <t>Itz M Roke</t>
  </si>
  <si>
    <t>Fino Payments Bank: hii</t>
  </si>
  <si>
    <t>2024-02-15 13:58:42</t>
  </si>
  <si>
    <t>2024-02-15 13:38:42</t>
  </si>
  <si>
    <t>Riyaz Smoker   Namaste, Thank you for your interest in Fino Payments Bank. Please visit our website or call us on 022 6868 1414 to know more about our products and services. https://www.finobank.com/</t>
  </si>
  <si>
    <t>2024-02-15 13:38:12</t>
  </si>
  <si>
    <t>Hi Sir, Please call on Consumer Helpdesk- 022 6868 1414</t>
  </si>
  <si>
    <t>2024-02-15 13:34:46</t>
  </si>
  <si>
    <t>Dheeraj Kumar</t>
  </si>
  <si>
    <t>Fino Payments Bank: Sar help</t>
  </si>
  <si>
    <t>2024-02-15 13:33:08</t>
  </si>
  <si>
    <t>Fino Payments Bank: Phone number joint</t>
  </si>
  <si>
    <t>2024-02-15 13:32:57</t>
  </si>
  <si>
    <t>@Gajendr06448788 Namaste, Please share your query and contact number. Someone from our team will get in touch with you. Thanks!</t>
  </si>
  <si>
    <t>2024-02-15 13:32:51</t>
  </si>
  <si>
    <t>Kailash Mandal Sir,  please call on Consumer Helpdesk- 022 6868 1414</t>
  </si>
  <si>
    <t>2024-02-15 13:31:36</t>
  </si>
  <si>
    <t>Fino Payments Bank solve nahi kar pata hai</t>
  </si>
  <si>
    <t>2024-02-15 13:29:04</t>
  </si>
  <si>
    <t>Rokibul Islam: Namaste! How can we help you ?</t>
  </si>
  <si>
    <t>2024-02-15 13:28:44</t>
  </si>
  <si>
    <t>2024-02-15 13:28:19</t>
  </si>
  <si>
    <t>QM-FINO-E652</t>
  </si>
  <si>
    <t>2024-02-15 13:27:58</t>
  </si>
  <si>
    <t xml:space="preserve">  Hi Sir, Please share your contact number.</t>
  </si>
  <si>
    <t>2024-02-15 13:26:24</t>
  </si>
  <si>
    <t>Dheeraj Kumar: Namaste! How can we help you ?</t>
  </si>
  <si>
    <t>2024-02-15 13:25:18</t>
  </si>
  <si>
    <t>@kuma74413 Namaste, Please share your query and contact number. Someone from our team will get in touch with you. Thanks!</t>
  </si>
  <si>
    <t>2024-02-15 13:24:27</t>
  </si>
  <si>
    <t>2024-02-15 13:21:26</t>
  </si>
  <si>
    <t>@AjjuXda Hi Sir, can you please provide your contact number.</t>
  </si>
  <si>
    <t>2024-02-15 13:21:10</t>
  </si>
  <si>
    <t>2024-02-15 13:17:37</t>
  </si>
  <si>
    <t>Monu Kumar  
Hi Sir, Please call in Consumer Helpdesk number- 022 6868 1414</t>
  </si>
  <si>
    <t>2024-02-15 13:01:05</t>
  </si>
  <si>
    <t>2024-02-15 12:59:04</t>
  </si>
  <si>
    <t>Dhananjay Kumar G   Namaste, Please share your query and contact number. Someone from our team will get in touch with you. Thanks! Namaste, Please share your query and contact number. Someone from our team will get in touch with you. Thanks!</t>
  </si>
  <si>
    <t>2024-02-15 12:57:17</t>
  </si>
  <si>
    <t>Ritupon Das: Namaste, Thank you for your interest in Fino Payments Bank. Please visit our website or call us on 022 6868 1414 to know more about our products and services. https://www.finobank.com/</t>
  </si>
  <si>
    <t>2024-02-15 12:56:42</t>
  </si>
  <si>
    <t>Davandra Sani Davandra Sani  
Hi Sir, Please share your contact number. otherwise you can call in helpdesk- No: 022 6868 1414</t>
  </si>
  <si>
    <t>2024-02-15 12:56:18</t>
  </si>
  <si>
    <t>Nitesh Kumar: Namaste! How can we help you ?</t>
  </si>
  <si>
    <t>2024-02-15 12:53:24</t>
  </si>
  <si>
    <t>Gavru Linckon   Namaste, Thank you for your interest in Fino Payments Bank. Please visit our website or call us on 022 6868 1414 to know more about our products and services. https://www.finobank.com/</t>
  </si>
  <si>
    <t>2024-02-15 12:50:27</t>
  </si>
  <si>
    <t>Davandra Sani Davandra Sani   Namaste, Thank you for your interest in Fino Payments Bank. Please visit our website or call us on 022 6868 1414 to know more about our products and services. https://www.finobank.com/</t>
  </si>
  <si>
    <t>2024-02-15 12:49:33</t>
  </si>
  <si>
    <t>Anwra Vasave   Namaste, Thank you for your interest in Fino Payments Bank. Please visit our website or call us on 022 6868 1414 to know more about our products and services. https://www.finobank.com/</t>
  </si>
  <si>
    <t>2024-02-15 12:47:59</t>
  </si>
  <si>
    <t>@Priyankagangati Namaste, Please share your query and contact number. Someone from our team will get in touch with you. Thanks!</t>
  </si>
  <si>
    <t>2024-02-15 12:46:14</t>
  </si>
  <si>
    <t>@Pratham6114661 Namaste, Please share your query and contact number. Someone from our team will get in touch with you. Thanks!</t>
  </si>
  <si>
    <t>2024-02-15 12:45:49</t>
  </si>
  <si>
    <t>Fino Payments Bank bhai ye line Computer me feed Kar Rakhi h kya😀😀 kuch karna to h nahi</t>
  </si>
  <si>
    <t>2024-02-15 12:16:08</t>
  </si>
  <si>
    <t>Vishnu1442</t>
  </si>
  <si>
    <t>Vishnu Official</t>
  </si>
  <si>
    <t>@FinoPaymntsBank Sir/ma'am
Name: Vishnu.
Date of birth - 01/01/2004
Customer ID: 156146357
Account no: 20332995482
Mobile Number: 8817625061
Aadhar number - 608782229242
Pan number - CNBPV8906N
Amount- 10600
Account type: Digital Savings Account</t>
  </si>
  <si>
    <t>2024-02-15 12:11:19</t>
  </si>
  <si>
    <t>QM-FINO-E653</t>
  </si>
  <si>
    <t>@FinoPaymntsBank 
sir/ma'am
Name: Vishnu.
Account no: 20332995482
Mobile Number: 8817625061
Aadhar number - 608782229242
Pan number - CNBPV8906N
Amount- 10600
Account type: Digital Savings Account</t>
  </si>
  <si>
    <t>2024-02-15 12:08:44</t>
  </si>
  <si>
    <t>AkshayRaj9595</t>
  </si>
  <si>
    <t>Akshay Raj</t>
  </si>
  <si>
    <t>@FinoPaymntsBank My contact  no is 8839558827</t>
  </si>
  <si>
    <t>2024-02-15 11:30:43</t>
  </si>
  <si>
    <t>QM-FINO-E654</t>
  </si>
  <si>
    <t>2024-02-15 11:19:10</t>
  </si>
  <si>
    <t>Hi Sir, Please share your contact number.</t>
  </si>
  <si>
    <t>2024-02-15 10:43:56</t>
  </si>
  <si>
    <t>Badal Raaz: Namaste! How can we help you ?</t>
  </si>
  <si>
    <t>2024-02-15 10:40:42</t>
  </si>
  <si>
    <t>@AkshayRaj9595 Hi Sir, Please provide your contact number.</t>
  </si>
  <si>
    <t>2024-02-15 10:39:21</t>
  </si>
  <si>
    <t>@AkshayRaj9595 Namaste, Please share your query and contact number. Someone from our team will get in touch with you. Thanks!</t>
  </si>
  <si>
    <t>2024-02-15 10:30:23</t>
  </si>
  <si>
    <t>@Vishnu1442 Namaste, Please share your query and contact number. Someone from our team will get in touch with you. Thanks!</t>
  </si>
  <si>
    <t>2024-02-15 10:26:34</t>
  </si>
  <si>
    <t>Fino Bank Passbook Unboxing | Fino Bank CSP Passbook | Fino Bank CSP Passbook Order kaise kare</t>
  </si>
  <si>
    <t>2024-02-15 09:58:44</t>
  </si>
  <si>
    <t>@FinoPaymntsBank sir/ma'am
I opened my digital account with fino payment bank but due to some reason I could not complete the video KYC and my account got closed on 12 February 2024 and I had a lot of money in my account So please refund the money from my account thanks.  😳🙏</t>
  </si>
  <si>
    <t>2024-02-15 08:17:05</t>
  </si>
  <si>
    <t>rasmi_banking_service</t>
  </si>
  <si>
    <t>Anual charges ko hatao bohat jyada he changes</t>
  </si>
  <si>
    <t>2024-02-15 07:57:58</t>
  </si>
  <si>
    <t>Rakesh Ram</t>
  </si>
  <si>
    <t>Fino Payments Bank: 9065713498</t>
  </si>
  <si>
    <t>2024-02-15 02:52:42</t>
  </si>
  <si>
    <t>QM-FINO-E641</t>
  </si>
  <si>
    <t>2024-02-15 02:52:10</t>
  </si>
  <si>
    <t>Fino Payments Bank: 9065723498</t>
  </si>
  <si>
    <t>2024-02-15 02:51:05</t>
  </si>
  <si>
    <t>QM-FINO-E655</t>
  </si>
  <si>
    <t>2024-02-15 02:49:17</t>
  </si>
  <si>
    <t>2024-02-15 02:49:16</t>
  </si>
  <si>
    <t>2024-02-15 02:49:05</t>
  </si>
  <si>
    <t xml:space="preserve">BANK FRIEND </t>
  </si>
  <si>
    <t>NSDL PAYMENT BANK PASSBOOK PDF DOWNLOAD|ANY BANK PASSBOOK PDF DOWNLOAD INDUSIND AXIS FINO NSDL BANK</t>
  </si>
  <si>
    <t>2024-02-15 00:10:37</t>
  </si>
  <si>
    <t>2024-02-14</t>
  </si>
  <si>
    <t>AIRTEL PAYMENT BANK PASSBOOK PDF DOWNLOAD|BANK PASSBOOK PDF DOWNLOAD|AIRTEL INDUSIND AXIS FINO BANK</t>
  </si>
  <si>
    <t>2024-02-14 23:37:50</t>
  </si>
  <si>
    <t>Hello, 
I have fino payment bank account.. In that I already deposited some amount which I can't withdraw any money.. I am mailing everywhere but didn't get any revert from them. Its been 15 days still not solve. It's worst bank ever.. @FinoPaymntsBank</t>
  </si>
  <si>
    <t>2024-02-14 23:20:58</t>
  </si>
  <si>
    <t>FINO PAYMENT BANK PASSBOOK PDF DOWNLOAD|FINO BANK PASSBOOK | AIRTEL INDUSIND  PASSBOOK PDF DOWNLOAD</t>
  </si>
  <si>
    <t>2024-02-14 23:11:54</t>
  </si>
  <si>
    <t>Hello, 
My bank account has debit restriction.. I am already mailing everywhere still not getting revert from them. Its been 14 days.. still not solve. I can't withdraw my own money from account.. it's a worst bank ever @FinoPaymntsBank</t>
  </si>
  <si>
    <t>2024-02-14 22:58:49</t>
  </si>
  <si>
    <t>@nihalmorya9019</t>
  </si>
  <si>
    <t>❤❤❤</t>
  </si>
  <si>
    <t>2024-02-14 22:39:07</t>
  </si>
  <si>
    <t>Mojibul Bro</t>
  </si>
  <si>
    <t>Fino Payments Bank +917701987136 check kijiye sir bataye ga please 🙏</t>
  </si>
  <si>
    <t>2024-02-14 20:59:54</t>
  </si>
  <si>
    <t>QM-FINO-E642</t>
  </si>
  <si>
    <t xml:space="preserve">A.C.B.FILMAS ENTERTENMENT </t>
  </si>
  <si>
    <t>aaj 13/02/24 ko fino care bank me kaam karate aur I&amp;#39;d and Qur.cord dete logo ko A.C.BAJARNGI SIR</t>
  </si>
  <si>
    <t>2024-02-14 20:32:08</t>
  </si>
  <si>
    <t>Online Manager</t>
  </si>
  <si>
    <t>Come Ottenere Buoni Sconto Gratuiti fino a 500 Euro con Easy Bank</t>
  </si>
  <si>
    <t>2024-02-14 20:30:03</t>
  </si>
  <si>
    <t>2024-02-14 20:26:47</t>
  </si>
  <si>
    <t>_vermaakshat_</t>
  </si>
  <si>
    <t>Akshat Verma</t>
  </si>
  <si>
    <t>2024-02-14 18:57:38</t>
  </si>
  <si>
    <t>GROW MORE SURAJ</t>
  </si>
  <si>
    <t>Without Video KYC | Fino Payment Bank Account Opening 2024 | Fino Bank Account Opening Online Mobile</t>
  </si>
  <si>
    <t>2024-02-14 18:16:47</t>
  </si>
  <si>
    <t>2024-02-14 17:24:49</t>
  </si>
  <si>
    <t>aryavaani404</t>
  </si>
  <si>
    <t>आर्य वाणी</t>
  </si>
  <si>
    <t>2024-02-14 17:14:26</t>
  </si>
  <si>
    <t>Anwra Vasave</t>
  </si>
  <si>
    <t>Anwra Vasave kyc karnahe</t>
  </si>
  <si>
    <t>2024-02-14 16:47:57</t>
  </si>
  <si>
    <t>Banking at your service!
.
.
.
#FinoPaymentsBank #FikarNot #FinoBanker #DigitalBanking #SecureBanking #FinoPay #FinoMerchant #HarDinFino #Discount #onlineoffers #offer  #saving #cashback #plans #goals #digital #banking #dailyspends #ott</t>
  </si>
  <si>
    <t>2024-02-14 16:36:25</t>
  </si>
  <si>
    <t>Valentine bad me manana. Pahle Marchant ki problem solve karo</t>
  </si>
  <si>
    <t>2024-02-14 16:19:07</t>
  </si>
  <si>
    <t>omprakash2357</t>
  </si>
  <si>
    <t>Ομ Πρακας Μανταλ</t>
  </si>
  <si>
    <t>Let's pay our respects to Goddess Saraswati and pray for a great season of spring filled with prosperity.
#FinoPaymentsBank #FikarNot #FinoBanker #DigitalBanking #SecureBanking #HarDinFino #FinoPay #VasantPanchami #SpringSeason https://t.co/fJzxynFBm5</t>
  </si>
  <si>
    <t>2024-02-14 13:34:24</t>
  </si>
  <si>
    <t>@airtelbank @bankofbaroda @cubltd @DeutscheBank @EquitasBank @FinoPaymntsBank @IOBIndia @IPPBOnline @KotakBankLtd @Paytm @OfficialSIBLtd @SuryodayBank @sbmbankindia @YESBANK @NPCI_NPCI @ProteanEgovTech @NTTDATA @fsstech @paypointindia @MicroSave @WTCMumbaiIndia @FISGlobal</t>
  </si>
  <si>
    <t>2024-02-14 13:00:53</t>
  </si>
  <si>
    <t>Manisha Varma</t>
  </si>
  <si>
    <t>#finopaymentsbank #banking #banking #bankingjobs #bankinglife #finopaymentsbankcallcentre</t>
  </si>
  <si>
    <t>2024-02-14 12:11:17</t>
  </si>
  <si>
    <t>Pratham6114661</t>
  </si>
  <si>
    <t>Pratham</t>
  </si>
  <si>
    <t>@FinoPaymntsBank hello you have blocked debit of my account no 203012935220 please help me out why you blocked debit of my account 😭</t>
  </si>
  <si>
    <t>2024-02-14 11:29:47</t>
  </si>
  <si>
    <t>Priyankagangati</t>
  </si>
  <si>
    <t>Priyanka Kumari</t>
  </si>
  <si>
    <t>Online Banking services @FinoPaymntsBank  but no one resolve isuue online @FinoPaymntsBank</t>
  </si>
  <si>
    <t>2024-02-14 10:56:21</t>
  </si>
  <si>
    <t>Aurangabad bihar</t>
  </si>
  <si>
    <t>arifshan__</t>
  </si>
  <si>
    <t>9682538583 contact</t>
  </si>
  <si>
    <t>2024-02-14 09:05:58</t>
  </si>
  <si>
    <t>2024-02-14 09:05:48</t>
  </si>
  <si>
    <t>Mera Fino Payment Bank Khol ka dohh Aeps On Distubuter</t>
  </si>
  <si>
    <t>2024-02-14 09:05:47</t>
  </si>
  <si>
    <t>Bank details like love, should be protected at all costs. Never share your password, OTPs, and other information with anyone. Stay alert. Stay protected. Happy Valentine's Day.
#FinoPaymentsBank #FikarNot #FinoBanker #DigitalBanking #SecureBanking #HarDinFino #FinoPay #HappyValentinesDay2024 #Valentines #SpreadLove #StayProtected</t>
  </si>
  <si>
    <t>2024-02-14 09:01:09</t>
  </si>
  <si>
    <t>2024-02-14 09:00:36</t>
  </si>
  <si>
    <t>Bank details like love, should be protected at all costs Never share your password, OTPs, &amp;amp; other information with anyone. Stay alert. Stay protected Happy Valentine's Day.
#FinoPaymentsBank #FikarNot #DigitalBanking #SecureBanking #HappyValentinesDay2024 #StayProtected https://t.co/7ExkFpiTqa</t>
  </si>
  <si>
    <t>2024-02-14 09:00:00</t>
  </si>
  <si>
    <t>Happy Valentines Day</t>
  </si>
  <si>
    <t>Fino Payments Bank: Beautiful</t>
  </si>
  <si>
    <t>2024-02-14 08:31:43</t>
  </si>
  <si>
    <t>Fino payments bank imps  pending problem solution | Fino mitra se dmt pending problem |Fino bank</t>
  </si>
  <si>
    <t>2024-02-14 08:18:23</t>
  </si>
  <si>
    <t>Let's pay our respects to Goddess Saraswati and pray for a great season of spring filled with prosperity.
#FinoPaymentsBank #FikarNot #FinoBanker #DigitalBanking #SecureBanking #HarDinFino #FinoPay #VasantPanchami #SpringSeason</t>
  </si>
  <si>
    <t>2024-02-14 08:00:12</t>
  </si>
  <si>
    <t>2024-02-14 08:00:01</t>
  </si>
  <si>
    <t>2024-02-14 08:00:00</t>
  </si>
  <si>
    <t>fidolkastro</t>
  </si>
  <si>
    <t>Mohammad Asham Baidya</t>
  </si>
  <si>
    <t>Marking a day celebrating a milestone in the history of communication. Happy World Radio Day!
#FinoPaymentsBank #FikarNot #FinoBanker #DigitalBanking #SecureBanking #HarDinFino #FinoPay #WorldRadioDay #Entertainment #Informative https://t.co/UJ9RdomUrQ</t>
  </si>
  <si>
    <t>2024-02-14 07:33:40</t>
  </si>
  <si>
    <t>Haora, west bengal</t>
  </si>
  <si>
    <t>2024-02-13</t>
  </si>
  <si>
    <t>Sir account unblock nahi ho raha hai</t>
  </si>
  <si>
    <t>2024-02-13 22:43:15</t>
  </si>
  <si>
    <t>iabhishekseth</t>
  </si>
  <si>
    <t>No any support Ditibuter</t>
  </si>
  <si>
    <t>2024-02-13 21:56:42</t>
  </si>
  <si>
    <t>Gavru Linckon</t>
  </si>
  <si>
    <t>Fino Payments Bank sir mughe apna account bnd karbana hai iske liye kya karna padega</t>
  </si>
  <si>
    <t>2024-02-13 21:45:15</t>
  </si>
  <si>
    <t>vishalsahu400</t>
  </si>
  <si>
    <t>2 Lakh ka insurance cover kitno ko diya hi abhi tk 😂😂</t>
  </si>
  <si>
    <t>2024-02-13 21:34:06</t>
  </si>
  <si>
    <t>yaduvanshi_nitish_07</t>
  </si>
  <si>
    <t>1 lakh karo UPI limit</t>
  </si>
  <si>
    <t>2024-02-13 20:34:14</t>
  </si>
  <si>
    <t>@FinoPaymntsBank Call me back 9334023154</t>
  </si>
  <si>
    <t>2024-02-13 20:31:33</t>
  </si>
  <si>
    <t>QM-FINO-E643</t>
  </si>
  <si>
    <t>Md Ameer Alam</t>
  </si>
  <si>
    <t>2024-02-13 20:23:55</t>
  </si>
  <si>
    <t>QM-FINO-E656</t>
  </si>
  <si>
    <t>Krish Play School School</t>
  </si>
  <si>
    <t>Fino Payments Bank: 9006628825</t>
  </si>
  <si>
    <t>2024-02-13 20:00:07</t>
  </si>
  <si>
    <t>QM-FINO-E644</t>
  </si>
  <si>
    <t>Nitesh Kumar</t>
  </si>
  <si>
    <t>Fino Payments Bank: ʜɪɪ</t>
  </si>
  <si>
    <t>2024-02-13 19:51:20</t>
  </si>
  <si>
    <t>2024-02-13 19:49:56</t>
  </si>
  <si>
    <t>2024-02-13 19:33:29</t>
  </si>
  <si>
    <t>Banking at your service!
#FinoPaymentsBank #FikarNot #FinoBanker #DigitalBanking #SecureBanking #FinoPay #FinoMerchant #HarDinFino #phygital</t>
  </si>
  <si>
    <t>2024-02-13 18:40:56</t>
  </si>
  <si>
    <t>Ritupon Das</t>
  </si>
  <si>
    <t>Fino Payments Bank: If a farmer open his account in Fino payment Bank will he get the money from PMKissan scheme??? Because only IPPB accounts are required for PM kissan. Plz pet me know...</t>
  </si>
  <si>
    <t>2024-02-13 18:07:59</t>
  </si>
  <si>
    <t>Fino Payments Bank chor bank</t>
  </si>
  <si>
    <t>2024-02-13 18:00:45</t>
  </si>
  <si>
    <t>QM-FINO-E657</t>
  </si>
  <si>
    <t>already 5 din  pahle bhej rakkhe h.....9694222242</t>
  </si>
  <si>
    <t>2024-02-13 18:00:32</t>
  </si>
  <si>
    <t>QM-FINO-E645</t>
  </si>
  <si>
    <t>Fino Payments Bank: Chor bank</t>
  </si>
  <si>
    <t>2024-02-13 17:41:20</t>
  </si>
  <si>
    <t>Support nahi milta hai</t>
  </si>
  <si>
    <t>2024-02-13 17:33:47</t>
  </si>
  <si>
    <t>Krish Play School School: Namaste, Please share your query and contact number. Someone from our team will get in touch with you. Thanks!</t>
  </si>
  <si>
    <t>2024-02-13 17:24:53</t>
  </si>
  <si>
    <t>jkashyap42</t>
  </si>
  <si>
    <t>jyoti prakash</t>
  </si>
  <si>
    <t>@FinoPaymntsBank Day by day you are reducing your merchant commission</t>
  </si>
  <si>
    <t>2024-02-13 17:13:38</t>
  </si>
  <si>
    <t>Ahbab Sahil   Namaste, Please share your query and contact number. Someone from our team will get in touch with you. Thanks!</t>
  </si>
  <si>
    <t>2024-02-13 17:11:01</t>
  </si>
  <si>
    <t>Ise number pe call nahi lag raha hai</t>
  </si>
  <si>
    <t>2024-02-13 17:02:59</t>
  </si>
  <si>
    <t>Fino Shubh Savings Account ke sath bachat karna hai aasan aur faaydemand. Aaj hi account kholne ke liye missed call de 7877788977 par.
#FinoPaymentsBank #FikarNot #FinoBanker #DigitalBanking #SecureBanking #HarDinFino #FinoPay #AccountOpening #FinancialPlanning101 #SavingAccount</t>
  </si>
  <si>
    <t>2024-02-13 17:00:11</t>
  </si>
  <si>
    <t>Fino Shubh Savings Account ke sath bachat karna hai aasan aur faaydemand. Aaj hi account kholne ke liye missed call de 7877788977 par
#FinoPaymentsBank #FikarNot #FinoBanker #DigitalBanking #SecureBanking #HarDinFino #FinoPay #AccountOpening #FinancialPlanning101 #SavingAccount https://t.co/LsjMef9DwO</t>
  </si>
  <si>
    <t>2024-02-13 17:00:00</t>
  </si>
  <si>
    <t>Payment kare azaadi se Fino Payments Bank ke sath!
.
.
.
.
#FinoPaymentsBank #FikarNot #FinoBanker #DigitalBanking #SecureBanking #FinoPay #FinoMerchant #HarDinFino #Discount #onlineoffers #offer  #saving #cashback #plans #goals #digital #banking #dailyspends</t>
  </si>
  <si>
    <t>2024-02-13 16:59:03</t>
  </si>
  <si>
    <t>Fino Payments Bank Mobile Number Leker Kya Hoga..
Kitne Bar Diya Magar Koie Positive Response Nahi Milta</t>
  </si>
  <si>
    <t>2024-02-13 16:56:23</t>
  </si>
  <si>
    <t>QM-FINO-E658</t>
  </si>
  <si>
    <t>2024-02-13 16:55:55</t>
  </si>
  <si>
    <t>QM-FINO-E639</t>
  </si>
  <si>
    <t>Rajput Rahul  Sir. Please share your contact number so that we can help</t>
  </si>
  <si>
    <t>2024-02-13 16:34:37</t>
  </si>
  <si>
    <t>Riyaz Smoker  Sure. Please use this link to open the account - https://www.finobank.com/individual</t>
  </si>
  <si>
    <t>2024-02-13 16:31:31</t>
  </si>
  <si>
    <t>@FinoPaymntsBank 8882176448</t>
  </si>
  <si>
    <t>2024-02-13 16:27:15</t>
  </si>
  <si>
    <t>QM-FINO-E640</t>
  </si>
  <si>
    <t>Muskan Roy: Hello. How an we help ?</t>
  </si>
  <si>
    <t>2024-02-13 16:21:00</t>
  </si>
  <si>
    <t>RK Preetam Ahirwar  Sir, please call the help desk on 02268681414</t>
  </si>
  <si>
    <t>2024-02-13 16:16:31</t>
  </si>
  <si>
    <t>Tej Pal  Sir. Please call the help desk on 02268681414 and they will help</t>
  </si>
  <si>
    <t>2024-02-13 16:14:46</t>
  </si>
  <si>
    <t xml:space="preserve">  Hi. Please share your contact number so that we can help</t>
  </si>
  <si>
    <t>2024-02-13 16:14:13</t>
  </si>
  <si>
    <t>चन्द्र प्रकाश मौर्य हिन्दू  Sir.Please share your contact number so that we can help</t>
  </si>
  <si>
    <t>2024-02-13 16:13:51</t>
  </si>
  <si>
    <t>Monu Kumar  8955559984 -Pls call on this number and we will help</t>
  </si>
  <si>
    <t>2024-02-13 16:13:22</t>
  </si>
  <si>
    <t>ritzshubu</t>
  </si>
  <si>
    <t>Shubham Singh Rathour</t>
  </si>
  <si>
    <t>@FinoPaymntsBank 9905355042</t>
  </si>
  <si>
    <t>2024-02-13 16:12:54</t>
  </si>
  <si>
    <t>QM-FINO-E646</t>
  </si>
  <si>
    <t>Atanu Ghorai: 8955559984 - Pls call us on this number and we will help</t>
  </si>
  <si>
    <t>2024-02-13 16:12:14</t>
  </si>
  <si>
    <t>Jitendra Kumar Gupta  Sir. Please share your contact number so that we can help</t>
  </si>
  <si>
    <t>2024-02-13 16:11:48</t>
  </si>
  <si>
    <t>Amit Thakur  Sir. pls call on  this number and share details - 8955559984</t>
  </si>
  <si>
    <t>2024-02-13 16:10:24</t>
  </si>
  <si>
    <t>Fino Payments Bank: Please call mee</t>
  </si>
  <si>
    <t>2024-02-13 16:08:25</t>
  </si>
  <si>
    <t>QM-FINO-E659</t>
  </si>
  <si>
    <t>@FinoPaymntsBank send u in DM</t>
  </si>
  <si>
    <t>2024-02-13 16:08:11</t>
  </si>
  <si>
    <t>Krish Play School School: Sir. Can you call the help desk on 02268681414 and the team will help</t>
  </si>
  <si>
    <t>2024-02-13 16:07:46</t>
  </si>
  <si>
    <t>@kuma74413 Sir. Please call the help desk on 02268681414</t>
  </si>
  <si>
    <t>2024-02-13 16:07:00</t>
  </si>
  <si>
    <t>@Sanjay__Ahirwar Sir. Please share your contact number so that we can help</t>
  </si>
  <si>
    <t>2024-02-13 16:06:22</t>
  </si>
  <si>
    <t>Moni Jat  Sir. Can you share your contact number so that we can help</t>
  </si>
  <si>
    <t>2024-02-13 16:05:49</t>
  </si>
  <si>
    <t>@ritzshubu Hi.
Can you share your contact number so that we can help</t>
  </si>
  <si>
    <t>2024-02-13 16:04:43</t>
  </si>
  <si>
    <t>😄😄 ek or fasne k liye taiyar ho gaya... bhai airtel ki le lo,,, fino me fas jaoge</t>
  </si>
  <si>
    <t>2024-02-13 15:27:16</t>
  </si>
  <si>
    <t>@FinoPaymntsBank 
मेरे नए अकाउंट की वीडियो kyc नही हो रही है kyc के दौरान वीडियो अटक जाती है जबकि नेटवर्क का कोई इश्यू नही है मैने दो डिवाइस और अलग अलग नेटवर्क से भी कोशिश की लेकिन फिर भी नही हुआ</t>
  </si>
  <si>
    <t>2024-02-13 15:25:24</t>
  </si>
  <si>
    <t>kaswas bank hai</t>
  </si>
  <si>
    <t>2024-02-13 15:23:43</t>
  </si>
  <si>
    <t>bakwas h sab</t>
  </si>
  <si>
    <t>2024-02-13 15:21:07</t>
  </si>
  <si>
    <t>Fino Payments Bank: kuch hoga k nahi</t>
  </si>
  <si>
    <t>2024-02-13 15:20:40</t>
  </si>
  <si>
    <t>QM-FINO-E647</t>
  </si>
  <si>
    <t>How's you sleep period going @RBI? Are you even listening to any of the complaints? Thousands of users have already complaint against @FinoPaymntsBank that they are deducting the money ₹450 and then not doing the KYC. we will be in long queue and then dropped abruptly. Shame</t>
  </si>
  <si>
    <t>2024-02-13 15:14:40</t>
  </si>
  <si>
    <t>@FinoPaymntsBank please reply and unfreez my bank account</t>
  </si>
  <si>
    <t>2024-02-13 15:03:19</t>
  </si>
  <si>
    <t>QM-FINO-E660</t>
  </si>
  <si>
    <t>@FinoPaymntsBank i have submitted documents for unblock my account but they aren't unblocking my bank account please help</t>
  </si>
  <si>
    <t>2024-02-13 15:02:24</t>
  </si>
  <si>
    <t>2024-02-13 12:49:16</t>
  </si>
  <si>
    <t>Bank details like love, should be protected at all costs. Never share your password, OTPs, and other information with anyone. Stay alert. Stay protected. Happy Valentines Day.
{hashtag|\#|FinoPaymentsBank} {hashtag|\#|FikarNot} {hashtag|\#|FinoBanker} {hashtag|\#|DigitalBanking} {hashtag|\#|SecureBanking} {hashtag|\#|HarDinFino} {hashtag|\#|FinoPay} {hashtag|\#|HappyValentinesDay2024} {hashtag|\#|Valentines} {hashtag|\#|SpreadLove} {hashtag|\#|StayProtected}</t>
  </si>
  <si>
    <t>2024-02-13 12:48:26</t>
  </si>
  <si>
    <t>Lets pay our respects to Goddess Saraswati and pray for a great season of spring filled with prosperity.
{hashtag|\#|FinoPaymentsBank} {hashtag|\#|FikarNot} {hashtag|\#|FinoBanker} {hashtag|\#|DigitalBanking} {hashtag|\#|SecureBanking} {hashtag|\#|HarDinFino} {hashtag|\#|FinoPay} {hashtag|\#|VasantPanchami} {hashtag|\#|SpringSeason}</t>
  </si>
  <si>
    <t>2024-02-13 12:39:05</t>
  </si>
  <si>
    <t>kuma74413</t>
  </si>
  <si>
    <t>yadav ji</t>
  </si>
  <si>
    <t>@FinoPaymntsBank @FinoPaymntsBank I want to change my mobile no. Can you help me??</t>
  </si>
  <si>
    <t>2024-02-13 12:31:35</t>
  </si>
  <si>
    <t>2024-02-13 10:14:26</t>
  </si>
  <si>
    <t>Fino Payments Bank: Please de activate my dabit restraction</t>
  </si>
  <si>
    <t>2024-02-13 10:14:20</t>
  </si>
  <si>
    <t>BombayKaBangda</t>
  </si>
  <si>
    <t>Alekh A A A</t>
  </si>
  <si>
    <t>Fino Payments Bank has given 23.4% returns in the last one year outperforming Nifty 50’s 21.6% gains. What does a small finance bank licence mean for the Fino stock? @BombayKaBangda analyses
https://t.co/D4ZfULnhIn</t>
  </si>
  <si>
    <t>2024-02-13 10:08:42</t>
  </si>
  <si>
    <t>Tg Vikki { Banking &amp; Finance }</t>
  </si>
  <si>
    <t>Without Kyc | Fino Payment Bank Zero Balance Account Opening | Fino Payment Bank Account Opening |</t>
  </si>
  <si>
    <t>2024-02-13 10:00:30</t>
  </si>
  <si>
    <t>Amit Thakur</t>
  </si>
  <si>
    <t>Fino bank ka marchant Kese bane</t>
  </si>
  <si>
    <t>2024-02-13 09:57:56</t>
  </si>
  <si>
    <t>@tajuddinkoire302</t>
  </si>
  <si>
    <t>Free hai charge hai</t>
  </si>
  <si>
    <t>2024-02-13 08:48:45</t>
  </si>
  <si>
    <t>2024-02-13 08:03:49</t>
  </si>
  <si>
    <t>Techno Funda Analysis</t>
  </si>
  <si>
    <t>Sbi Cards | Fino payments Bank | Paytm Share</t>
  </si>
  <si>
    <t>2024-02-13 08:01:13</t>
  </si>
  <si>
    <t>Marking a day celebrating a milestone in the history of communication. Happy World Radio Day!
#FinoPaymentsBank #FikarNot #FinoBanker #DigitalBanking #SecureBanking #HarDinFino #FinoPay #WorldRadioDay #Entertainment #Informative</t>
  </si>
  <si>
    <t>2024-02-13 08:00:12</t>
  </si>
  <si>
    <t>2024-02-13 08:00:00</t>
  </si>
  <si>
    <t>2024-02-12</t>
  </si>
  <si>
    <t>SMART CSP PASSWORD CHANGE|| AIRTEL FINO NSDL INDUSIND BANK PASSBOOK PRINT</t>
  </si>
  <si>
    <t>2024-02-12 23:35:09</t>
  </si>
  <si>
    <t>Jitendra Kumar Gupta</t>
  </si>
  <si>
    <t>Bahut kharab service</t>
  </si>
  <si>
    <t>2024-02-12 19:32:05</t>
  </si>
  <si>
    <t>I TECH JUNCTION 21</t>
  </si>
  <si>
    <t>FINO PAYMENT BANK OPENING FULL PROCESS PART 3</t>
  </si>
  <si>
    <t>2024-02-12 19:24:01</t>
  </si>
  <si>
    <t>2024-02-12 18:42:42</t>
  </si>
  <si>
    <t>2024-02-12 18:42:02</t>
  </si>
  <si>
    <t>Atanu Ghorai</t>
  </si>
  <si>
    <t>Fino Payments Bank: I want banking correspondent agent from your bank.</t>
  </si>
  <si>
    <t>2024-02-12 18:41:52</t>
  </si>
  <si>
    <t>2024-02-12 18:35:08</t>
  </si>
  <si>
    <t>BC point milega sir</t>
  </si>
  <si>
    <t>2024-02-12 17:36:52</t>
  </si>
  <si>
    <t>@FinoPaymntsBank I want to change my mobile no. Can you help me??</t>
  </si>
  <si>
    <t>2024-02-12 17:24:37</t>
  </si>
  <si>
    <t>Fino Payments Bank contact details lene ke baad koi call nahi hua abhi tak</t>
  </si>
  <si>
    <t>2024-02-12 17:21:44</t>
  </si>
  <si>
    <t>Fino Payments Bank: Hi sar</t>
  </si>
  <si>
    <t>2024-02-12 16:17:45</t>
  </si>
  <si>
    <t>People Grameena  Nidhi Ltd.</t>
  </si>
  <si>
    <t>It is fraud 
No service
No support
I have lost more than two lakh rupees. I am from Kerala</t>
  </si>
  <si>
    <t>2024-02-12 13:49:27</t>
  </si>
  <si>
    <t>Tej Pal</t>
  </si>
  <si>
    <t>Mera naam Tejpal mein apna account number bhul Gaya Hun kripya mujhe account number batane kripya Karen</t>
  </si>
  <si>
    <t>2024-02-12 13:12:43</t>
  </si>
  <si>
    <t>RK Preetam Ahirwar</t>
  </si>
  <si>
    <t>Mere account se pese nahi nikal rahe he</t>
  </si>
  <si>
    <t>2024-02-12 11:00:05</t>
  </si>
  <si>
    <t>Sankalp_359</t>
  </si>
  <si>
    <t>Sankalp</t>
  </si>
  <si>
    <t>2024-02-12 10:33:28</t>
  </si>
  <si>
    <t>Fino payment bank account opening part 2</t>
  </si>
  <si>
    <t>2024-02-12 09:50:59</t>
  </si>
  <si>
    <t>New Sharma telicom4m</t>
  </si>
  <si>
    <t>fino pminant bank Ac opin</t>
  </si>
  <si>
    <t>2024-02-12 06:00:34</t>
  </si>
  <si>
    <t>2024-02-11</t>
  </si>
  <si>
    <t>tarceazmat</t>
  </si>
  <si>
    <t>Azmat Ansari</t>
  </si>
  <si>
    <t>@FinoPaymntsBank please solve problems https://t.co/p4BtP7F21B 
  Quoted Tweet : @FinoPaymntsBank : Fino Bhavishya Savings Account hai uncertain future ko secure banane ki option. Aaj hi khaata kholne ke liye 7877788977 par.
#FinoPaymentsBank #FikarNot #FinoBanker #DigitalBanking #SecureBanking #SavingsAccount #AccountOpening #SecureTheFuture https://t.co/hwZ9i1NszA</t>
  </si>
  <si>
    <t>2024-02-11 22:41:38</t>
  </si>
  <si>
    <t>Alauddinpurgonda uttar pradesh</t>
  </si>
  <si>
    <t>AyanAllahbadia</t>
  </si>
  <si>
    <t>Ayan Allahbadia</t>
  </si>
  <si>
    <t>2024-02-11 21:59:30</t>
  </si>
  <si>
    <t>Uk - ukhd</t>
  </si>
  <si>
    <t>Rokibul Islam</t>
  </si>
  <si>
    <t>2024-02-11 21:50:00</t>
  </si>
  <si>
    <t>Tech Blogger Sahil Maurya</t>
  </si>
  <si>
    <t>fino payment bank account open #new #viral #shorts</t>
  </si>
  <si>
    <t>2024-02-11 20:27:45</t>
  </si>
  <si>
    <t>Himanshu Shah</t>
  </si>
  <si>
    <t>Congratulations!!</t>
  </si>
  <si>
    <t>2024-02-11 20:17:14</t>
  </si>
  <si>
    <t>UMESH KUMAR CHAURASIYA</t>
  </si>
  <si>
    <t>#fino payment Bank motivational</t>
  </si>
  <si>
    <t>2024-02-11 20:14:32</t>
  </si>
  <si>
    <t>Abhinash Yeskumar Das</t>
  </si>
  <si>
    <t>फिनो बहुत बेकार बैंक है अलग-अलग चार्ज करते रहते हैं पता नहीं क्या-क्या चीज के चार्ज करते हैं</t>
  </si>
  <si>
    <t>2024-02-11 18:59:32</t>
  </si>
  <si>
    <t>Muskan Roy</t>
  </si>
  <si>
    <t>Fino Payments Bank: Hloo</t>
  </si>
  <si>
    <t>2024-02-11 17:42:18</t>
  </si>
  <si>
    <t>Fino payment Bank CSP ID kese Le. Fino BC marchant id kese banwaye. Fino CSP ID kese banwaye. Fino</t>
  </si>
  <si>
    <t>2024-02-11 16:44:54</t>
  </si>
  <si>
    <t>फिनो payment बैंक का ATM चालू करते हुए #shortvideo #viral #finobankcsp #bank #shortvideo</t>
  </si>
  <si>
    <t>2024-02-11 16:44:17</t>
  </si>
  <si>
    <t>wwmgro</t>
  </si>
  <si>
    <t>fino payment bank Customer care number 2024 | fino payment bank complaint number</t>
  </si>
  <si>
    <t>2024-02-11 15:05:36</t>
  </si>
  <si>
    <t>Kailash Mandal</t>
  </si>
  <si>
    <t>Mera user ID block ho gaya hai</t>
  </si>
  <si>
    <t>2024-02-11 13:58:11</t>
  </si>
  <si>
    <t>Fino payment bank csp. fino csp. fino ka csp kaise le. fino all fine. fino bank. fino. Safe india.</t>
  </si>
  <si>
    <t>2024-02-11 13:40:39</t>
  </si>
  <si>
    <t>Gajendr06448788</t>
  </si>
  <si>
    <t>Gajendra</t>
  </si>
  <si>
    <t>@FinoPaymntsBank Sir, I am a customer of your fino bank. I am not able to do any transaction since last 5 days. I am facing problem, so please solve the problem. I request you https://t.co/11EDZVG3wM</t>
  </si>
  <si>
    <t>2024-02-11 12:54:20</t>
  </si>
  <si>
    <t>Suresh Mahto</t>
  </si>
  <si>
    <t>2024-02-11 11:20:25</t>
  </si>
  <si>
    <t>SNAPX54</t>
  </si>
  <si>
    <t>SnapX</t>
  </si>
  <si>
    <t>2024-02-11 09:40:05</t>
  </si>
  <si>
    <t>Bharat</t>
  </si>
  <si>
    <t>itspratiksahu</t>
  </si>
  <si>
    <t>P S</t>
  </si>
  <si>
    <t>2024-02-11 09:11:52</t>
  </si>
  <si>
    <t>Amchi mumbai</t>
  </si>
  <si>
    <t>Yogesh Tambe</t>
  </si>
  <si>
    <t>fino payment bank #shorts  #phonepay_2024 #manojdey</t>
  </si>
  <si>
    <t>2024-02-11 08:54:00</t>
  </si>
  <si>
    <t>How to open account  fino payment bank |fino payment bank mein account keise khol  | fino bank</t>
  </si>
  <si>
    <t>2024-02-11 08:51:00</t>
  </si>
  <si>
    <t>M R Raj</t>
  </si>
  <si>
    <t>https://h27.in/m/vy7kc</t>
  </si>
  <si>
    <t>2024-02-11 08:03:28</t>
  </si>
  <si>
    <t>black_____words111</t>
  </si>
  <si>
    <t>Hello sir, Dbt account ke liye aadhar seeding kese kare?</t>
  </si>
  <si>
    <t>2024-02-11 06:26:19</t>
  </si>
  <si>
    <t>2024-02-10</t>
  </si>
  <si>
    <t>Kumar Manjay</t>
  </si>
  <si>
    <t>Manjay Kumar</t>
  </si>
  <si>
    <t>2024-02-10 22:52:59</t>
  </si>
  <si>
    <t>@jaiswalinternet2506</t>
  </si>
  <si>
    <t>help please</t>
  </si>
  <si>
    <t>2024-02-10 22:10:58</t>
  </si>
  <si>
    <t>the finger print given doesn't match with our record. kindly place your fingef properly or use the correct finger.the finger print should be of as same as one captured at the Time of account opening</t>
  </si>
  <si>
    <t>2024-02-10 22:10:43</t>
  </si>
  <si>
    <t>2024-02-10 22:03:10</t>
  </si>
  <si>
    <t>✴️MOTILAL OSWAL FOCUSED FUND- JAN'24 HOLDINGS
AUM: 1,842.30 CR (DEC'23: 1,784.20 CR)
✅ FRESH BUYING:
&amp;gt; LIC HOUSING FINANCE
&amp;gt; VOLTAS LIMITED
🔰 FURTHER ADDITIONS:
&amp;gt; STAR
&amp;gt; NYKAA
&amp;gt; LTTS
&amp;gt; ZF COMMERCIAL
&amp;gt; DREAMFOLKS
&amp;gt; PAYTM
&amp;gt; FINO PAYMENTS https://t.co/lWZ3yAG76I</t>
  </si>
  <si>
    <t>2024-02-10 21:30:00</t>
  </si>
  <si>
    <t>ANY BANK PASSBOOK PRINT | AIRTEL PAYMENT BANK PASSBOOK PRINT|PASSBOOK PRINT FINO AIRTEL INDUSIND</t>
  </si>
  <si>
    <t>2024-02-10 20:35:37</t>
  </si>
  <si>
    <t>AIRTEL PAYMENT PASSBOOK PDF DOWNLOAD | AIRTEL PAYMENT PASSBOOK PRINT FINO INDIA POST PAYMENT BANK</t>
  </si>
  <si>
    <t>2024-02-10 19:31:42</t>
  </si>
  <si>
    <t>mpranjay16</t>
  </si>
  <si>
    <t>Pranjay is the name</t>
  </si>
  <si>
    <t>2024-02-10 19:24:44</t>
  </si>
  <si>
    <t>mjmadhavjha14</t>
  </si>
  <si>
    <t>Madhav Jha</t>
  </si>
  <si>
    <t>2024-02-10 19:22:17</t>
  </si>
  <si>
    <t>segukranthi</t>
  </si>
  <si>
    <t>Kranthi Vardhan</t>
  </si>
  <si>
    <t>2024-02-10 18:56:22</t>
  </si>
  <si>
    <t>Chandan Raj</t>
  </si>
  <si>
    <t>Udhar ja Raha balance udhar se ja Raha nahin balance dukaan mein khulvaye to bolo 4 din 3 din mein a jaega available nahin abhi tak hua hai 6201403894</t>
  </si>
  <si>
    <t>2024-02-10 18:55:24</t>
  </si>
  <si>
    <t>QM-FINO-E648</t>
  </si>
  <si>
    <t>Bola 4 din mein fino Bank ke Ghatak available ho jaega char din mein chhah din Ho Gaya Abhi Tak nahin hua udhar se a raha hai Banarasi Das/ 6201403894</t>
  </si>
  <si>
    <t>2024-02-10 18:53:27</t>
  </si>
  <si>
    <t>Riyaz Smoker</t>
  </si>
  <si>
    <t>Onen ac karna hai mujhe</t>
  </si>
  <si>
    <t>2024-02-10 18:31:31</t>
  </si>
  <si>
    <t>prabhat1388</t>
  </si>
  <si>
    <t>prabhat kumar</t>
  </si>
  <si>
    <t>@FinoPaymntsBank Faridabad, Haryana ki bc agent Complaints poor service, banking staff not meeting with shopkeeper. Complaints not solved. Kit, passbook not provided with staff. Customer harresment by finopayment bank poor service.</t>
  </si>
  <si>
    <t>2024-02-10 18:10:02</t>
  </si>
  <si>
    <t>Phone call to aata hai lekin problem solve nahi kar sakta</t>
  </si>
  <si>
    <t>2024-02-10 16:25:26</t>
  </si>
  <si>
    <t>Highlight Tricks 1M</t>
  </si>
  <si>
    <t>घर बैठे खाता खोलें 🏪 Fino Payments Bank Account Opening#2024#fino_payment_bank_account_Opening</t>
  </si>
  <si>
    <t>2024-02-10 16:16:49</t>
  </si>
  <si>
    <t>Uma Shankar Bind</t>
  </si>
  <si>
    <t>Very very good luck sir ji 😘😴</t>
  </si>
  <si>
    <t>2024-02-10 16:11:22</t>
  </si>
  <si>
    <t>Zero Charges Physical PassBook Service Fino payment Bank issues new passbook update2024 Pihra branch</t>
  </si>
  <si>
    <t>2024-02-10 16:00:13</t>
  </si>
  <si>
    <t>Suresh Ray</t>
  </si>
  <si>
    <t>Fino Payments Bank 9434485540</t>
  </si>
  <si>
    <t>2024-02-10 15:57:28</t>
  </si>
  <si>
    <t>Bhoopendr Chauhan</t>
  </si>
  <si>
    <t>R98 ka matalb kya hai</t>
  </si>
  <si>
    <t>2024-02-10 15:29:53</t>
  </si>
  <si>
    <t>2024-02-10 15:27:38</t>
  </si>
  <si>
    <t>@FinoPaymntsBank @FinoPaymntsBank  im Distributor FINO PAYMENT BANK
My id is Blocked With others reason please Unblock my id is 138336737072</t>
  </si>
  <si>
    <t>2024-02-10 14:40:41</t>
  </si>
  <si>
    <t>Kuldeep Singh</t>
  </si>
  <si>
    <t>2024-02-10 14:21:46</t>
  </si>
  <si>
    <t>2024-02-10 14:21:21</t>
  </si>
  <si>
    <t>AbhiRawat987</t>
  </si>
  <si>
    <t>Abhishek Rawat 🇮🇳</t>
  </si>
  <si>
    <t>2024-02-10 14:06:35</t>
  </si>
  <si>
    <t>Gyankiran90</t>
  </si>
  <si>
    <t>Gyankiran</t>
  </si>
  <si>
    <t>2024-02-10 13:59:32</t>
  </si>
  <si>
    <t>yashkumar93</t>
  </si>
  <si>
    <t>Yash Kumar</t>
  </si>
  <si>
    <t>2024-02-10 13:50:43</t>
  </si>
  <si>
    <t>Rajput Rahul</t>
  </si>
  <si>
    <t>1 mahine meri ID band call kar kar ke dhak gay</t>
  </si>
  <si>
    <t>2024-02-10 13:07:06</t>
  </si>
  <si>
    <t>Peace and Prosperity</t>
  </si>
  <si>
    <t>@Nithin0dha Paytm would be $100 billion company if startup in USA, same goes for other Financial like Fino Payment Bank or Jio Financial.. 
RBI has to be strict but not that much that it hurts business. In case of Paytm they could easily put one member on board in 2021 only.</t>
  </si>
  <si>
    <t>2024-02-10 13:06:24</t>
  </si>
  <si>
    <t>Safe mila</t>
  </si>
  <si>
    <t>FINO PAYMENT BANK | SPICE MONEY | NPCI NEW NEW GUIDLINE |</t>
  </si>
  <si>
    <t>2024-02-10 13:05:00</t>
  </si>
  <si>
    <t>डिस्ट्रिब्युटर कमिशन बहुत काम है</t>
  </si>
  <si>
    <t>2024-02-10 12:36:07</t>
  </si>
  <si>
    <t>kishlay_ishwar</t>
  </si>
  <si>
    <t>Kishlay Ishwar</t>
  </si>
  <si>
    <t>2024-02-10 12:18:04</t>
  </si>
  <si>
    <t>Dìpák Singh Yadav</t>
  </si>
  <si>
    <t>2024-02-10 12:14:51</t>
  </si>
  <si>
    <t>anil7kishan</t>
  </si>
  <si>
    <t>Anil Kishan Zutshi</t>
  </si>
  <si>
    <t>2024-02-10 11:53:03</t>
  </si>
  <si>
    <t>TectorSingh</t>
  </si>
  <si>
    <t>Tector Singh</t>
  </si>
  <si>
    <t>UPI influencer in Back ! 
  Quoted Tweet : @Ravisutanjani : 🚨 Active Payments Banks in India
• Airtel Payments Bank
• India Post Payments Bank
• Fino Payments Bank
• Jio Payments Bank
• Paytm Payments Bank
• NSDL Payments Bank
Payments Bank in India Cannot Issue Loans &amp; Credit Cards To Customers</t>
  </si>
  <si>
    <t>2024-02-10 11:51:10</t>
  </si>
  <si>
    <t xml:space="preserve">North sentinel island </t>
  </si>
  <si>
    <t>2024-02-10 11:50:30</t>
  </si>
  <si>
    <t>Tanmoy Roy</t>
  </si>
  <si>
    <t>Fino Payments Bank: Hii, anyone available on chat?</t>
  </si>
  <si>
    <t>2024-02-10 11:26:18</t>
  </si>
  <si>
    <t>Sonu Kumar</t>
  </si>
  <si>
    <t>Fino Payments Bank  9507653438</t>
  </si>
  <si>
    <t>2024-02-10 11:10:09</t>
  </si>
  <si>
    <t>shivu_aug16</t>
  </si>
  <si>
    <t>🇮🇳 Shivam Tiwari</t>
  </si>
  <si>
    <t>2024-02-10 10:44:09</t>
  </si>
  <si>
    <t>PrayagrajWaale</t>
  </si>
  <si>
    <t>Saurabh Pandey</t>
  </si>
  <si>
    <t>2024-02-10 10:08:34</t>
  </si>
  <si>
    <t>Prayagraj</t>
  </si>
  <si>
    <t>Amar Kumar</t>
  </si>
  <si>
    <t>2024-02-10 09:59:36</t>
  </si>
  <si>
    <t>Amar Kumar: 8955559984 -Pls give us a missed call on this number</t>
  </si>
  <si>
    <t>2024-02-10 09:56:05</t>
  </si>
  <si>
    <t>Nand Kishor Sahani  Sir. Please call the help desk on 02268681234</t>
  </si>
  <si>
    <t>2024-02-10 09:53:54</t>
  </si>
  <si>
    <t>Adarsh Shakya  Sir, Please give us a call on 8955559984</t>
  </si>
  <si>
    <t>2024-02-10 09:52:33</t>
  </si>
  <si>
    <t>Md Ameer Alam  https://web4.finobank.com/merchant/products-services/merchant-registration</t>
  </si>
  <si>
    <t>2024-02-10 09:49:15</t>
  </si>
  <si>
    <t>Soumyadipta Biswas: Sir. Anyone above the age of 18 can open the Shubh Account.</t>
  </si>
  <si>
    <t>2024-02-10 09:47:42</t>
  </si>
  <si>
    <t>Baat kar le hai account unblock nahi ho raha hai sir please</t>
  </si>
  <si>
    <t>2024-02-10 09:47:31</t>
  </si>
  <si>
    <t>2024-02-10 09:47:09</t>
  </si>
  <si>
    <t>Davandra Sani Davandra Sani  Pls call the help desk on 02268681414</t>
  </si>
  <si>
    <t>2024-02-10 09:45:48</t>
  </si>
  <si>
    <t>Radheshyam Anuragi: Sir. Please call the help desk on 0226861414</t>
  </si>
  <si>
    <t>2024-02-10 09:43:19</t>
  </si>
  <si>
    <t>Ajeet Rai: Sir. Please call the help desk on 02268681234</t>
  </si>
  <si>
    <t>2024-02-10 09:42:36</t>
  </si>
  <si>
    <t>Umesh Kumar  Sir, please share your contact number so that we can help</t>
  </si>
  <si>
    <t>2024-02-10 09:39:24</t>
  </si>
  <si>
    <t>FINO PAYMENT BANK OPENING FULL PROCESS</t>
  </si>
  <si>
    <t>2024-02-10 09:11:14</t>
  </si>
  <si>
    <t>bitutiwari30</t>
  </si>
  <si>
    <t>Bitu tiwari</t>
  </si>
  <si>
    <t>2024-02-10 05:50:38</t>
  </si>
  <si>
    <t>Nepal,birgunj</t>
  </si>
  <si>
    <t>JoelJacobKerala</t>
  </si>
  <si>
    <t>Joel Mathew Jacob</t>
  </si>
  <si>
    <t>2024-02-10 02:37:51</t>
  </si>
  <si>
    <t>India5th</t>
  </si>
  <si>
    <t>Shri 🇮🇳🇮🇳</t>
  </si>
  <si>
    <t>2024-02-10 02:18:11</t>
  </si>
  <si>
    <t>Land of hindus 🕉️</t>
  </si>
  <si>
    <t>akshatverma1118</t>
  </si>
  <si>
    <t>2024-02-10 02:06:29</t>
  </si>
  <si>
    <t>ipuneettanwar</t>
  </si>
  <si>
    <t>Puneet Tanwar 🇮🇳</t>
  </si>
  <si>
    <t>2024-02-10 01:52:59</t>
  </si>
  <si>
    <t>Greater noida, india</t>
  </si>
  <si>
    <t>paraskaushik_79</t>
  </si>
  <si>
    <t>paras.bh3</t>
  </si>
  <si>
    <t>2024-02-10 01:48:02</t>
  </si>
  <si>
    <t>Gurgaon, india</t>
  </si>
  <si>
    <t>_Akhand_Bhaarat</t>
  </si>
  <si>
    <t>Brown 🍞🪷</t>
  </si>
  <si>
    <t>2024-02-10 00:41:27</t>
  </si>
  <si>
    <t>Russia</t>
  </si>
  <si>
    <t>RupeshGoel20</t>
  </si>
  <si>
    <t>Rupesh Goel</t>
  </si>
  <si>
    <t>2024-02-10 00:40:09</t>
  </si>
  <si>
    <t>Sonipat, india</t>
  </si>
  <si>
    <t>GodIsGr82148817</t>
  </si>
  <si>
    <t>M</t>
  </si>
  <si>
    <t>2024-02-10 00:23:52</t>
  </si>
  <si>
    <t>kishor_085</t>
  </si>
  <si>
    <t>kishor12</t>
  </si>
  <si>
    <t>2024-02-10 00:13:45</t>
  </si>
  <si>
    <t>2024-02-09</t>
  </si>
  <si>
    <t>Sabse ghatiya bank</t>
  </si>
  <si>
    <t>2024-02-09 23:51:28</t>
  </si>
  <si>
    <t>prateekdubey26</t>
  </si>
  <si>
    <t>prateek dubey</t>
  </si>
  <si>
    <t>2024-02-09 23:51:26</t>
  </si>
  <si>
    <t>cheerystone</t>
  </si>
  <si>
    <t>Hariom</t>
  </si>
  <si>
    <t>2024-02-09 23:50:56</t>
  </si>
  <si>
    <t xml:space="preserve">Mumbai </t>
  </si>
  <si>
    <t>aryan8849080</t>
  </si>
  <si>
    <t>Aryan</t>
  </si>
  <si>
    <t>2024-02-09 23:50:06</t>
  </si>
  <si>
    <t>Theynationalist</t>
  </si>
  <si>
    <t>The Nationalist 2.0</t>
  </si>
  <si>
    <t>2024-02-09 23:44:43</t>
  </si>
  <si>
    <t>SatinTweety</t>
  </si>
  <si>
    <t>tutu</t>
  </si>
  <si>
    <t>him title-casing the entire sentence is pissing me off, why don’t you sentence-case like a normal person 
  Quoted Tweet : @Ravisutanjani : 🚨 Active Payments Banks in India
• Airtel Payments Bank
• India Post Payments Bank
• Fino Payments Bank
• Jio Payments Bank
• Paytm Payments Bank
• NSDL Payments Bank
Payments Bank in India Cannot Issue Loans &amp; Credit Cards To Customers</t>
  </si>
  <si>
    <t>2024-02-09 23:34:01</t>
  </si>
  <si>
    <t>Ramesh_Ndr</t>
  </si>
  <si>
    <t>Ramesh Selvan</t>
  </si>
  <si>
    <t>2024-02-09 23:13:01</t>
  </si>
  <si>
    <t>eagleeye192020</t>
  </si>
  <si>
    <t>eagleeye192020 Proud Hindu &amp; Proud Indian</t>
  </si>
  <si>
    <t>2024-02-09 23:07:21</t>
  </si>
  <si>
    <t>VikasBh63903167</t>
  </si>
  <si>
    <t>V.Bhosale</t>
  </si>
  <si>
    <t>2024-02-09 22:55:55</t>
  </si>
  <si>
    <t xml:space="preserve">भारत </t>
  </si>
  <si>
    <t>Saurabhkmr09</t>
  </si>
  <si>
    <t>Saurabh Chauhan</t>
  </si>
  <si>
    <t>2024-02-09 22:55:43</t>
  </si>
  <si>
    <t>arpan_bhakta</t>
  </si>
  <si>
    <t>ARPAN BHAKTA 🇮🇳 SWADESHI WARRIOR</t>
  </si>
  <si>
    <t>2024-02-09 22:46:16</t>
  </si>
  <si>
    <t>Howrah, india</t>
  </si>
  <si>
    <t>directorrr87</t>
  </si>
  <si>
    <t>S.VEERA</t>
  </si>
  <si>
    <t>2024-02-09 22:45:45</t>
  </si>
  <si>
    <t>India,hydarabad</t>
  </si>
  <si>
    <t>DrNitinMishra2</t>
  </si>
  <si>
    <t>Nitin Mishra🇮🇳🇮🇳</t>
  </si>
  <si>
    <t>2024-02-09 22:36:28</t>
  </si>
  <si>
    <t>urstrulyrpt</t>
  </si>
  <si>
    <t>尺ㄗ匕 #GunturKaaram🌶️ || $¶®€@d❣️</t>
  </si>
  <si>
    <t>2024-02-09 22:25:56</t>
  </si>
  <si>
    <t>Eluru - punjab</t>
  </si>
  <si>
    <t>pranav9983</t>
  </si>
  <si>
    <t>Pranav Patel🇮🇳</t>
  </si>
  <si>
    <t>2024-02-09 22:21:34</t>
  </si>
  <si>
    <t>Surat, india</t>
  </si>
  <si>
    <t>PuRi_DePuRi</t>
  </si>
  <si>
    <t>Depuri Karthik Puri</t>
  </si>
  <si>
    <t>2024-02-09 22:20:52</t>
  </si>
  <si>
    <t>Vijayawada</t>
  </si>
  <si>
    <t>PabloRkz</t>
  </si>
  <si>
    <t>ॐ Karna ࿗ 🇮🇳</t>
  </si>
  <si>
    <t>2024-02-09 22:11:43</t>
  </si>
  <si>
    <t>Kerala, india</t>
  </si>
  <si>
    <t>Ajeet Rai</t>
  </si>
  <si>
    <t>Fino Payments Bank: Bhavishya khata kholne k liye kit. Kaise order kre</t>
  </si>
  <si>
    <t>2024-02-09 22:03:24</t>
  </si>
  <si>
    <t>Pradeep62313793</t>
  </si>
  <si>
    <t>🚩</t>
  </si>
  <si>
    <t>2024-02-09 21:58:42</t>
  </si>
  <si>
    <t>vijaayprajapati</t>
  </si>
  <si>
    <t>Vijay Prajapati</t>
  </si>
  <si>
    <t>2024-02-09 21:54:26</t>
  </si>
  <si>
    <t>Bhavishya khata kholne k liye kit kaise oder kre</t>
  </si>
  <si>
    <t>2024-02-09 21:52:15</t>
  </si>
  <si>
    <t>shubham60446870</t>
  </si>
  <si>
    <t>Shubham Tiwari</t>
  </si>
  <si>
    <t>2024-02-09 21:51:13</t>
  </si>
  <si>
    <t>M.p[rewa]</t>
  </si>
  <si>
    <t>Radheshyam Anuragi</t>
  </si>
  <si>
    <t>Fino Payments Bank: Costumer keyar se bat karni he</t>
  </si>
  <si>
    <t>2024-02-09 21:51:10</t>
  </si>
  <si>
    <t>Fino Payments Bank: Eska koi solution he</t>
  </si>
  <si>
    <t>2024-02-09 21:50:48</t>
  </si>
  <si>
    <t>Fino Payments Bank: Kya karu</t>
  </si>
  <si>
    <t>2024-02-09 21:50:33</t>
  </si>
  <si>
    <t>Fino Payments Bank: Mere Account se paese kat te he ji</t>
  </si>
  <si>
    <t>2024-02-09 21:50:27</t>
  </si>
  <si>
    <t>Nad52138075</t>
  </si>
  <si>
    <t>Nad</t>
  </si>
  <si>
    <t>2024-02-09 21:39:23</t>
  </si>
  <si>
    <t>PAPARAO1020</t>
  </si>
  <si>
    <t>PAPA RAO</t>
  </si>
  <si>
    <t>2024-02-09 21:26:29</t>
  </si>
  <si>
    <t>Andhra pradesh</t>
  </si>
  <si>
    <t>Jayeshshewale</t>
  </si>
  <si>
    <t>Jayesh Shewale 🇮🇳</t>
  </si>
  <si>
    <t>2024-02-09 21:26:11</t>
  </si>
  <si>
    <t>Jalgaon and bengaluru, india</t>
  </si>
  <si>
    <t>SmartOwl1611</t>
  </si>
  <si>
    <t>Smart_Owl_Indian</t>
  </si>
  <si>
    <t>2024-02-09 21:22:32</t>
  </si>
  <si>
    <t>Pun_Pujari</t>
  </si>
  <si>
    <t>Rajat 🍭🍭</t>
  </si>
  <si>
    <t>2024-02-09 21:06:54</t>
  </si>
  <si>
    <t>RoshanJSR</t>
  </si>
  <si>
    <t>Roshan Jha</t>
  </si>
  <si>
    <t>2024-02-09 21:02:15</t>
  </si>
  <si>
    <t>Paytm Payment Bank Ban 😭 | Paytm Payment Bank बंद होने का बाद किया कारे | Reatiler Nayan</t>
  </si>
  <si>
    <t>2024-02-09 21:00:19</t>
  </si>
  <si>
    <t>Saransh2107</t>
  </si>
  <si>
    <t>Saransh Patel</t>
  </si>
  <si>
    <t>2024-02-09 20:57:10</t>
  </si>
  <si>
    <t>aneeshguptaag</t>
  </si>
  <si>
    <t>Aneesh Gupta</t>
  </si>
  <si>
    <t>2024-02-09 20:50:02</t>
  </si>
  <si>
    <t>MacNDdroid</t>
  </si>
  <si>
    <t>Mac ND Android</t>
  </si>
  <si>
    <t>Dekho ye aage gaya https://t.co/vbRH42EMd5 
  Quoted Tweet : @Ravisutanjani : 🚨 Active Payments Banks in India
• Airtel Payments Bank
• India Post Payments Bank
• Fino Payments Bank
• Jio Payments Bank
• Paytm Payments Bank
• NSDL Payments Bank
Payments Bank in India Cannot Issue Loans &amp; Credit Cards To Customers</t>
  </si>
  <si>
    <t>2024-02-09 20:46:13</t>
  </si>
  <si>
    <t>mukuvidya06</t>
  </si>
  <si>
    <t>mukundan krishnan</t>
  </si>
  <si>
    <t>2024-02-09 20:39:03</t>
  </si>
  <si>
    <t xml:space="preserve">Villupuram </t>
  </si>
  <si>
    <t>ajaynisanth</t>
  </si>
  <si>
    <t>Ajey</t>
  </si>
  <si>
    <t>2024-02-09 20:32:22</t>
  </si>
  <si>
    <t xml:space="preserve">Chennai </t>
  </si>
  <si>
    <t>mehta_jinil</t>
  </si>
  <si>
    <t>Jinil Mehta</t>
  </si>
  <si>
    <t>2024-02-09 20:31:50</t>
  </si>
  <si>
    <t>lit77</t>
  </si>
  <si>
    <t>MARWARI</t>
  </si>
  <si>
    <t>2024-02-09 20:28:16</t>
  </si>
  <si>
    <t>Fino Payments Bank New | Fino Bank ka new business | fino new commission</t>
  </si>
  <si>
    <t>2024-02-09 20:26:38</t>
  </si>
  <si>
    <t>Sasikum67788119</t>
  </si>
  <si>
    <t>Sasikumar</t>
  </si>
  <si>
    <t>2024-02-09 20:25:22</t>
  </si>
  <si>
    <t>theExplorer_19</t>
  </si>
  <si>
    <t>Explorer A</t>
  </si>
  <si>
    <t>2024-02-09 20:24:03</t>
  </si>
  <si>
    <t>Jap76428943176</t>
  </si>
  <si>
    <t>Di@bl0</t>
  </si>
  <si>
    <t>Bhai degree lene gaya tha ? 
  Quoted Tweet : @Ravisutanjani : 🚨 Active Payments Banks in India
• Airtel Payments Bank
• India Post Payments Bank
• Fino Payments Bank
• Jio Payments Bank
• Paytm Payments Bank
• NSDL Payments Bank
Payments Bank in India Cannot Issue Loans &amp; Credit Cards To Customers</t>
  </si>
  <si>
    <t>2024-02-09 20:20:49</t>
  </si>
  <si>
    <t>doc_kehta_hai</t>
  </si>
  <si>
    <t>Dr. Joseph Abhay Khan Ahluwalia Nepali</t>
  </si>
  <si>
    <t>2024-02-09 20:18:47</t>
  </si>
  <si>
    <t>Nepal</t>
  </si>
  <si>
    <t>TRACTATORI_DAN</t>
  </si>
  <si>
    <t>S P</t>
  </si>
  <si>
    <t>2024-02-09 20:17:05</t>
  </si>
  <si>
    <t>RedSaluteIn</t>
  </si>
  <si>
    <t>𝕽𝖊𝖉 𝕾𝖆𝖑𝖚𝖙𝖊</t>
  </si>
  <si>
    <t>https://t.co/1YFJ65ljKr 
  Quoted Tweet : @Ravisutanjani : 🚨 Active Payments Banks in India
• Airtel Payments Bank
• India Post Payments Bank
• Fino Payments Bank
• Jio Payments Bank
• Paytm Payments Bank
• NSDL Payments Bank
Payments Bank in India Cannot Issue Loans &amp; Credit Cards To Customers</t>
  </si>
  <si>
    <t>2024-02-09 20:08:45</t>
  </si>
  <si>
    <t>Bengaluru</t>
  </si>
  <si>
    <t>bodapatiysrcp</t>
  </si>
  <si>
    <t>Ysrcp</t>
  </si>
  <si>
    <t>2024-02-09 20:07:28</t>
  </si>
  <si>
    <t>Amsterdam, nederland</t>
  </si>
  <si>
    <t>vedpuran055</t>
  </si>
  <si>
    <t>Latest&amp;break</t>
  </si>
  <si>
    <t>2024-02-09 20:06:58</t>
  </si>
  <si>
    <t>D1999_nik</t>
  </si>
  <si>
    <t>nikhil</t>
  </si>
  <si>
    <t>2024-02-09 19:58:30</t>
  </si>
  <si>
    <t>milkihon3</t>
  </si>
  <si>
    <t>AaYusH KuMaR </t>
  </si>
  <si>
    <t>2024-02-09 19:56:30</t>
  </si>
  <si>
    <t>industry_mini</t>
  </si>
  <si>
    <t>RAHUL NVL</t>
  </si>
  <si>
    <t>2024-02-09 19:45:46</t>
  </si>
  <si>
    <t>CAViren_21</t>
  </si>
  <si>
    <t>Bharat Politics</t>
  </si>
  <si>
    <t>2024-02-09 19:42:18</t>
  </si>
  <si>
    <t>2024-02-09 19:41:57</t>
  </si>
  <si>
    <t>Kumarga62487532</t>
  </si>
  <si>
    <t>₭Ʉ₥₳Ɽ ₲₳ɄⱤ₳V</t>
  </si>
  <si>
    <t>2024-02-09 19:40:00</t>
  </si>
  <si>
    <t>ca20647816</t>
  </si>
  <si>
    <t>Pussy Cat</t>
  </si>
  <si>
    <t>2024-02-09 19:37:55</t>
  </si>
  <si>
    <t>Study_with_viki</t>
  </si>
  <si>
    <t>Vikki</t>
  </si>
  <si>
    <t>2024-02-09 19:34:00</t>
  </si>
  <si>
    <t>niharjadav</t>
  </si>
  <si>
    <t>Nihar Jadav</t>
  </si>
  <si>
    <t>2024-02-09 19:31:28</t>
  </si>
  <si>
    <t>Surat</t>
  </si>
  <si>
    <t>thesacredhindu</t>
  </si>
  <si>
    <t>The sacred Hindu</t>
  </si>
  <si>
    <t>2024-02-09 19:28:45</t>
  </si>
  <si>
    <t>indrajitprakas1</t>
  </si>
  <si>
    <t>Indrajit</t>
  </si>
  <si>
    <t>2024-02-09 19:27:32</t>
  </si>
  <si>
    <t>HOW TO OPEN FINO PAYMENT BANK AND ONLINE FULL DETAILS</t>
  </si>
  <si>
    <t>2024-02-09 19:26:54</t>
  </si>
  <si>
    <t>MShukla57</t>
  </si>
  <si>
    <t>sanatani_ayush_shukla</t>
  </si>
  <si>
    <t>2024-02-09 19:25:05</t>
  </si>
  <si>
    <t>Akhand bharat</t>
  </si>
  <si>
    <t>sunilgurjar1011</t>
  </si>
  <si>
    <t>sunilgurjar</t>
  </si>
  <si>
    <t>2024-02-09 19:20:34</t>
  </si>
  <si>
    <t>gnagpal652</t>
  </si>
  <si>
    <t>gourav nagpal</t>
  </si>
  <si>
    <t>2024-02-09 19:20:29</t>
  </si>
  <si>
    <t>kristanjore</t>
  </si>
  <si>
    <t>Krishnaswamy</t>
  </si>
  <si>
    <t>2024-02-09 19:13:32</t>
  </si>
  <si>
    <t>யாதும் ஊரே யாவரும் கேளிர்</t>
  </si>
  <si>
    <t>Paytm_care_64</t>
  </si>
  <si>
    <t>Paytm Customer Care</t>
  </si>
  <si>
    <t>Active Payments Banks in India
• Airtel Payments Bank
• India Post Payments Bank
• Fino Payments Bank
• Jio Payments Bank
• Paytm Payments Bank
• NSDL Payments Bank
Payments Bank in India Cannot Issue Loans &amp;amp; Credit Cards To Customers</t>
  </si>
  <si>
    <t>2024-02-09 19:12:51</t>
  </si>
  <si>
    <t>realNipeshPatel</t>
  </si>
  <si>
    <t>HONEST CriTic - ATH Investor</t>
  </si>
  <si>
    <t>2024-02-09 19:12:38</t>
  </si>
  <si>
    <t>Bhubaneswar2020</t>
  </si>
  <si>
    <t>Rahul🇮🇳</t>
  </si>
  <si>
    <t>2024-02-09 19:10:30</t>
  </si>
  <si>
    <t>Dubai, united arab emirates</t>
  </si>
  <si>
    <t>cryptosaner</t>
  </si>
  <si>
    <t>Cryptosaner</t>
  </si>
  <si>
    <t>2024-02-09 19:08:34</t>
  </si>
  <si>
    <t>KrishanHarjule</t>
  </si>
  <si>
    <t>Krishna Harjule</t>
  </si>
  <si>
    <t>2024-02-09 19:07:20</t>
  </si>
  <si>
    <t>Sir account unblock nahi ho raha hai sir</t>
  </si>
  <si>
    <t>2024-02-09 19:05:05</t>
  </si>
  <si>
    <t>Mehulkumar2020</t>
  </si>
  <si>
    <t>MEHUL PANDYA મેહુલ પંડયા मेहुल पंडया</t>
  </si>
  <si>
    <t>2024-02-09 19:02:08</t>
  </si>
  <si>
    <t>Palanpur</t>
  </si>
  <si>
    <t>russiarocks69</t>
  </si>
  <si>
    <t>Vitamin protein</t>
  </si>
  <si>
    <t>2024-02-09 18:55:23</t>
  </si>
  <si>
    <t>KishanB78388093</t>
  </si>
  <si>
    <t>Fuck off</t>
  </si>
  <si>
    <t>2024-02-09 18:54:45</t>
  </si>
  <si>
    <t>kushgrwl</t>
  </si>
  <si>
    <t>Kush Agarwal</t>
  </si>
  <si>
    <t>2024-02-09 18:53:37</t>
  </si>
  <si>
    <t>Ahmedabad</t>
  </si>
  <si>
    <t>wingsoffly67</t>
  </si>
  <si>
    <t>Jay</t>
  </si>
  <si>
    <t>Bhai tu phirse agya 🤣 
  Quoted Tweet : @Ravisutanjani : 🚨 Active Payments Banks in India
• Airtel Payments Bank
• India Post Payments Bank
• Fino Payments Bank
• Jio Payments Bank
• Paytm Payments Bank
• NSDL Payments Bank
Payments Bank in India Cannot Issue Loans &amp; Credit Cards To Customers</t>
  </si>
  <si>
    <t>2024-02-09 18:52:26</t>
  </si>
  <si>
    <t>Miami, fl</t>
  </si>
  <si>
    <t>sharmabhu</t>
  </si>
  <si>
    <t>nandan sharma</t>
  </si>
  <si>
    <t>2024-02-09 18:52:22</t>
  </si>
  <si>
    <t>New delhi, delhi</t>
  </si>
  <si>
    <t>startupindiabot</t>
  </si>
  <si>
    <t>•</t>
  </si>
  <si>
    <t>Dear Customer,
"We regret the inconvenience you have . Request you to share your contact number via DM and we shall get in touch with you at the Paytm customer support Calling four secondary number 📞 8121991883.thanks 
  Quoted Tweet : @Ravisutanjani : 🚨 Active Payments Banks in India
• Airtel Payments Bank
• India Post Payments Bank
• Fino Payments Bank
• Jio Payments Bank
• Paytm Payments Bank
• NSDL Payments Bank
Payments Bank in India Cannot Issue Loans &amp; Credit Cards To Customers</t>
  </si>
  <si>
    <t>2024-02-09 18:51:40</t>
  </si>
  <si>
    <t>2024-02-09 18:51:34</t>
  </si>
  <si>
    <t>Soumyadipta Biswas</t>
  </si>
  <si>
    <t>Fino Payments Bank: Interested to know more about Shubh Savings Account. Is it applicable to senior citizens? If not, what would be best for senior citizens?</t>
  </si>
  <si>
    <t>2024-02-09 18:05:22</t>
  </si>
  <si>
    <t>Fino Payments Bank: hi</t>
  </si>
  <si>
    <t>2024-02-09 18:05:03</t>
  </si>
  <si>
    <t>Soumyadipta Biswas ☁️</t>
  </si>
  <si>
    <t>Fino Payments Bank Ltd - Interested to know more about Shubh Savings Account. Is it applicable to senior citizens? If not, what would be best for senior citizens?</t>
  </si>
  <si>
    <t>2024-02-09 18:04:50</t>
  </si>
  <si>
    <t>soumyas360</t>
  </si>
  <si>
    <t>@FinoPaymntsBank Interested to know more about Shubh Savings Account. Is it applicable to senior citizens? If not, what would be best for senior citizens?</t>
  </si>
  <si>
    <t>2024-02-09 18:03:29</t>
  </si>
  <si>
    <t>TheodoraZa64999</t>
  </si>
  <si>
    <t>Theodora Zaida</t>
  </si>
  <si>
    <t>@Crypto_Troop @Khurshid_Alam__ @FinoPaymntsBank @RBI thanks a million! ⬇️⬇️⬇️ https://t.co/yLztYVOv6M 
  Quoted Tweet : @gustavonobregaf : SatoshiVM team is proud to announce launch of testnet rewards campaign.  
Participate in this innovative campaign where you transfer tBTC and get rewards in $SAVM below 👇
▪️ Go to: https://t.co/BagdueW26p
▪️ Connect and complete the registration prompts
▪️ Cover your gas fee https://t.co/xblqItwEh8</t>
  </si>
  <si>
    <t>2024-02-09 18:01:53</t>
  </si>
  <si>
    <t>I need fino ka csp</t>
  </si>
  <si>
    <t>2024-02-09 17:32:41</t>
  </si>
  <si>
    <t>Ram Pravesh Singh</t>
  </si>
  <si>
    <t>Fino Payments Bank: Mera id band hea 9473216304 watsop</t>
  </si>
  <si>
    <t>2024-02-09 17:15:35</t>
  </si>
  <si>
    <t>Adarsh Shakya</t>
  </si>
  <si>
    <t>Muje Fink me account kholna hai</t>
  </si>
  <si>
    <t>2024-02-09 17:03:03</t>
  </si>
  <si>
    <t>Download karein FinoPay aur Digital Banking se judi har suvidha paaiye ek app par.
#FinoPaymentsBank #FikarNot #FinoBanker #DigitalBanking #SecureBanking #HarDinFino #FinoPay #Download #DownloadNow #UPITransactions #OneAppForAll</t>
  </si>
  <si>
    <t>2024-02-09 17:01:23</t>
  </si>
  <si>
    <t>2024-02-09 17:00:39</t>
  </si>
  <si>
    <t>2024-02-09 17:00:00</t>
  </si>
  <si>
    <t>Abdurrahman Shaikh</t>
  </si>
  <si>
    <t>Mojam Hossain https://www.facebook.com/groups/891011629434342/?ref=share</t>
  </si>
  <si>
    <t>2024-02-09 16:36:22</t>
  </si>
  <si>
    <t>https://www.facebook.com/groups/891011629434342/?ref=share</t>
  </si>
  <si>
    <t>2024-02-09 16:36:09</t>
  </si>
  <si>
    <t>Kamlesh Kushwaha</t>
  </si>
  <si>
    <t>Fino Payments Bank: नमस्ते हो</t>
  </si>
  <si>
    <t>2024-02-09 15:59:31</t>
  </si>
  <si>
    <t>Arvind Hardeniya</t>
  </si>
  <si>
    <t>Sunil Kumar Gupta useto pay app all mobile dth recharge all bill pay aadhar withdrawal money transfer Aeps service bank account opening pan card service all service working fine best commission best support id lene ke liye call ya whatsapp kare 6232081108</t>
  </si>
  <si>
    <t>2024-02-09 15:51:23</t>
  </si>
  <si>
    <t>Saidul Islam</t>
  </si>
  <si>
    <t>Fino Payments Bank 7002572458</t>
  </si>
  <si>
    <t>2024-02-09 15:51:01</t>
  </si>
  <si>
    <t>Nand Kishor Sahani</t>
  </si>
  <si>
    <t>Sir Abhi tak mere id pe Account Open &amp; Aeps ka Option nahi aya hain</t>
  </si>
  <si>
    <t>2024-02-09 15:06:13</t>
  </si>
  <si>
    <t>2024-02-09 15:04:21</t>
  </si>
  <si>
    <t>2024-02-09 14:54:33</t>
  </si>
  <si>
    <t>Md Ziyauddin Raju</t>
  </si>
  <si>
    <t>2024-02-09 14:38:57</t>
  </si>
  <si>
    <t>Sir please account unblock nahi ho raha hai</t>
  </si>
  <si>
    <t>2024-02-09 14:03:30</t>
  </si>
  <si>
    <t>2024-02-09 14:03:13</t>
  </si>
  <si>
    <t>2024-02-09 14:02:49</t>
  </si>
  <si>
    <t>SiddharthDesai</t>
  </si>
  <si>
    <t>Siddharth Desai</t>
  </si>
  <si>
    <t>@FinoPaymntsBank  it is complete</t>
  </si>
  <si>
    <t>2024-02-09 14:01:09</t>
  </si>
  <si>
    <t>Sahu Sachin</t>
  </si>
  <si>
    <t>Fino Payments Bank: Mere ko credit card banana tha main socha credit card aapke banta hai</t>
  </si>
  <si>
    <t>2024-02-09 13:28:57</t>
  </si>
  <si>
    <t>Fino Payments Bank: Sar aapke Bank mein credit card nahin banta hai kya</t>
  </si>
  <si>
    <t>2024-02-09 13:27:59</t>
  </si>
  <si>
    <t>Fino Payments Bank: Mujhe ek khatta open karna hai</t>
  </si>
  <si>
    <t>2024-02-09 13:25:16</t>
  </si>
  <si>
    <t>Suraj Sahnni: Namaste! How can we help you ?</t>
  </si>
  <si>
    <t>2024-02-09 13:20:46</t>
  </si>
  <si>
    <t>Sahu Sachin: Namaste! How can we help you ?</t>
  </si>
  <si>
    <t>2024-02-09 13:20:21</t>
  </si>
  <si>
    <t>Ujewal Saw: Namaste! How can we help you ?</t>
  </si>
  <si>
    <t>2024-02-09 13:17:19</t>
  </si>
  <si>
    <t>Suresh Ray   Namaste, Please share your query and contact number. Someone from our team will get in touch with you. Thanks!</t>
  </si>
  <si>
    <t>2024-02-09 13:16:43</t>
  </si>
  <si>
    <t>Upendra Prajapati</t>
  </si>
  <si>
    <t>Hii sir</t>
  </si>
  <si>
    <t>2024-02-09 13:14:45</t>
  </si>
  <si>
    <t>Amar Kumar: Namaste! How can we help you ?</t>
  </si>
  <si>
    <t>2024-02-09 13:14:44</t>
  </si>
  <si>
    <t>Raja Kumar: Namaste! How can we help you ?</t>
  </si>
  <si>
    <t>2024-02-09 13:14:29</t>
  </si>
  <si>
    <t>2024-02-09 13:14:02</t>
  </si>
  <si>
    <t>2024-02-09 13:10:01</t>
  </si>
  <si>
    <t>Roy Babu: Namaste, Thank you for your interest in Fino Payments Bank. Please visit our website or call us on 022 6868 1414 to know more about our products and services. https://www.finobank.com/</t>
  </si>
  <si>
    <t>2024-02-09 13:06:31</t>
  </si>
  <si>
    <t>Radheshyam Anuragi: Namaste! How can we help you ?</t>
  </si>
  <si>
    <t>2024-02-09 13:06:15</t>
  </si>
  <si>
    <t>Saidul Islam   Namaste, Please share your query and contact number. Someone from our team will get in touch with you. Thanks!</t>
  </si>
  <si>
    <t>2024-02-09 13:05:56</t>
  </si>
  <si>
    <t>Fino Payments Bank: Bank ATM card milega</t>
  </si>
  <si>
    <t>2024-02-09 13:04:25</t>
  </si>
  <si>
    <t>2024-02-09 13:03:52</t>
  </si>
  <si>
    <t>Crypto_Troop</t>
  </si>
  <si>
    <t>Saif Hasmi</t>
  </si>
  <si>
    <t>@Khurshid_Alam__ @FinoPaymntsBank @RBI @FinoPaymntsBank please look into this ASAP.</t>
  </si>
  <si>
    <t>2024-02-09 12:47:47</t>
  </si>
  <si>
    <t>Karan Kumar   Namaste, Please share your query and contact number. Someone from our team will get in touch with you. Thanks!</t>
  </si>
  <si>
    <t>2024-02-09 12:44:54</t>
  </si>
  <si>
    <t>Rahul Haritsh: Namaste, Please share your query and contact number. Someone from our team will get in touch with you. Thanks!</t>
  </si>
  <si>
    <t>2024-02-09 12:42:54</t>
  </si>
  <si>
    <t>Rahul Haritsh: Namaste, Thank you for your interest in Fino Payments Bank. Please visit our website or call us on 022 6868 1414 to know more about our products and services. https://www.finobank.com/</t>
  </si>
  <si>
    <t>2024-02-09 12:42:28</t>
  </si>
  <si>
    <t>2024-02-09 12:39:19</t>
  </si>
  <si>
    <t>Khurshid_Alam__</t>
  </si>
  <si>
    <t>KHURSHID ALAM</t>
  </si>
  <si>
    <t>@FinoPaymntsBank @RBI bought a merchant ID -159558597 on 26 Dec but till now aadhaar withdraw option not available for me, I already submitted offline verification form on 18 Jan still same issue .
Please provide aadhar withdraw option ASAP or else close and refund my money.</t>
  </si>
  <si>
    <t>2024-02-09 12:34:56</t>
  </si>
  <si>
    <t>Nã Peârü Mûrälï</t>
  </si>
  <si>
    <t>Fino Payments Bank: Please help me</t>
  </si>
  <si>
    <t>2024-02-09 12:34:51</t>
  </si>
  <si>
    <t>Fino Payments Bank: My account was under debit restriction</t>
  </si>
  <si>
    <t>2024-02-09 12:34:40</t>
  </si>
  <si>
    <t>Nã Peârü Mûrälï: Namaste! How can we help you ?</t>
  </si>
  <si>
    <t>2024-02-09 12:34:12</t>
  </si>
  <si>
    <t>2024-02-09 12:31:49</t>
  </si>
  <si>
    <t>Banks Scamming You With Incorrect Credit Card Fees: Don&amp;#39;t Fall Victim! 🚨</t>
  </si>
  <si>
    <t>2024-02-09 12:30:00</t>
  </si>
  <si>
    <t>Kamlesh Kumar Cook</t>
  </si>
  <si>
    <t>Fino Payments Bank: Zero balance saving account hai</t>
  </si>
  <si>
    <t>2024-02-09 12:29:23</t>
  </si>
  <si>
    <t>2024-02-09 12:20:09</t>
  </si>
  <si>
    <t>Rajkumar</t>
  </si>
  <si>
    <t>Shaila Khatoon paisa keo dala hai</t>
  </si>
  <si>
    <t>2024-02-09 12:13:48</t>
  </si>
  <si>
    <t>Fino Payments Bank: Dear sir/madam
THIS IS BALAMURALI IAM FROM ANDHRA PRADESH (state) SRISATHYASAI (district)
MARALA (VILLAGE)
SUBJECT: iam using fino payments bank from last 1year I don't do any fraud transaction incase any mistake I can't repeat once again if you don't mind
Iam requesting to remove debit restrictions.
REMARK : ACCOUNT NUMBER:20294833268
Registered mobile number:6304280559
 They are not responding cyber security team
Still my account was under debit restriction
Please remove my debit restriction 🙏(sho.psmadhotal-jbp@mppolice.gov.in)(cfcfhelpdesk1@mppolice.gov.in) they are not giving any update for me</t>
  </si>
  <si>
    <t>2024-02-09 12:08:28</t>
  </si>
  <si>
    <t>Rajkumar   Namaste, Please share your query and contact number. Someone from our team will get in touch with you. Thanks!</t>
  </si>
  <si>
    <t>2024-02-09 12:08:19</t>
  </si>
  <si>
    <t>Fino Payments Bank: My name is bala murali</t>
  </si>
  <si>
    <t>2024-02-09 12:08:15</t>
  </si>
  <si>
    <t>MD Sahil</t>
  </si>
  <si>
    <t>Very bad service bank</t>
  </si>
  <si>
    <t>2024-02-09 12:08:14</t>
  </si>
  <si>
    <t>Fino Payments Bank: Dear sir</t>
  </si>
  <si>
    <t>2024-02-09 12:08:08</t>
  </si>
  <si>
    <t>Fino Payments Bank 9618070901</t>
  </si>
  <si>
    <t>2024-02-09 12:08:06</t>
  </si>
  <si>
    <t>2024-02-09 12:07:48</t>
  </si>
  <si>
    <t>2024-02-09 12:06:32</t>
  </si>
  <si>
    <t>Mojibul Bro   Namaste, Please share your query and contact number. Someone from our team will get in touch with you. Thanks!</t>
  </si>
  <si>
    <t>2024-02-09 12:05:48</t>
  </si>
  <si>
    <t>Davandra Sani Davandra Sani   Namaste, Please share your query and contact number. Someone from our team will get in touch with you. Thanks!</t>
  </si>
  <si>
    <t>2024-02-09 12:04:20</t>
  </si>
  <si>
    <t>Ravi Pergulwar</t>
  </si>
  <si>
    <t>Fino Payments Bank: Id hona</t>
  </si>
  <si>
    <t>2024-02-09 12:02:39</t>
  </si>
  <si>
    <t>Ravi Pergulwar: Namaste! How can we help you ?</t>
  </si>
  <si>
    <t>2024-02-09 12:02:26</t>
  </si>
  <si>
    <t>Himanshu Tiwari   Namaste, Please share your query and contact number. Someone from our team will get in touch with you. Thanks!</t>
  </si>
  <si>
    <t>2024-02-09 12:02:15</t>
  </si>
  <si>
    <t>MD Azam Khan: Namaste, Thank you for your interest in Fino Payments Bank. Please visit our website or call us on 022 6868 1414 to know more about our products and services. https://www.finobank.com/</t>
  </si>
  <si>
    <t>2024-02-09 12:02:01</t>
  </si>
  <si>
    <t>Kamlesh Kumar Cook: Namaste! How can we help you ?</t>
  </si>
  <si>
    <t>2024-02-09 12:01:41</t>
  </si>
  <si>
    <t>Pawan Prajapathy: Namaste, Thank you for your interest in Fino Payments Bank. Please visit our website or call us on 022 6868 1414 to know more about our products and services. https://www.finobank.com/</t>
  </si>
  <si>
    <t>2024-02-09 11:58:36</t>
  </si>
  <si>
    <t>Kamlesh Kushwaha: Namaste! How can we help you ?</t>
  </si>
  <si>
    <t>2024-02-09 11:56:17</t>
  </si>
  <si>
    <t>2024-02-09 11:56:05</t>
  </si>
  <si>
    <t>Lucky Lucky   Namaste, Please share your query and contact number. Someone from our team will get in touch with you. Thanks!</t>
  </si>
  <si>
    <t>2024-02-09 11:55:04</t>
  </si>
  <si>
    <t>Pagla Hero Raja Ji: Namaste! How can we help you ?</t>
  </si>
  <si>
    <t>2024-02-09 11:54:43</t>
  </si>
  <si>
    <t>Anlon Bacha: Namaste, Please share your query and contact number. Someone from our team will get in touch with you. Thanks!</t>
  </si>
  <si>
    <t>2024-02-09 11:54:09</t>
  </si>
  <si>
    <t>Anlon Bacha: Namaste! How can we help you ?</t>
  </si>
  <si>
    <t>2024-02-09 11:53:56</t>
  </si>
  <si>
    <t>Yahya Khan: Namaste! How can we help you ?</t>
  </si>
  <si>
    <t>2024-02-09 11:53:38</t>
  </si>
  <si>
    <t>CarePaytm56902</t>
  </si>
  <si>
    <t>Paytm Bank</t>
  </si>
  <si>
    <t>Paytm ᴄᴜꜱᴛᴏᴍᴇʀ ꜱᴜᴘᴘᴏʀᴛ ²⁴\⁷ ʜᴇʟᴘʟɪɴᴇ ꜱᴇʀᴠɪᴄᴇ ᴄᴇɴᴛᴇʀ ꜱᴀʀᴠɪᴄᴇ ᴄᴇɴᴛᴇʀ ᴛᴏʟʟ - ꜰʀᴇᴇ ɴᴜᴍʙᴇʀ ⁰¹²⁰-⁴⁴⁵⁶-⁴⁵⁶ ᴀʟᴛᴇʀɴᴀᴛɪᴠᴇ - ɴᴜᴍʙᴇʀ 6360687411.ᴘʟᴇᴀꜱᴇ ᴄᴏɴᴛᴀᴄᴛ 
  Quoted Tweet : @FinancewidAkhil : TOP LOSERS ⤵️
Shemaroo Ent
Trigyn Tech
AstraZen
ESAF Small
UCO Bank
3i Info
PayTM
Kanpur Plast
Bector Food
Fino Pay
IOB
Surya Roshni
BEML
MSTC
Central Bank
Jocil
Atal Real
Indo Rama Syn
Pasupati Acr
Libas Cons
Punjab &amp; Sind
OnMobile Glo
Mukand
Dhani
Borosil Renew
MRPL
KIOCL
Take</t>
  </si>
  <si>
    <t>2024-02-09 11:49:12</t>
  </si>
  <si>
    <t>2024-02-09 11:48:40</t>
  </si>
  <si>
    <t>2024-02-09 11:48:18</t>
  </si>
  <si>
    <t>Kuldip Singh Yadav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</si>
  <si>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2024-02-09 11:47:23</t>
  </si>
  <si>
    <t>मन्टु कुमार साह: Namaste, Please share your query and contact number. Someone from our team will get in touch with you. Thanks!</t>
  </si>
  <si>
    <t>2024-02-09 11:45:59</t>
  </si>
  <si>
    <t>Subodh Kumar</t>
  </si>
  <si>
    <t>Fino Payments Bank 6206320619</t>
  </si>
  <si>
    <t>2024-02-09 11:45:22</t>
  </si>
  <si>
    <t>Akbar Mohammad   Namaste, Please share your query and contact number. Someone from our team will get in touch with you. Thanks!</t>
  </si>
  <si>
    <t>2024-02-09 11:45:06</t>
  </si>
  <si>
    <t>2024-02-09 11:44:27</t>
  </si>
  <si>
    <t>Abhiraj Singh: Namaste, Please share your query and contact number. Someone from our team will get in touch with you. Thanks!</t>
  </si>
  <si>
    <t>2024-02-09 11:44:06</t>
  </si>
  <si>
    <t>Subodh Kumar   Namaste, Please share your query and contact number. Someone from our team will get in touch with you. Thanks!</t>
  </si>
  <si>
    <t>2024-02-09 11:43:33</t>
  </si>
  <si>
    <t>@RajuRaj07026063 Namaste, Please share your query and contact number. Someone from our team will get in touch with you. Thanks!</t>
  </si>
  <si>
    <t>2024-02-09 11:41:37</t>
  </si>
  <si>
    <t>Nilesh Dabhadkar   Namaste, Please share your query and contact number. Someone from our team will get in touch with you. Thanks!</t>
  </si>
  <si>
    <t>2024-02-09 11:40:30</t>
  </si>
  <si>
    <t>Fino Payments Bank: 9694222242</t>
  </si>
  <si>
    <t>2024-02-09 11:40:27</t>
  </si>
  <si>
    <t>Babar Bhai</t>
  </si>
  <si>
    <t>2024-02-09 11:38:21</t>
  </si>
  <si>
    <t>Sarju Kumar Ganjhu   Namaste, Thanks for getting in touch. Request you to please explain the issue.</t>
  </si>
  <si>
    <t>2024-02-09 11:37:32</t>
  </si>
  <si>
    <t>2024-02-09 11:37:07</t>
  </si>
  <si>
    <t>Shaila Khatoon: Namaste, Please share your query and contact number. Someone from our team will get in touch with you. Thanks!</t>
  </si>
  <si>
    <t>2024-02-09 11:35:44</t>
  </si>
  <si>
    <t>2024-02-09 11:35:15</t>
  </si>
  <si>
    <t>Rakesh Dubedy: Namaste! How can we help you ?</t>
  </si>
  <si>
    <t>2024-02-09 11:33:15</t>
  </si>
  <si>
    <t>@SiddharthDesai  Namaste, Please share your query and contact number. Someone from our team will get in touch with you. Thanks!</t>
  </si>
  <si>
    <t>2024-02-09 11:32:03</t>
  </si>
  <si>
    <t>Moni Jat   Namaste, Please share your query and contact number. Someone from our team will get in touch with you. Thanks!</t>
  </si>
  <si>
    <t>2024-02-09 11:31:29</t>
  </si>
  <si>
    <t>Moni Jat: Namaste, Please share your query and contact number. Someone from our team will get in touch with you. Thanks!</t>
  </si>
  <si>
    <t>2024-02-09 11:28:54</t>
  </si>
  <si>
    <t>Santosh Thakur</t>
  </si>
  <si>
    <t>2024-02-09 11:19:10</t>
  </si>
  <si>
    <t>Munnakumar Kumar</t>
  </si>
  <si>
    <t>2024-02-09 11:04:35</t>
  </si>
  <si>
    <t>Fino Payments Bank: Munnakumar</t>
  </si>
  <si>
    <t>2024-02-09 11:03:34</t>
  </si>
  <si>
    <t>2024-02-09 11:03:33</t>
  </si>
  <si>
    <t>Munnakumar</t>
  </si>
  <si>
    <t>2024-02-09 11:01:55</t>
  </si>
  <si>
    <t>2024-02-09 11:01:11</t>
  </si>
  <si>
    <t>Airtel224</t>
  </si>
  <si>
    <t>Airtel Payments Bank Support</t>
  </si>
  <si>
    <t>Dear Customer,
"We regret the inconvenience you have . Request you to share your contact number via DM and we shall get in touch with you at the Airtel Payments Bank customer support Calling four secondary number 📞7757857801.thanks 
  Quoted Tweet : @Pothi : @CRED_support For UPI, in the list of supported banks. NSDL Payments Bank is not available, yet. Other payments banks such as PayTM, India Post, Airtel, Fino, Jio are available. Could you please add @nsdlpb for UPI?</t>
  </si>
  <si>
    <t>2024-02-09 10:44:38</t>
  </si>
  <si>
    <t>print portal ke liye link se group ko join kar kar
le
available facilitate
Aadhar Card print Without OTP
Mainul Aadhar
Aadhar to Pan Find
Orignal Birth certificate
Temporary Birth certificate
Temporary Death certificate
Original Death certificate
Pan Card Print
Ayushman Print All States
DL Print
Ration Card Print
Duplicate Aadhar Card Find
आय, जाति, निवास
And etc.
print portal ke liye link se group ko join kar kar le
Follow this link to join my WhatsApp group:
 https://chat.whatsapp.com/HGclULZILoa2fQEQBf5zyh</t>
  </si>
  <si>
    <t>2024-02-09 10:35:56</t>
  </si>
  <si>
    <t>Fino Payments Bank: aaj tak chalu nahi hua...   aapka bank kaise chal raha h 😃😃😃</t>
  </si>
  <si>
    <t>2024-02-09 10:30:33</t>
  </si>
  <si>
    <t>2024-02-09 10:29:54</t>
  </si>
  <si>
    <t>pahle to apne employees chng karo . unse to kuch hota nahi.. bank kaha se chalega</t>
  </si>
  <si>
    <t>2024-02-09 10:12:51</t>
  </si>
  <si>
    <t>merchant ko service to de nahi pa rahe..1.5 months se mera APES band hai ,, wo to aaj tak chalu nahi hua</t>
  </si>
  <si>
    <t>2024-02-09 10:11:30</t>
  </si>
  <si>
    <t>merchant ko to ye service nahi de pa rahe,,, commission kaha se denge 😆😆</t>
  </si>
  <si>
    <t>2024-02-09 10:08:54</t>
  </si>
  <si>
    <t>koi mat khulwana</t>
  </si>
  <si>
    <t>2024-02-09 10:07:48</t>
  </si>
  <si>
    <t>bakwas bank hai.. sabse gandi service h... koi bhai enke chakkar me na pade</t>
  </si>
  <si>
    <t>2024-02-09 10:05:23</t>
  </si>
  <si>
    <t>2024-02-09 09:36:48</t>
  </si>
  <si>
    <t>@FinoPaymntsBank  still cannot do kyc</t>
  </si>
  <si>
    <t>2024-02-09 09:17:01</t>
  </si>
  <si>
    <t>@FinoPaymntsBank  no feedback</t>
  </si>
  <si>
    <t>2024-02-09 09:16:57</t>
  </si>
  <si>
    <t>PAYTMBANK8355</t>
  </si>
  <si>
    <t>PAYTMBANK8688</t>
  </si>
  <si>
    <t>HELPLINE SERVICE CENTER SARVICE
CENTER TOLL FREE NUMBER 0120-4456-456 ALTERNATIVE - NUMBER 9641801060. PLEASE CONTACT US. 
  Quoted Tweet : @Pothi : @CRED_support For UPI, in the list of supported banks. NSDL Payments Bank is not available, yet. Other payments banks such as PayTM, India Post, Airtel, Fino, Jio are available. Could you please add @nsdlpb for UPI?</t>
  </si>
  <si>
    <t>2024-02-09 09:11:53</t>
  </si>
  <si>
    <t>Pothi</t>
  </si>
  <si>
    <t>@CRED_support For UPI, in the list of supported banks. NSDL Payments Bank is not available, yet. Other payments banks such as PayTM, India Post, Airtel, Fino, Jio are available. Could you please add @nsdlpb for UPI?</t>
  </si>
  <si>
    <t>2024-02-09 09:11:40</t>
  </si>
  <si>
    <t>Universe</t>
  </si>
  <si>
    <t>Fino Payment Bank New Update | Fino Pay Merchant And Customer QR Code Update Fino Pay QR Code</t>
  </si>
  <si>
    <t>2024-02-09 07:11:28</t>
  </si>
  <si>
    <t>Shaila Khatoon: Mam. Please share all the details with reportfraud@finobank.com  or call the help desk on 02268681414</t>
  </si>
  <si>
    <t>2024-02-09 07:02:36</t>
  </si>
  <si>
    <t>𝐉𝐡𝟎𝟗 𝐭𝐞𝐜𝐡𝐧𝐢𝐜𝐚𝐥</t>
  </si>
  <si>
    <t>Fino Customer Care Ka Number Kaise Nikale / Fino Customer Care Number</t>
  </si>
  <si>
    <t>2024-02-09 06:59:54</t>
  </si>
  <si>
    <t>Good Morning Income....
For details contact:https://wa.link/x5fln5
#lifestyle #onlinemarketing #followers #mlm Jishu Dey Fino Payments Bank</t>
  </si>
  <si>
    <t>2024-02-09 06:45:57</t>
  </si>
  <si>
    <t>Rakesh Dubedy</t>
  </si>
  <si>
    <t>2024-02-09 00:41:20</t>
  </si>
  <si>
    <t>2024-02-08</t>
  </si>
  <si>
    <t>Shaila Khatoon</t>
  </si>
  <si>
    <t>Fino Payments Bank
Apke bank me ek fraud admi ka account hai.
last digit of account number is - 7295
Name - Thati Akhila 
Contact number - 088849 58205
Fraud admi ka account hai paisa return nhi kar Raha hai.
Jiska account hai call karne pe bolta hai paisa wapas kar dunga 14 Jan ka wrong transaction hai abhi Tak wapas nhi kiya aur to aur phone bhi switch off a Raha hai bank me complain kiya hai fir bhi Tak wapas nhi aya</t>
  </si>
  <si>
    <t>2024-02-08 23:56:28</t>
  </si>
  <si>
    <t>Fino Payments Bank
Apke bank me ek fraud admi ka account hai last digit of account number is - 7295
Name - Thati Akhila 
Contact number - 088849 58205
Fraud admi ka account hai paisa return nhi kar Raha hai.
Jiska account hai call karne pe bolta hai paisa wapas kar dunga 14 Jan ka wrong transaction hai abhi Tak wapas nhi kiya aur to aur phone bhi switch off a Raha hai bank me complain kiya hai fir bhi Tak wapas nhi aya</t>
  </si>
  <si>
    <t>2024-02-08 23:51:04</t>
  </si>
  <si>
    <t>QM-FINO-E632</t>
  </si>
  <si>
    <t>Fino Payments Bank
Inke bank me fraud logo ke account jyada hai last digit of account number is - 7295
Name - Thati Akhila 
Contact number - 088849 58205
Fraud admi ka account hai paisa return nhi kar Raha hai.
Jiska account hai call karne pe bolta hai paisa wapas kar dunga 14 Jan ka wrong transaction hai abhi Tak wapas nhi kiya aur to aur phone bhi switch off a Raha hai bank me complain kiya hai fir bhi abhitak wapas nhi aya</t>
  </si>
  <si>
    <t>2024-02-08 23:47:46</t>
  </si>
  <si>
    <t>Inke bank me fraud logo ke account jyada hai last digit of account number is - 7295
Name - Thati Akhila 
Fraud admi ka account hai paisa return nhi kar Raha hai.
Jiska account hai call karne pe bolta hai paisa wapas kar dunga 14 Jan ka wrong transaction hai abhi Tak wapas nhi aya complain karne par bhi</t>
  </si>
  <si>
    <t>2024-02-08 23:42:25</t>
  </si>
  <si>
    <t>Fino Payments Bank: Please help return my money</t>
  </si>
  <si>
    <t>2024-02-08 23:37:48</t>
  </si>
  <si>
    <t>Fino Payments Bank: AC. No. Last digit 7295</t>
  </si>
  <si>
    <t>2024-02-08 23:37:30</t>
  </si>
  <si>
    <t>Fino Payments Bank: par abhi Tak paisa wapas nhi aya hai</t>
  </si>
  <si>
    <t>2024-02-08 23:25:00</t>
  </si>
  <si>
    <t>Fino Payments Bank: Maine apne Bank me complain bhi ki hai</t>
  </si>
  <si>
    <t>2024-02-08 23:24:20</t>
  </si>
  <si>
    <t>Fino Payments Bank: 14 January ko</t>
  </si>
  <si>
    <t>2024-02-08 23:23:52</t>
  </si>
  <si>
    <t>Fino Payments Bank: Mera wrong transaction ho gya apke bank me</t>
  </si>
  <si>
    <t>2024-02-08 23:23:29</t>
  </si>
  <si>
    <t>2024-02-08 22:56:13</t>
  </si>
  <si>
    <t>Thakur Trishant Rajput</t>
  </si>
  <si>
    <t>Bikar Bank hai</t>
  </si>
  <si>
    <t>2024-02-08 22:38:53</t>
  </si>
  <si>
    <t>Sarju Kumar Ganjhu</t>
  </si>
  <si>
    <t>रूपया काट ता है</t>
  </si>
  <si>
    <t>2024-02-08 21:30:16</t>
  </si>
  <si>
    <t>Nilesh Dabhadkar</t>
  </si>
  <si>
    <t>Bhai 10 bar call lagaya hai</t>
  </si>
  <si>
    <t>2024-02-08 20:32:06</t>
  </si>
  <si>
    <t>FINO PAYMENT BANK MARCHENT ID CARD| FINO PAYMENT BANK BC ID DOWNLOAD HOW TO MAKE ID CARD FINO BANK</t>
  </si>
  <si>
    <t>2024-02-08 19:59:52</t>
  </si>
  <si>
    <t>RajuRaj07026063</t>
  </si>
  <si>
    <t>Raju Raju</t>
  </si>
  <si>
    <t>@FinoPaymntsBank Rajender: Hello sir this is Rajender from Telangana I have reported from Champa . Sir please help me I don't know any one helping me now it's my salary account sir sooo please help me sir my family position is very bad even no bank helping ack- 33301240000768</t>
  </si>
  <si>
    <t>2024-02-08 19:57:14</t>
  </si>
  <si>
    <t>@FinoPaymntsBank  I have opened bank account 5 days back. Unable to do video KYC. No appointment slots, and KYC process doesn't open when I tru to do KYC https://t.co/gWNf80Suik</t>
  </si>
  <si>
    <t>2024-02-08 19:12:21</t>
  </si>
  <si>
    <t>2024-02-08 18:50:44</t>
  </si>
  <si>
    <t>Vishal Reddy</t>
  </si>
  <si>
    <t>7732045277 please call me</t>
  </si>
  <si>
    <t>2024-02-08 18:45:47</t>
  </si>
  <si>
    <t>QM-FINO-E633</t>
  </si>
  <si>
    <t>और सरकारी स्कूल में ये बैंक का पासबुक नही लेता हैं</t>
  </si>
  <si>
    <t>2024-02-08 18:44:23</t>
  </si>
  <si>
    <t>कम से कम बच्चे लोगो का, पैसा तो नही काटे 350 रुपिया</t>
  </si>
  <si>
    <t>2024-02-08 18:43:16</t>
  </si>
  <si>
    <t>Abhiraj Singh</t>
  </si>
  <si>
    <t>2024-02-08 18:02:13</t>
  </si>
  <si>
    <t>Fino Payments Bank: Mera Atiym Baloch ho gaya hai kaese</t>
  </si>
  <si>
    <t>2024-02-08 17:59:52</t>
  </si>
  <si>
    <t>Fino Payments Bank passbooks order karke 1 week se jyada hogaya no one is responding</t>
  </si>
  <si>
    <t>2024-02-08 17:31:45</t>
  </si>
  <si>
    <t>2024-02-08 17:26:16</t>
  </si>
  <si>
    <t>VIJAY COMMUNICATION FINO</t>
  </si>
  <si>
    <t>fino payment bank ki id kaise le # fino payment bank ki bc ID kaha se le #finopaymentbank</t>
  </si>
  <si>
    <t>2024-02-08 17:00:22</t>
  </si>
  <si>
    <t>Fino Bhavishya Savings Account ke saath apno ke bhavishya ko secure karen. Aaj hi khaata kholne ke liye missed call de 7877788977 par.
#FinoPaymentsBank #FikarNot #FinoBanker #DigitalBanking #SecureBanking #HarDinFino #FinoPay #AccountOpening #SavingsAccount #FinancialPlanning101</t>
  </si>
  <si>
    <t>2024-02-08 17:00:14</t>
  </si>
  <si>
    <t>Fino Bhavishya Savings Account ke saath apno ke bhavishya ko secure karen. Aaj hi khaata kholne ke liye missed call de 7877788977 par
#FinoPaymentsBank #FikarNot #FinoBanker #DigitalBanking #SecureBanking #HarDinFino #FinoPay #AccountOpening #SavingsAccount #FinancialPlanning101 https://t.co/d7cwnoR7T9</t>
  </si>
  <si>
    <t>2024-02-08 17:00:00</t>
  </si>
  <si>
    <t>AH Ultimate Vlog</t>
  </si>
  <si>
    <t>Somriddhi Digital &amp;amp; Fino Payment Bank ID Free Distribution</t>
  </si>
  <si>
    <t>2024-02-08 16:59:00</t>
  </si>
  <si>
    <t>Ashok Suthar Ashoka</t>
  </si>
  <si>
    <t>Anybody want to invest your Money 150000to 200000
Then contact me...
High Return..
Only for 7days
Starting Amount :20K</t>
  </si>
  <si>
    <t>2024-02-08 16:52:51</t>
  </si>
  <si>
    <t>मन्टु कुमार साह</t>
  </si>
  <si>
    <t>Fino Payments Bank: Mantu kumar sah user I'd 114605766</t>
  </si>
  <si>
    <t>2024-02-08 16:13:13</t>
  </si>
  <si>
    <t>2024-02-08 16:12:54</t>
  </si>
  <si>
    <t>Fino Payments Bank: User is blocked please sir unblock my user I'd 114605766</t>
  </si>
  <si>
    <t>2024-02-08 16:12:36</t>
  </si>
  <si>
    <t>2024-02-08 16:12:00</t>
  </si>
  <si>
    <t>Fino Payments Bank: Hi sir</t>
  </si>
  <si>
    <t>2024-02-08 16:10:33</t>
  </si>
  <si>
    <t>paytm___help_03</t>
  </si>
  <si>
    <t>Paytm Care</t>
  </si>
  <si>
    <t>Paytm ᴄᴜꜱᴛᴏᴍᴇʀ ꜱᴜᴘᴘᴏʀᴛ ²⁴\⁷ ʜᴇʟᴘʟɪɴᴇ ꜱᴇʀᴠɪᴄᴇ ᴄᴇɴᴛᴇʀ ꜱᴀʀᴠɪᴄᴇ ᴄᴇɴᴛᴇʀ ᴛᴏʟʟ - ꜰʀᴇᴇ ɴᴜᴍʙᴇʀ ⁰¹²⁰-⁴⁴⁵⁶-⁴⁵⁶ ᴀʟᴛᴇʀɴᴀᴛɪᴠᴇ - ɴᴜᴍʙᴇʀ 6360687411.ᴘʟᴇᴀꜱᴇ ᴄᴏɴᴛᴀᴄᴛ 
  Quoted Tweet : @FinancewidAkhil : TOP LOSERS ⤵️
Shemaroo Ent.
Fino Payments
UCO Bank
Atal Realtech
3i Info
PAYTM
Borosil Renew
Libas Cons
Jocil
Mukand
Sarthak Metals
Dhruv Cons
Shanti Over
India ShelterVeranda Learning   Solutions    ABM International</t>
  </si>
  <si>
    <t>2024-02-08 15:57:38</t>
  </si>
  <si>
    <t>Kuldip Singh Yadav</t>
  </si>
  <si>
    <t>I want to retailer id</t>
  </si>
  <si>
    <t>2024-02-08 15:45:49</t>
  </si>
  <si>
    <t>PanderePuja</t>
  </si>
  <si>
    <t>Puja Pandere</t>
  </si>
  <si>
    <t>Urgent Complaint Regarding Delayed Resolution of Fraudulent Activity with 
#FinoPaymentBank , #BankofBaroda  , and #paytm, @FinoPaymntsBank  
Useless Email adress
reportfraud@finobank.com 
Unauthorized payments https://t.co/HxqlFMXfQ0</t>
  </si>
  <si>
    <t>2024-02-08 15:18:49</t>
  </si>
  <si>
    <t>@datauniversity190</t>
  </si>
  <si>
    <t>Anjel Demeat acount mein paisa ad kar sakte hai kya</t>
  </si>
  <si>
    <t>2024-02-08 15:13:53</t>
  </si>
  <si>
    <t>Fino debit card se Demeat acount mein paisa deposit ho sakta hai</t>
  </si>
  <si>
    <t>2024-02-08 15:12:52</t>
  </si>
  <si>
    <t>himadrigroy</t>
  </si>
  <si>
    <t>Himadri</t>
  </si>
  <si>
    <t>#QuarterlyResults #ResultUpdate #Q3FY24
Company - Fino Payments Bank Ltd #FINOPB Quarter ending 31-Dec-23, Standalone Revenue increased by 18% YoY,  PAT increased by 19% YoY
For live corporate announcements, visit :  https://t.co/CwHKSU2hEp https://t.co/8P2waiiYFg</t>
  </si>
  <si>
    <t>2024-02-08 15:12:30</t>
  </si>
  <si>
    <t>Suman Tech Official</t>
  </si>
  <si>
    <t>Fino Payment Bank Ka Account Kaise Open Kare #finobcmerchant #video #videoediting  #shortvideo</t>
  </si>
  <si>
    <t>2024-02-08 15:10:00</t>
  </si>
  <si>
    <t>ManishK46113331</t>
  </si>
  <si>
    <t>Manish Khandelwal</t>
  </si>
  <si>
    <t>🚨 GOOD NEWS
Supriya Life sciences 15% up,  HBL Power 5% up, BDL 7% up, Nibe 10% upper circuit, Yatharth Hospital 4% up, Paras Defence, FSL 5% up, Sakhti Sugar 15% up, SBI 5% up, BCL IND 7%, JustDial 9% up, HAL 6% up, Motilal Oswal 6% up, KPIT fresh highs 🚀 
  Quoted Tweet : @ManishK46113331 : 🚨BAD NEWS 
Ireda 5% lc , Paytm 10% lc, BororRenewable waalo ko boroline ki jarurat padegi 10% down, Protean ka protein nikal gya 10% down, Fino Payments Bank 10% down, Urja ka urja khatam 5% lc, Waaree Renew, Bondada 5% lc</t>
  </si>
  <si>
    <t>2024-02-08 15:09:27</t>
  </si>
  <si>
    <t>Yahya Khan</t>
  </si>
  <si>
    <t>2024-02-08 14:25:37</t>
  </si>
  <si>
    <t>AXIS BANK PASSBOOK PRINT ID|| FINO AIRTEL INDUSIND AXIS BANK PASSBOOK PRINT SOFTWARE||SPICE MONEY</t>
  </si>
  <si>
    <t>2024-02-08 13:55:45</t>
  </si>
  <si>
    <t>Anlon Bacha</t>
  </si>
  <si>
    <t>Fino Payments Bank: Sir Mera  fino account me Paisa nahin ghus Raha Hai sir</t>
  </si>
  <si>
    <t>2024-02-08 13:31:42</t>
  </si>
  <si>
    <t>2024-02-08 13:29:15</t>
  </si>
  <si>
    <t>Pagla Hero Raja Ji</t>
  </si>
  <si>
    <t>2024-02-08 13:18:22</t>
  </si>
  <si>
    <t xml:space="preserve">Sourav songs </t>
  </si>
  <si>
    <t>Fino paymant Bank ad Chulubari</t>
  </si>
  <si>
    <t>2024-02-08 13:10:32</t>
  </si>
  <si>
    <t>2024-02-08 13:07:36</t>
  </si>
  <si>
    <t>Ashiesh24</t>
  </si>
  <si>
    <t>A M S</t>
  </si>
  <si>
    <t>FinoPB from 291 to 384. 
  Quoted Tweet : @Ashiesh24 : [MB*]
Fino payments bank.
Snowman logistics.</t>
  </si>
  <si>
    <t>2024-02-08 12:31:32</t>
  </si>
  <si>
    <t>Mumbai.</t>
  </si>
  <si>
    <t>Lucky Lucky</t>
  </si>
  <si>
    <t>Faltu Bank kahi kaam nhi ata ye bank account na emi pe kuch le sakte hai na koe chiz me esko de skte hai</t>
  </si>
  <si>
    <t>2024-02-08 11:46:43</t>
  </si>
  <si>
    <t>Bablu Ray</t>
  </si>
  <si>
    <t>Tanisha Varma aap do gi key</t>
  </si>
  <si>
    <t>2024-02-08 11:13:31</t>
  </si>
  <si>
    <t>Nemat Shekh .....???</t>
  </si>
  <si>
    <t>2024-02-08 11:05:08</t>
  </si>
  <si>
    <t>Achal Raval</t>
  </si>
  <si>
    <t>Fino Payment Bank id</t>
  </si>
  <si>
    <t>2024-02-08 10:43:38</t>
  </si>
  <si>
    <t>Amandeep Saini</t>
  </si>
  <si>
    <t>It's great 👍</t>
  </si>
  <si>
    <t>2024-02-08 10:23:28</t>
  </si>
  <si>
    <t>BusinessworldTamil</t>
  </si>
  <si>
    <t>Fino all one device offer  best price all app support spice money pay nearby rapipay easypay roinet</t>
  </si>
  <si>
    <t>2024-02-08 10:05:28</t>
  </si>
  <si>
    <t>2024-02-08 09:56:03</t>
  </si>
  <si>
    <t>QM-FINO-E634</t>
  </si>
  <si>
    <t>Mera 1000 rupee kata aaj 12 mahine ho gaye aaj tak refund nahi hua</t>
  </si>
  <si>
    <t>2024-02-08 09:55:05</t>
  </si>
  <si>
    <t>2024-02-08 09:22:58</t>
  </si>
  <si>
    <t>Nemat Shekh</t>
  </si>
  <si>
    <t>Umesh Kumar 
Zero account balance bank👇
https://sales.gromo.in/gp-website/g/nPRLeIKu5aapjrl5zrKnQ</t>
  </si>
  <si>
    <t>2024-02-08 09:22:37</t>
  </si>
  <si>
    <t>Drx Furkan Ali Shah 
Zero account balance bank👇
https://sales.gromo.in/gp-website/g/nPRLeIKu5aapjrl5zrKnQ</t>
  </si>
  <si>
    <t>2024-02-08 09:21:59</t>
  </si>
  <si>
    <t>Jageshwar Yadav 
Zero account balance bank👇
https://sales.gromo.in/gp-website/g/nPRLeIKu5aapjrl5zrKnQ</t>
  </si>
  <si>
    <t>2024-02-08 09:21:44</t>
  </si>
  <si>
    <t>Tanzeem Raja Ahmad 
Zero account balance bank👇
https://sales.gromo.in/gp-website/g/nPRLeIKu5aapjrl5zrKnQ</t>
  </si>
  <si>
    <t>2024-02-08 09:21:20</t>
  </si>
  <si>
    <t>Shashi Kant 
Zero account balance bank👇
https://sales.gromo.in/gp-website/g/nPRLeIKu5aapjrl5zrKnQ</t>
  </si>
  <si>
    <t>2024-02-08 09:21:06</t>
  </si>
  <si>
    <t>Guddu Garda 
Zero account balance bank👇
https://sales.gromo.in/gp-website/g/nPRLeIKu5aapjrl5zrKnQ</t>
  </si>
  <si>
    <t>2024-02-08 09:20:57</t>
  </si>
  <si>
    <t>Sahu Rahul 
Zero account balance bank👇
https://sales.gromo.in/gp-website/g/nPRLeIKu5aapjrl5zrKnQ</t>
  </si>
  <si>
    <t>2024-02-08 09:20:40</t>
  </si>
  <si>
    <t>Ahbab Sahil 
Zero account balance bank👇
https://sales.gromo.in/gp-website/g/nPRLeIKu5aapjrl5zrKnQ</t>
  </si>
  <si>
    <t>2024-02-08 09:20:23</t>
  </si>
  <si>
    <t>Zero account balance bank👇
https://sales.gromo.in/gp-website/g/nPRLeIKu5aapjrl5zrKnQ</t>
  </si>
  <si>
    <t>2024-02-08 09:20:10</t>
  </si>
  <si>
    <t>Samandar Singh Rajpurohit 
Zero account balance bank👇
https://sales.gromo.in/gp-website/g/nPRLeIKu5aapjrl5zrKnQ</t>
  </si>
  <si>
    <t>2024-02-08 09:20:02</t>
  </si>
  <si>
    <t>Nilesh Dindor 
Zero account balance bank👇
https://sales.gromo.in/gp-website/g/nPRLeIKu5aapjrl5zrKnQ</t>
  </si>
  <si>
    <t>2024-02-08 09:19:50</t>
  </si>
  <si>
    <t>Suresh Ray 
Zero account balance bank👇
https://sales.gromo.in/gp-website/g/nPRLeIKu5aapjrl5zrKnQ</t>
  </si>
  <si>
    <t>2024-02-08 09:19:44</t>
  </si>
  <si>
    <t>2024-02-08 09:19:32</t>
  </si>
  <si>
    <t>H S Rawat 
Zero account balance bank👇
https://sales.gromo.in/gp-website/g/nPRLeIKu5aapjrl5zrKnQ</t>
  </si>
  <si>
    <t>2024-02-08 09:19:13</t>
  </si>
  <si>
    <t>BASU MAMA VLOGS  
Zero account balance bank👇
https://sales.gromo.in/gp-website/g/nPRLeIKu5aapjrl5zrKnQ</t>
  </si>
  <si>
    <t>2024-02-08 09:19:00</t>
  </si>
  <si>
    <t>সমিলর সরকার 
Zero account balance bank👇
https://sales.gromo.in/gp-website/g/nPRLeIKu5aapjrl5zrKnQ</t>
  </si>
  <si>
    <t>2024-02-08 09:18:52</t>
  </si>
  <si>
    <t>Satendra Kumar 
Zero account balance bank👇
https://sales.gromo.in/gp-website/g/nPRLeIKu5aapjrl5zrKnQ</t>
  </si>
  <si>
    <t>2024-02-08 09:18:40</t>
  </si>
  <si>
    <t>महेश डेकाटे 
Zero account balance bank👇
https://sales.gromo.in/gp-website/g/nPRLeIKu5aapjrl5zrKnQ</t>
  </si>
  <si>
    <t>2024-02-08 09:18:33</t>
  </si>
  <si>
    <t>Purnavi A 
Zero account balance bank👇
https://sales.gromo.in/gp-website/g/nPRLeIKu5aapjrl5zrKnQ</t>
  </si>
  <si>
    <t>2024-02-08 09:18:26</t>
  </si>
  <si>
    <t>चन्द्र प्रकाश मौर्य हिन्दू 
Zero account balance bank👇
https://sales.gromo.in/gp-website/g/nPRLeIKu5aapjrl5zrKnQ</t>
  </si>
  <si>
    <t>2024-02-08 09:18:17</t>
  </si>
  <si>
    <t>Jignesh Giri 
Zero account balance bank👇
https://sales.gromo.in/gp-website/g/nPRLeIKu5aapjrl5zrKnQ</t>
  </si>
  <si>
    <t>2024-02-08 09:18:05</t>
  </si>
  <si>
    <t>Omprakash Dubey 
Zero account balance bank👇
https://sales.gromo.in/gp-website/g/nPRLeIKu5aapjrl5zrKnQ</t>
  </si>
  <si>
    <t>2024-02-08 09:17:59</t>
  </si>
  <si>
    <t>2024-02-08 09:17:45</t>
  </si>
  <si>
    <t>2024-02-08 09:17:13</t>
  </si>
  <si>
    <t>Jignesh Giri 
Loan and credit card 👇
https://nematshekh.banksupport.in</t>
  </si>
  <si>
    <t>2024-02-08 09:13:50</t>
  </si>
  <si>
    <t>Omprakash Dubey 
Loan and credit card 👇
https://nematshekh.banksupport.in</t>
  </si>
  <si>
    <t>2024-02-08 09:13:27</t>
  </si>
  <si>
    <t>Amrish Kumar Chaudhary 
Loan and credit card 👇
https://nematshekh.banksupport.in</t>
  </si>
  <si>
    <t>2024-02-08 09:13:10</t>
  </si>
  <si>
    <t>Nilesh Dabhadkar 
https://nematshekh.banksupport.in</t>
  </si>
  <si>
    <t>2024-02-08 09:12:33</t>
  </si>
  <si>
    <t>Sonu Yadav 
https://nematshekh.banksupport.in</t>
  </si>
  <si>
    <t>2024-02-08 09:12:19</t>
  </si>
  <si>
    <t>Ravindra Singh Nimesh https://nematshekh.banksupport.in</t>
  </si>
  <si>
    <t>2024-02-08 09:12:05</t>
  </si>
  <si>
    <t>Pawan Prajapathy</t>
  </si>
  <si>
    <t>Fino Payments Bank: Mujhe account open karna hai</t>
  </si>
  <si>
    <t>2024-02-08 08:32:14</t>
  </si>
  <si>
    <t>Jurshed Sarpench</t>
  </si>
  <si>
    <t>Himanshu Tiwari https://t.me/zdfcvhxdbvffc</t>
  </si>
  <si>
    <t>2024-02-08 07:36:27</t>
  </si>
  <si>
    <t>अगर आप इस मूवी को देखने चाहते हो तो हमारा टेलीग्राम ज्वाइन अगर आप इस मूवी को देखने चाहते हो तो हमारा टेलीग्राम ज्वाइन करो
👇👇👇👇👇👇👇👇👇👇
❤️❤️❤️❤️❤️❤️❤️❤️❤️❤️
https://t.me/zdfcvhxdbvffc
https://t.me/zdfcvhxdbvffc
https://t.me/zdfcvhxdbvffc</t>
  </si>
  <si>
    <t>2024-02-08 07:36:24</t>
  </si>
  <si>
    <t>fino payment Bank CSP ID kese banwaye. Fino BC marchant id kese banwaye. fino BC id kese Le. CSP id</t>
  </si>
  <si>
    <t>2024-02-08 05:46:46</t>
  </si>
  <si>
    <t>lopesgeane1</t>
  </si>
  <si>
    <t>Geane Lopes</t>
  </si>
  <si>
    <t>@FinoPaymntsBank  Good evening. I noticed your YouTube channel and would like to offer you a cooperation. I am a PR manager at  Truelancer and we are interested in advertising on your channel.  Contact me back if you are interested, thanks for your attention!</t>
  </si>
  <si>
    <t>2024-02-08 05:22:02</t>
  </si>
  <si>
    <t>Claymont, delaware 19703, us</t>
  </si>
  <si>
    <t>Fino Payments Bank: Hiiii</t>
  </si>
  <si>
    <t>2024-02-08 01:18:49</t>
  </si>
  <si>
    <t>MD Azam Khan</t>
  </si>
  <si>
    <t>Fino Payments Bank: Account open process</t>
  </si>
  <si>
    <t>2024-02-08 00:11:57</t>
  </si>
  <si>
    <t>2024-02-07</t>
  </si>
  <si>
    <t>Himanshu Tiwari</t>
  </si>
  <si>
    <t>I am marchant
Bilkul bekar sarvice hai inki</t>
  </si>
  <si>
    <t>2024-02-07 22:18:55</t>
  </si>
  <si>
    <t>2024-02-07 22:15:57</t>
  </si>
  <si>
    <t>Abhisar63000</t>
  </si>
  <si>
    <t>Abhishek Singh</t>
  </si>
  <si>
    <t>2024-02-07 20:48:37</t>
  </si>
  <si>
    <t>2024-02-07 20:43:54</t>
  </si>
  <si>
    <t>P70910Patel</t>
  </si>
  <si>
    <t>Patel babu</t>
  </si>
  <si>
    <t>@InghNiranjan @FinoPaymntsBank Resolved problem @FinoPaymntsBank</t>
  </si>
  <si>
    <t>2024-02-07 20:27:09</t>
  </si>
  <si>
    <t>Dear SIR /MADAM
Shubh Savings account IN restriction (20121470374) restricts debits only please check nd clear
Name - Niranjan Kumar 
A/C- 20121470374
CIF-  FINO0001157
Mob- 7764942700
@FinoPaymntsBank
Thanking you yours faithfully 
     Niranjan Kumar @FinoPaymntsBank https://t.co/SshnfM2oM5</t>
  </si>
  <si>
    <t>2024-02-07 20:26:31</t>
  </si>
  <si>
    <t>2024-02-07 20:24:17</t>
  </si>
  <si>
    <t>Sir customer care se baat kar le hai sir account unblock nahi ho raha hai sir please account unblock kra do</t>
  </si>
  <si>
    <t>2024-02-07 20:09:50</t>
  </si>
  <si>
    <t>2024-02-07 20:08:55</t>
  </si>
  <si>
    <t>Fino Payments Bank 121515069 check kijiye sir Block Kyo hua</t>
  </si>
  <si>
    <t>2024-02-07 19:56:59</t>
  </si>
  <si>
    <t>QM-FINO-E635</t>
  </si>
  <si>
    <t>Fino Payments Bank CSP id number 121515069 check kijiye sir bataye block Kyo hua</t>
  </si>
  <si>
    <t>2024-02-07 19:56:09</t>
  </si>
  <si>
    <t>Fino Payments Bank CSP id number:-121515069 block Kyo hua sir reply kijiye</t>
  </si>
  <si>
    <t>2024-02-07 19:55:04</t>
  </si>
  <si>
    <t>Check kijiye sir</t>
  </si>
  <si>
    <t>2024-02-07 19:53:59</t>
  </si>
  <si>
    <t>Fino Payments Bank csp id number:-121515069 ye block Kyo hua a bataye sir</t>
  </si>
  <si>
    <t>2024-02-07 19:53:52</t>
  </si>
  <si>
    <t>Rajkumar herkin lagby</t>
  </si>
  <si>
    <t>2024-02-07 19:27:14</t>
  </si>
  <si>
    <t>2024-02-07 19:26:23</t>
  </si>
  <si>
    <t>প্রিয় আমার ভালোবাসা তুমার</t>
  </si>
  <si>
    <t>2024-02-07 19:26:07</t>
  </si>
  <si>
    <t>2024-02-07 19:24:45</t>
  </si>
  <si>
    <t>2024-02-07 19:24:30</t>
  </si>
  <si>
    <t>2024-02-07 19:23:34</t>
  </si>
  <si>
    <t>Rajkumar tho kya ho gaya</t>
  </si>
  <si>
    <t>2024-02-07 19:22:48</t>
  </si>
  <si>
    <t>2024-02-07 18:46:16</t>
  </si>
  <si>
    <t>FINO Payments Bank</t>
  </si>
  <si>
    <t>Overview of Fino Mitra : Sim Binding</t>
  </si>
  <si>
    <t>2024-02-07 17:36:01</t>
  </si>
  <si>
    <t>mydurgeshshukla</t>
  </si>
  <si>
    <t>DURGESH SHUKLA</t>
  </si>
  <si>
    <t>2024-02-07 17:26:13</t>
  </si>
  <si>
    <t>Sitapur, uttar pradesh</t>
  </si>
  <si>
    <t>Fino Payments Bank: What happened this is not correct</t>
  </si>
  <si>
    <t>2024-02-07 16:46:08</t>
  </si>
  <si>
    <t>QM-FINO-E636</t>
  </si>
  <si>
    <t>2024-02-07 16:45:55</t>
  </si>
  <si>
    <t>Fino Payments Bank: Helooo</t>
  </si>
  <si>
    <t>2024-02-07 16:45:53</t>
  </si>
  <si>
    <t>Suresh Ray B C.   BANDA 210126</t>
  </si>
  <si>
    <t>2024-02-07 16:24:54</t>
  </si>
  <si>
    <t>Rajkumar tum ho koun</t>
  </si>
  <si>
    <t>2024-02-07 16:13:27</t>
  </si>
  <si>
    <t>2024-02-07 16:11:24</t>
  </si>
  <si>
    <t>2024-02-07 16:09:10</t>
  </si>
  <si>
    <t>QM-FINO-E637</t>
  </si>
  <si>
    <t>Suresh Ray कितना रुपए चोरी किया प्रूफ दो हम भी यूज करते हैं</t>
  </si>
  <si>
    <t>2024-02-07 15:44:55</t>
  </si>
  <si>
    <t>hetramfage22798</t>
  </si>
  <si>
    <t>Hetram choudhary</t>
  </si>
  <si>
    <t>2024-02-07 15:38:39</t>
  </si>
  <si>
    <t xml:space="preserve">Rajsthan </t>
  </si>
  <si>
    <t>@FinoPaymntsBank  मेरा संपर्क नंबर 8839503063</t>
  </si>
  <si>
    <t>2024-02-07 15:21:22</t>
  </si>
  <si>
    <t>@FinoPaymntsBank  में आपका एक बीसी मर्चेंट हूं मुझे बहुत समस्या हो रही है आई डी चलाने में कोई सपोर्ट नहीं मिल रहा है</t>
  </si>
  <si>
    <t>2024-02-07 15:21:10</t>
  </si>
  <si>
    <t>@FinoPaymntsBank  Hii</t>
  </si>
  <si>
    <t>2024-02-07 15:20:30</t>
  </si>
  <si>
    <t>suniltiwari4509</t>
  </si>
  <si>
    <t>sunil kumar tiwari</t>
  </si>
  <si>
    <t>2024-02-07 14:38:03</t>
  </si>
  <si>
    <t xml:space="preserve">Up, ballia, india </t>
  </si>
  <si>
    <t>SELVAKUMAR AGENCY (BANKING)</t>
  </si>
  <si>
    <t>FINO PAYMENT BANK ALL IN ONE POS MACHINE AEPS PROCESS AND PRINTING RECEIPT TAMIL SUPPORT TEAM</t>
  </si>
  <si>
    <t>2024-02-07 13:37:18</t>
  </si>
  <si>
    <t>Vipul Kishori</t>
  </si>
  <si>
    <t>Kyc</t>
  </si>
  <si>
    <t>2024-02-07 13:19:25</t>
  </si>
  <si>
    <t>सर मेरा खाता डेविड रिसेक्सन लगा दिया कोई मादत नही</t>
  </si>
  <si>
    <t>2024-02-07 13:07:10</t>
  </si>
  <si>
    <t>भाई फ्रॉट बैंक है मेरा खाता मे 50000फसा है</t>
  </si>
  <si>
    <t>2024-02-07 13:03:23</t>
  </si>
  <si>
    <t>fino</t>
  </si>
  <si>
    <t>2024-02-07 12:53:29</t>
  </si>
  <si>
    <t>Rahul Haritsh</t>
  </si>
  <si>
    <t>Fino Payments Bank: opening fee kese jma hogi</t>
  </si>
  <si>
    <t>2024-02-07 12:37:25</t>
  </si>
  <si>
    <t>Fino Payments Bank: start nhi ho rha account</t>
  </si>
  <si>
    <t>2024-02-07 12:37:09</t>
  </si>
  <si>
    <t>Abhishe33609987</t>
  </si>
  <si>
    <t>Abhishek Pandey</t>
  </si>
  <si>
    <t>2024-02-07 11:58:16</t>
  </si>
  <si>
    <t>Ghazipur, india</t>
  </si>
  <si>
    <t>AmitKum03175362</t>
  </si>
  <si>
    <t>Amit Kumar Singh</t>
  </si>
  <si>
    <t>2024-02-07 11:47:42</t>
  </si>
  <si>
    <t>Ankita Sharma</t>
  </si>
  <si>
    <t>Davandra Sani Davandra Sani 📝 Zero Paperwork
🤠 Available for both salaried and self employed
⏱ Instant Loan Approval
👉🏻 Same Day Disbursal
Click here to apply now: 
Apply Now: https://loan.gromo.in/?productCode=PREFR&amp;journeyId=1&amp;shortCode=lYetCo4RacmX59M-gKkaM&amp;subCode=l&amp;productTypeId=295&amp;productType=Personal%20Loan</t>
  </si>
  <si>
    <t>2024-02-07 11:26:34</t>
  </si>
  <si>
    <t>📝 Zero Paperwork
🤠 Available for both salaried and self employed
⏱ Instant Loan Approval
👉🏻 Same Day Disbursal
Click here to apply now: 
Apply Now: https://loan.gromo.in/?productCode=PREFR&amp;journeyId=1&amp;shortCode=lYetCo4RacmX59M-gKkaM&amp;subCode=l&amp;productTypeId=295&amp;productType=Personal%20Loan</t>
  </si>
  <si>
    <t>2024-02-07 11:26:25</t>
  </si>
  <si>
    <t>Raajputob</t>
  </si>
  <si>
    <t>सनातनी अमित</t>
  </si>
  <si>
    <t>2024-02-07 11:23:27</t>
  </si>
  <si>
    <t>Ramanna Dambal</t>
  </si>
  <si>
    <t>Account immediately open but service not a bad. &amp; ID 2 months  creative but no open delay service</t>
  </si>
  <si>
    <t>2024-02-07 11:20:22</t>
  </si>
  <si>
    <t>Karan Kumar</t>
  </si>
  <si>
    <t>Mera khatam se 2000kata hai paty fefand 
Kar diy abhi Paisa vapas nahi aaya</t>
  </si>
  <si>
    <t>2024-02-07 11:15:23</t>
  </si>
  <si>
    <t>2024-02-07 11:12:57</t>
  </si>
  <si>
    <t>2024-02-07 11:10:10</t>
  </si>
  <si>
    <t>2024-02-07 10:50:51</t>
  </si>
  <si>
    <t>Light bill se lekar mobile recharge tak, har payment ko karne ka aasan tareeka hai FinoPay!
#FinoPaymentsBank #FikarNot #FinoBanker #DigitalBanking #SecureBanking #HarDinFino #FinoPay #Download #DownloadNow #UPITransactions https://t.co/ArXMrQ9o2T</t>
  </si>
  <si>
    <t>2024-02-07 10:45:26</t>
  </si>
  <si>
    <t>Mera aeps withdrawal Nehi aya Raha he sar</t>
  </si>
  <si>
    <t>2024-02-07 10:40:00</t>
  </si>
  <si>
    <t>TheCopyNinjaa</t>
  </si>
  <si>
    <t>Kakashi</t>
  </si>
  <si>
    <t>Short Term Delivery Buy
Fino Payments Bank
CMP 360
Target 450+
#StocksToWatch 
#StocksInFocus 
#BREAKOUTSTOCKS</t>
  </si>
  <si>
    <t>2024-02-07 10:19:38</t>
  </si>
  <si>
    <t>NJ_0007</t>
  </si>
  <si>
    <t>🚩NARESH HINDU🚩</t>
  </si>
  <si>
    <t>2024-02-07 10:13:35</t>
  </si>
  <si>
    <t>SatyaSah24</t>
  </si>
  <si>
    <t>Satya Sahu</t>
  </si>
  <si>
    <t>2024-02-07 10:13:20</t>
  </si>
  <si>
    <t>भारत 🇮🇳</t>
  </si>
  <si>
    <t>Raat ko server down 👎🏻👎🏻</t>
  </si>
  <si>
    <t>2024-02-07 10:05:07</t>
  </si>
  <si>
    <t>2024-02-07 10:01:12</t>
  </si>
  <si>
    <t>2024-02-07 09:54:10</t>
  </si>
  <si>
    <t>Roy Babu</t>
  </si>
  <si>
    <t>Fino Payments Bank: Open my savings account zero balance</t>
  </si>
  <si>
    <t>2024-02-07 09:44:19</t>
  </si>
  <si>
    <t>2024-02-07 09:44:01</t>
  </si>
  <si>
    <t>Mera id 8month se band hai Distbutar our bank  empaloy k ojah se 9434485540</t>
  </si>
  <si>
    <t>2024-02-07 09:35:04</t>
  </si>
  <si>
    <t>QM-FINO-E638</t>
  </si>
  <si>
    <t>Baat kar le hai account unblock nahi ho raha hai</t>
  </si>
  <si>
    <t>2024-02-07 09:31:47</t>
  </si>
  <si>
    <t>2024-02-07 09:30:58</t>
  </si>
  <si>
    <t>Fino Payments Bank 
Always U Takes My Contact But Not Any Solution Still...</t>
  </si>
  <si>
    <t>2024-02-07 09:22:50</t>
  </si>
  <si>
    <t>Sudhakar Thombare  Thank you!</t>
  </si>
  <si>
    <t>2024-02-07 09:22:49</t>
  </si>
  <si>
    <t>Suresh Ray  Sir.Please share your contact number so that we can help</t>
  </si>
  <si>
    <t>2024-02-07 09:22:33</t>
  </si>
  <si>
    <t>Ayung Kashung  Sir. please contact the help desk on 02268681234</t>
  </si>
  <si>
    <t>2024-02-07 09:12:21</t>
  </si>
  <si>
    <t>Ramanna Dambal  Sir. Please share your contact number so that we can help</t>
  </si>
  <si>
    <t>2024-02-07 09:11:46</t>
  </si>
  <si>
    <t>Umesh Kumar  Sir. Please share your contact number so that we can help</t>
  </si>
  <si>
    <t>2024-02-07 09:11:20</t>
  </si>
  <si>
    <t>@Farmer203_off Sir. Please share your contact number so that we can help</t>
  </si>
  <si>
    <t>2024-02-07 09:11:03</t>
  </si>
  <si>
    <t>Ahbab Sahil  Sir. Please share your contact number so that we can help</t>
  </si>
  <si>
    <t>2024-02-07 09:10:38</t>
  </si>
  <si>
    <t>RaAz SAh  Sir. Please share your contact number so that we can help</t>
  </si>
  <si>
    <t>2024-02-07 09:10:32</t>
  </si>
  <si>
    <t>Kunj Bihari: Sir.Please call the help desk on 02268681234</t>
  </si>
  <si>
    <t>2024-02-07 09:09:53</t>
  </si>
  <si>
    <t>Davandra Sani Davandra Sani  Sir. Please call the help desk on 02268681234</t>
  </si>
  <si>
    <t>2024-02-07 09:09:30</t>
  </si>
  <si>
    <t>Fataak Se Gyan</t>
  </si>
  <si>
    <t>Fino Payment Bank Ka Customer Number!! Kaise Pata Kate Fino Payment Bank Ke Customer Care Number...</t>
  </si>
  <si>
    <t>2024-02-07 08:15:24</t>
  </si>
  <si>
    <t>2024-02-07 08:07:41</t>
  </si>
  <si>
    <t>Kunj Bihari</t>
  </si>
  <si>
    <t>Fino Payments Bank: My bank not working</t>
  </si>
  <si>
    <t>2024-02-07 08:02:09</t>
  </si>
  <si>
    <t>2024-02-07 08:01:45</t>
  </si>
  <si>
    <t>Light bill se lekar mobile recharge tak, har payment ko karne ka aasan tareeka hai FinoPay!
#FinoPaymentsBank #FikarNot #FinoBanker #DigitalBanking #SecureBanking #HarDinFino #FinoPay #Download #DownloadNow #UPITransactions</t>
  </si>
  <si>
    <t>2024-02-07 08:01:00</t>
  </si>
  <si>
    <t>2024-02-07 08:00:34</t>
  </si>
  <si>
    <t>2024-02-07 08:00:00</t>
  </si>
  <si>
    <t>MY STATUS 0102</t>
  </si>
  <si>
    <t>my 🌳office💐 FINO 🍀payment  Bank 🍀dobhi  Gaya Bihar 🍀##**</t>
  </si>
  <si>
    <t>2024-02-07 07:26:06</t>
  </si>
  <si>
    <t>RaAz SAh</t>
  </si>
  <si>
    <t>Fino payment ka koi v employee sahi nhi na hi customer support nahi sales person  koi fino ka I'd na le</t>
  </si>
  <si>
    <t>2024-02-07 00:18:52</t>
  </si>
  <si>
    <t>2024-02-06</t>
  </si>
  <si>
    <t>Fino Payments Bank  Pls  Support Urs Distributor N Retailers. . . . 
No Satisfied Branch Services. . . .</t>
  </si>
  <si>
    <t>2024-02-06 23:35:13</t>
  </si>
  <si>
    <t>invest for Best</t>
  </si>
  <si>
    <t>Yes Bank Share Latest News | Yes Bank Target | Yes Bank Analysis | YesBank New Deal | Future Target</t>
  </si>
  <si>
    <t>2024-02-06 23:22:04</t>
  </si>
  <si>
    <t>JaayShaan</t>
  </si>
  <si>
    <t>JaayShaan (VaidhyaJayaShankar)</t>
  </si>
  <si>
    <t>Stocks (52WK-H)(6/2/24) :
PSU :
BPCL
CIL
GSPL
Gujarat Gas
HPCL
IOC
IREDA
LIC
MGL
MMTC
NALCO
NIACL
ONGC
OIL
IFCI
Petronet
Bank :
Fino Payment
IDBI
Indian
IOB
Bank of Maharashtra
UCO
Hospital :
Aster DM
Fortis
Max Health
Narayana Hrudayalaya
Disc : Info Only
#StockMarketindia</t>
  </si>
  <si>
    <t>2024-02-06 23:06:36</t>
  </si>
  <si>
    <t>Farmer203_off</t>
  </si>
  <si>
    <t>Farmer👳 👁‍🗨</t>
  </si>
  <si>
    <t>Dear @FinoPaymntsBank come to DM 🕵️😡</t>
  </si>
  <si>
    <t>2024-02-06 22:59:00</t>
  </si>
  <si>
    <t>Where my mind takes me</t>
  </si>
  <si>
    <t>Ghatiya bank</t>
  </si>
  <si>
    <t>2024-02-06 22:48:07</t>
  </si>
  <si>
    <t>Raja Kumar</t>
  </si>
  <si>
    <t>2024-02-06 22:47:14</t>
  </si>
  <si>
    <t>Very Bed Services</t>
  </si>
  <si>
    <t>2024-02-06 22:33:37</t>
  </si>
  <si>
    <t>fearless programmer</t>
  </si>
  <si>
    <t>Fino payment bank zero balance account mobile se kaise khole  how to open fino payment bank account</t>
  </si>
  <si>
    <t>2024-02-06 22:09:28</t>
  </si>
  <si>
    <t>2024-02-06 21:52:09</t>
  </si>
  <si>
    <t>Suresh Ray  🖕</t>
  </si>
  <si>
    <t>2024-02-06 21:03:23</t>
  </si>
  <si>
    <t>Ayung Kashung</t>
  </si>
  <si>
    <t>Hi how can I change my phone number</t>
  </si>
  <si>
    <t>2024-02-06 19:42:06</t>
  </si>
  <si>
    <t>digigyan csc</t>
  </si>
  <si>
    <t>fino multiple device login problem kaise solve kare | Atlest one master device should be registered</t>
  </si>
  <si>
    <t>2024-02-06 19:38:19</t>
  </si>
  <si>
    <t>2024-02-06 19:36:55</t>
  </si>
  <si>
    <t>Mahendr79952097</t>
  </si>
  <si>
    <t>Mahendra Behera</t>
  </si>
  <si>
    <t>@FinoPaymntsBank https://t.co/3Cv9smzjtn</t>
  </si>
  <si>
    <t>2024-02-06 19:28:21</t>
  </si>
  <si>
    <t>2024-02-06 19:19:54</t>
  </si>
  <si>
    <t>Samiul Ansary</t>
  </si>
  <si>
    <t>How To Ganarate TPIN for Fino payment Bank Login. ফিনোতে লগইন করতে টি-পিন কিভাবে পাবেন?</t>
  </si>
  <si>
    <t>2024-02-06 18:55:51</t>
  </si>
  <si>
    <t>iccicibankc</t>
  </si>
  <si>
    <t>ICICI Bank Cares</t>
  </si>
  <si>
    <t>We apologize on behalf of .  We are sorry About Your Concern Please Reach Us Our 24/7 Helpline No +917029777957 Any Issue for the inconvenience caused to you. to assist you better kindly share your contact info via DM thanks you +917029777957 
  Quoted Tweet : @marketsday : Fino Payments, Fortis Health, Gland Pharma, Genus Power, HCLTech, HDFC AMC, Glenmark Life, Gujarat Gas, Hero MotoCorp, ICICI Lombard and IDBI Bank.</t>
  </si>
  <si>
    <t>2024-02-06 18:53:29</t>
  </si>
  <si>
    <t>BidyadharKhars6</t>
  </si>
  <si>
    <t>Bidyadhar Kharsel</t>
  </si>
  <si>
    <t>@FinoPaymntsBank Fraud With me Me 2.2.2024 ko Customer K account me Cash Deposit Kiya Tha But mere mitra app Se Balance cut Ho Gaya or customer k account me deposit nhi hua @RBI @NPCI_NPCI</t>
  </si>
  <si>
    <t>2024-02-06 18:19:00</t>
  </si>
  <si>
    <t>musarofkhan015</t>
  </si>
  <si>
    <t>MUSAROF KHAN</t>
  </si>
  <si>
    <t>@FinoPaymntsBank My problem ATM card MRP Wd and MRP Bijli atac giya</t>
  </si>
  <si>
    <t>2024-02-06 18:04:22</t>
  </si>
  <si>
    <t>Chor bank fino pement bank</t>
  </si>
  <si>
    <t>2024-02-06 17:42:06</t>
  </si>
  <si>
    <t>सुपर सर्विस फिनो बँक</t>
  </si>
  <si>
    <t>2024-02-06 17:41:42</t>
  </si>
  <si>
    <t>2024-02-06 17:41:09</t>
  </si>
  <si>
    <t>Arjun Singh Bhadoriya</t>
  </si>
  <si>
    <t>450 rs agr kisto m le to best bank h</t>
  </si>
  <si>
    <t>2024-02-06 17:09:27</t>
  </si>
  <si>
    <t>Savings karna hai jaroori, toh kis baat ki hai deri? Fino Shubh Savings Account kholne ke liye missed call de 7877788977 par.
#FinoPaymentsBank #FikarNot #FinoBanker #DigitalBanking #SecureBanking #HarDinFino #FinoPay #AccountOpening #SavingsAccount #FinancialPlanning101</t>
  </si>
  <si>
    <t>2024-02-06 17:00:18</t>
  </si>
  <si>
    <t>Savings karna hai jaroori, toh kis baat ki hai deri? Fino Shubh Savings Account kholne ke liye missed call de 7877788977 par.
#FinoPaymentsBank #FikarNot #FinoBanker #DigitalBanking #SecureBanking #HarDinFino #FinoPay #AccountOpening #SavingsAccount #FinancialPlanning101 https://t.co/vrv9YXDuVg</t>
  </si>
  <si>
    <t>2024-02-06 17:00:00</t>
  </si>
  <si>
    <t>Ujewal Saw</t>
  </si>
  <si>
    <t>2024-02-06 16:09:31</t>
  </si>
  <si>
    <t>Ravi Rao</t>
  </si>
  <si>
    <t>Well done Rishi and team !</t>
  </si>
  <si>
    <t>2024-02-06 14:54:11</t>
  </si>
  <si>
    <t>2024-02-06 14:48:44</t>
  </si>
  <si>
    <t>Gyanend73789303</t>
  </si>
  <si>
    <t>GYAN ज्ञान KENDRA केंद्र</t>
  </si>
  <si>
    <t>#BreakingNews 
⚡️पेमेंट, स्मॉल फाइनेंस बैंकों के लिए बड़ी खबर 
- RBI इससे जुड़े नियमों पर इसी हफ्ते जारी कर सकता है सर्कुलर
- NITI Aayog ने 2022 में जारी की थी डिजिटल बैंक पर अपनी रिपोर्ट
- JIO Payments, Fino small finance bank के लिए पॉलिसी फायदेमंद
- डिजिटल बैंक के लाइसेंस… https://t.co/WnfUjPpHZT</t>
  </si>
  <si>
    <t>2024-02-06 14:21:59</t>
  </si>
  <si>
    <t>Suraj Sahnni</t>
  </si>
  <si>
    <t>2024-02-06 14:05:30</t>
  </si>
  <si>
    <t>rathwa_kartik</t>
  </si>
  <si>
    <t>Kartik Rathwa</t>
  </si>
  <si>
    <t>5 PAYMENT BANK registered with RBI (Paytm not included and you know why not included)
#PayTMCrisis
#payment_bank 
01. Airtel Payment Bank 
02. India Post Payment Bank
03. Fino Payment Bank 
04. Jio Payment Bank 
05. NSDL Payment Bank</t>
  </si>
  <si>
    <t>2024-02-06 12:45:58</t>
  </si>
  <si>
    <t>Sonu Yadav</t>
  </si>
  <si>
    <t>चन्दन जनरल स्टोर jinko ATM chaheye unko to 450 Dena hai parega</t>
  </si>
  <si>
    <t>2024-02-06 11:53:38</t>
  </si>
  <si>
    <t>mannarajam</t>
  </si>
  <si>
    <t>MannaRaja</t>
  </si>
  <si>
    <t>@FinoPaymntsBank Not services....</t>
  </si>
  <si>
    <t>2024-02-06 10:58:39</t>
  </si>
  <si>
    <t>karnasinghbisht</t>
  </si>
  <si>
    <t>Virendra Singh bisht</t>
  </si>
  <si>
    <t>I think nsdl will be better option because. I am using it since 2020. Only 5.90rs monthly service charge. In this account you will get virtual rupay platinum debit card so I think you should consider it. 
No video kyc needed only aadhar based varification. 
  Quoted Tweet : @FalakKalyani : Any suggestions for payment bank to open an account ? Need to move my savings accounts from Paytm . 
Some of them I could find but have no idea, are 
Jio
IPPB
NSDL
FINO
Airtel</t>
  </si>
  <si>
    <t>2024-02-06 10:47:39</t>
  </si>
  <si>
    <t>Uttaranchal, india</t>
  </si>
  <si>
    <t>Hanamant2008</t>
  </si>
  <si>
    <t>Hanamant Hipparagi</t>
  </si>
  <si>
    <t>@FinoPaymntsBank my account was held due to 1 lack rupees transaction.plz help me to solve issue..it will impact bad impression on ur banking system ..contact 9743722008 https://t.co/bPlRpjK7o0</t>
  </si>
  <si>
    <t>2024-02-06 10:42:24</t>
  </si>
  <si>
    <t>Anlsh Rho</t>
  </si>
  <si>
    <t>2024-02-06 10:08:54</t>
  </si>
  <si>
    <t>Fino Payments Bank Ltd latest share price 05-02-2024</t>
  </si>
  <si>
    <t>2024-02-06 09:54:40</t>
  </si>
  <si>
    <t>Tauseef Ahmad</t>
  </si>
  <si>
    <t>Fino Payments Bank 9453952836</t>
  </si>
  <si>
    <t>2024-02-06 09:53:27</t>
  </si>
  <si>
    <t>@PRSundar64 3 way merger ::
Khoob jamega rang jab mil baithenge 3 yaar 
Paytm Payment Bank
JioFin Payment Bank 
Fino Payment Bank
All 3 will rule India and stock market !!
@FinoPaymntsBank 
@PaytmBank 
@JioFin</t>
  </si>
  <si>
    <t>2024-02-06 09:31:19</t>
  </si>
  <si>
    <t>@Paytm @NipponIndiaMF @MiraeAsset_IN @miraeasset @hdfcmf @ICICIPruMF @EdelweissMF @dspmf @MahindraMMF @sugataghoshET @deepdbhandari @nehadave01 @Iamsamirarora @NileshShah68 @vijayshekhar @MFSahiHai 3 way merger ::
Khoob jamega rang jab mil baithenge 3 yaar 
Paytm Payment Bank
JioFin Payment Bank 
Fino Payment Bank
All 3 will rule India and stock market !!
@FinoPaymntsBank 
@PaytmBank 
@JioFin</t>
  </si>
  <si>
    <t>2024-02-06 09:30:56</t>
  </si>
  <si>
    <t>Jst Suraj Ssk</t>
  </si>
  <si>
    <t>2024-02-06 09:29:18</t>
  </si>
  <si>
    <t>Murali Bahi Sakaht</t>
  </si>
  <si>
    <t>2024-02-06 08:40:57</t>
  </si>
  <si>
    <t>Gangadhar Kale</t>
  </si>
  <si>
    <t>2024-02-06 07:40:17</t>
  </si>
  <si>
    <t>2024-02-06 02:13:11</t>
  </si>
  <si>
    <t>2024-02-06 01:08:41</t>
  </si>
  <si>
    <t>Jyoti Raditya</t>
  </si>
  <si>
    <t>Great tech driven bank.</t>
  </si>
  <si>
    <t>2024-02-06 00:33:51</t>
  </si>
  <si>
    <t>2024-02-05</t>
  </si>
  <si>
    <t>Sri Ji</t>
  </si>
  <si>
    <t>9085784776 call me</t>
  </si>
  <si>
    <t>2024-02-05 23:38:33</t>
  </si>
  <si>
    <t>2024-02-05 23:37:58</t>
  </si>
  <si>
    <t>2024-02-05 23:37:43</t>
  </si>
  <si>
    <t>2024-02-05 23:37:10</t>
  </si>
  <si>
    <t>VijayKu40815403</t>
  </si>
  <si>
    <t>Jomsikon</t>
  </si>
  <si>
    <t>5% + Club Today 🎉
Fino Payments 20%
PSB 15%
Carysil 12%
Bajel 10%
Moksh Ornaments 9%
Balu Forge 8%
LGB FORGE 5%
IREDA 5%
GTV engineering 5%
Pritika Auto 5%
Comfort Intech 5%
Free Telegram link in Comments 
#StockMarket #StockMarketToday
#Breakout https://t.co/cCxT4wupLh</t>
  </si>
  <si>
    <t>2024-02-05 23:30:55</t>
  </si>
  <si>
    <t xml:space="preserve">Kolkata </t>
  </si>
  <si>
    <t>Chhote Lal Lal</t>
  </si>
  <si>
    <t>Aab fino I'd khula hai</t>
  </si>
  <si>
    <t>2024-02-05 22:59:20</t>
  </si>
  <si>
    <t>Daily Clan</t>
  </si>
  <si>
    <t>Fino payment Bank Share Latest News | Fino Bank Analysis | Fino Payments Bank News | Fino share</t>
  </si>
  <si>
    <t>2024-02-05 22:26:08</t>
  </si>
  <si>
    <t>Rahul_dnr</t>
  </si>
  <si>
    <t>Rahul Gupta🇮🇳</t>
  </si>
  <si>
    <t>2024-02-05 22:23:11</t>
  </si>
  <si>
    <t>New delhi and patna</t>
  </si>
  <si>
    <t>@Shrikantequity @kotaksecurities @kotak_cherry @HansrajJaideep @sanarayan @shripalpshah @Ashish1Nanda 3 way merger ::
Khoob jamega rang jab mil baithenge 3 yaar 
Paytm Payment Bank
JioFin Payment Bank 
Fino Payment Bank
All 3 will rule India and stock market and double from here !!</t>
  </si>
  <si>
    <t>2024-02-05 22:06:28</t>
  </si>
  <si>
    <t>@Shrikantequity @kotaksecurities @CNBCTV18News 3 way merger ::
Khoob jamega rang jab mil baithenge 3 yaar 
Paytm Payment Bank
JioFin Payment Bank 
Fino Payment Bank
All 3 will rule India and stock market and double from here !!</t>
  </si>
  <si>
    <t>2024-02-05 22:06:18</t>
  </si>
  <si>
    <t>Munna Kumar</t>
  </si>
  <si>
    <t>Fino Payments Bank: Hallo</t>
  </si>
  <si>
    <t>2024-02-05 22:00:09</t>
  </si>
  <si>
    <t>Today's Fino Payments Bank Started NABARD Financial Literacy Campaign from GovindGarh Jaipur and We will go through All Rajasthan with FLC PROGRAM 💐💐💐👍👍</t>
  </si>
  <si>
    <t>2024-02-05 21:48:58</t>
  </si>
  <si>
    <t>@ICICIPruMF 3 way merger ::
Khoob jamega rang jab mil baithenge 3 yaar 
Paytm Payment Bank
JioFin Payment Bank 
Fino Payment Bank
All 3 will rule India and stock market and double from here !!</t>
  </si>
  <si>
    <t>2024-02-05 21:45:48</t>
  </si>
  <si>
    <t>@SBIMF 3 way merger ::
Khoob jamega rang jab mil baithenge 3 yaar 
Paytm Payment Bank
JioFin Payment Bank 
Fino Payment Bank
All 3 will rule India and stock market and double from here !!</t>
  </si>
  <si>
    <t>2024-02-05 21:45:31</t>
  </si>
  <si>
    <t>@hdfcmf @ics_1951 3 way merger ::
Khoob jamega rang jab mil baithenge 3 yaar 
Paytm Payment Bank
JioFin Payment Bank 
Fino Payment Bank
All 3 will rule India and stock market and double from here !!</t>
  </si>
  <si>
    <t>2024-02-05 21:45:06</t>
  </si>
  <si>
    <t>@TheOfficialSBI 3 way merger ::
Khoob jamega rang jab mil baithenge 3 yaar 
Paytm Payment Bank
JioFin Payment Bank 
Fino Payment Bank
All 3 will rule India and stock market and double from here !!</t>
  </si>
  <si>
    <t>2024-02-05 21:44:38</t>
  </si>
  <si>
    <t>kapilsainikks</t>
  </si>
  <si>
    <t>Kapil Saini</t>
  </si>
  <si>
    <t>(102) Fino Payments Bank Ltd(FINOPB) is moving towards previous high level and getting ready for breakout. Save it in your watchlist for learning purpose.  #ChartLearning #Nifty #StockMarketindia https://t.co/8ybnHsA4q8</t>
  </si>
  <si>
    <t>2024-02-05 21:40:51</t>
  </si>
  <si>
    <t>Mumbai , india</t>
  </si>
  <si>
    <t>Fino Payment Bank 🏦 Micro ATM Update Kaise Kara Full Prosess &amp;amp; Fino Mitra.</t>
  </si>
  <si>
    <t>2024-02-05 21:38:55</t>
  </si>
  <si>
    <t>Krishna Das</t>
  </si>
  <si>
    <t>Malda me Branch kob hoga sir customer account opening karne se felela ekbat puch ta he malda branch he .</t>
  </si>
  <si>
    <t>2024-02-05 21:33:52</t>
  </si>
  <si>
    <t>Nil8560</t>
  </si>
  <si>
    <t>Nil</t>
  </si>
  <si>
    <t>@FinoPaymntsBank
I am writing to request a refund of my transaction, transferred a amount to self another account, Amount deducted from fino account but didn't received in my another account, Transfer failed due to some error. However, the amount  was deducted, So kindly watch it https://t.co/gjlX3lw3Lw</t>
  </si>
  <si>
    <t>2024-02-05 21:22:15</t>
  </si>
  <si>
    <t>3 way merger ::
Khoob jamega rang jab mil baithenge 3 yaar 
Paytm Payment Bank
JioFin Payment Bank 
Fino Payment Bank
All 3 will rule India and stock market !!
@FinoPaymntsBank 
@PaytmBank 
@JioFin</t>
  </si>
  <si>
    <t>2024-02-05 21:16:13</t>
  </si>
  <si>
    <t>Gaurav Yadav</t>
  </si>
  <si>
    <t>2024-02-05 21:15:16</t>
  </si>
  <si>
    <t>Ziyauddin Khan</t>
  </si>
  <si>
    <t>2024-02-05 20:46:58</t>
  </si>
  <si>
    <t>MICHAEL RAJA</t>
  </si>
  <si>
    <t>📲  fino pay register | fino pay kaise use karen | fino payment bank mobile banking kaise kare</t>
  </si>
  <si>
    <t>2024-02-05 20:18:57</t>
  </si>
  <si>
    <t>Surendra Malik</t>
  </si>
  <si>
    <t>Bochan</t>
  </si>
  <si>
    <t>2024-02-05 20:18:10</t>
  </si>
  <si>
    <t>Kumar Gaurav</t>
  </si>
  <si>
    <t>Yadav Ji Yes You are right still need to Upgrade Products and as well as Technical support</t>
  </si>
  <si>
    <t>2024-02-05 19:53:51</t>
  </si>
  <si>
    <t>I work in fino payment Bank 12 years great products, But bakend support is not satisfactory.As a employ nice experence. Best of Luck for Fino finance Bank.</t>
  </si>
  <si>
    <t>2024-02-05 19:41:49</t>
  </si>
  <si>
    <t>Vivek Meera</t>
  </si>
  <si>
    <t>Local branch main koi help nahi karta 
Main account  open karta hun but account opening kit ke paise refund nahi aa raha 4 months ho gai hai please help me</t>
  </si>
  <si>
    <t>2024-02-05 19:33:22</t>
  </si>
  <si>
    <t>2024-02-05 19:20:30</t>
  </si>
  <si>
    <t>2024-02-05 19:19:31</t>
  </si>
  <si>
    <t>𝓛𝓮𝓪𝓻𝓷 𝓽𝓸 𝓔𝓪𝓻𝓷 𝓫𝔂 𝔸𝕂ℝ</t>
  </si>
  <si>
    <t>Why Jio Finance share jumped 16 % ? Jio financial services share news I Fino bank share I Paytm</t>
  </si>
  <si>
    <t>2024-02-05 19:15:00</t>
  </si>
  <si>
    <t>Safedigitalcoin</t>
  </si>
  <si>
    <t>SHAO BANK NUOVI BOND FINO A 720% IN UN ANNO #shaobank #bank #banking #crypto #binance #bybit #usdt</t>
  </si>
  <si>
    <t>2024-02-05 19:02:28</t>
  </si>
  <si>
    <t>Gurpree12659466</t>
  </si>
  <si>
    <t>Gurpreet Kaur</t>
  </si>
  <si>
    <t>2024-02-05 18:55:45</t>
  </si>
  <si>
    <t>DRx Prince Sajan Rajwanshi</t>
  </si>
  <si>
    <t>2024-02-05 17:47:14</t>
  </si>
  <si>
    <t>Share market with anmol</t>
  </si>
  <si>
    <t>2024-02-05 17:43:49</t>
  </si>
  <si>
    <t>Share Market Analysis</t>
  </si>
  <si>
    <t>सरकार का 1 फैसला 🔥 और 2 Stocks मे तूफान तेजी 😱 Jio Finance &amp;amp; Fino Payments ‼️ Breaking News</t>
  </si>
  <si>
    <t>2024-02-05 17:39:18</t>
  </si>
  <si>
    <t>engskumar</t>
  </si>
  <si>
    <t>2024-02-05 17:30:11</t>
  </si>
  <si>
    <t xml:space="preserve">Bull Bear </t>
  </si>
  <si>
    <t>FINO Payments Bank Ltd</t>
  </si>
  <si>
    <t>2024-02-05 17:27:22</t>
  </si>
  <si>
    <t>Akhil Das</t>
  </si>
  <si>
    <t>Fino Payments Bank: Can I get id password without paying 2000 ??</t>
  </si>
  <si>
    <t>2024-02-05 17:17:53</t>
  </si>
  <si>
    <t>Akhil Das: https://web4.finobank.com/merchant/products-services/merchant-registration Pls share details</t>
  </si>
  <si>
    <t>2024-02-05 17:17:11</t>
  </si>
  <si>
    <t>Marking a day celebrating a milestone in the history of communication. Happy World Radio Day!
{hashtag|\#|FinoPaymentsBank} {hashtag|\#|FikarNot} {hashtag|\#|FinoBanker} {hashtag|\#|DigitalBanking} {hashtag|\#|SecureBanking} {hashtag|\#|HarDinFino} {hashtag|\#|FinoPay} {hashtag|\#|WorldRadioDay} {hashtag|\#|Entertainment} {hashtag|\#|Informative}</t>
  </si>
  <si>
    <t>2024-02-05 16:58:43</t>
  </si>
  <si>
    <t>Anand Mishra Bharatiya</t>
  </si>
  <si>
    <t>Sabse ghatiya bank hai fino me Fino ka dristrubuter hone k baad bhi m apne family membar ka account chalu ni karwa pa rha hun...
RBI ko esi ghtiya bank ko band kar den chahiye Fino Payments Bank</t>
  </si>
  <si>
    <t>2024-02-05 16:41:24</t>
  </si>
  <si>
    <t>my 💐💐💐🍀🌳🌳🌳Office   🌴🍀🌴###### # Fino 💐  payment 💐🌻 Bank</t>
  </si>
  <si>
    <t>2024-02-05 16:32:43</t>
  </si>
  <si>
    <t>Crypto Master</t>
  </si>
  <si>
    <t>SHAO BANK: PRELEVO 1000$ E PRESENTAZIONE NUOVI BOND | FINO A 720% IN UN ANNO! 💎</t>
  </si>
  <si>
    <t>2024-02-05 16:30:08</t>
  </si>
  <si>
    <t>THE KRISHNA VERMA</t>
  </si>
  <si>
    <t>Fino Payment Bank Branch | खुल गई फिनो बैंक ब्रांच उन्नाव में| #finopaymentbank</t>
  </si>
  <si>
    <t>2024-02-05 15:42:22</t>
  </si>
  <si>
    <t>Saif Aman</t>
  </si>
  <si>
    <t>Customer account opening charges so high and Annual Account activation change</t>
  </si>
  <si>
    <t>2024-02-05 15:40:48</t>
  </si>
  <si>
    <t>2024-02-05 15:38:42</t>
  </si>
  <si>
    <t>Corporate Action - CA</t>
  </si>
  <si>
    <t>18 🚀 Share बेचने की गलती मत करना | Unichem Lab, Fino Payment, Dhruv Consultancy, KCP Sugar #news</t>
  </si>
  <si>
    <t>2024-02-05 15:34:24</t>
  </si>
  <si>
    <t>PRITHIRAJ NATH</t>
  </si>
  <si>
    <t>Fino Payment Bank share | fino payment bank share latest news | fino payment bank share news</t>
  </si>
  <si>
    <t>2024-02-05 15:29:43</t>
  </si>
  <si>
    <t>Financi Advoser</t>
  </si>
  <si>
    <t>2024-02-05 15:21:25</t>
  </si>
  <si>
    <t>2024-02-05 15:21:13</t>
  </si>
  <si>
    <t>2024-02-05 15:20:58</t>
  </si>
  <si>
    <t>Geetu_Moza</t>
  </si>
  <si>
    <t>Geetu Moza</t>
  </si>
  <si>
    <t>#jiofinancial is up 14%
And @FinoPayment is locked at 20% upper circuit now 😱 
  Quoted Tweet : @Geetu_Moza : .@FinoPaymntsBank is now up 6%⤴️</t>
  </si>
  <si>
    <t>2024-02-05 14:30:13</t>
  </si>
  <si>
    <t>#jiofinancial is up 14% 
  Quoted Tweet : @Geetu_Moza : .@FinoPaymntsBank is now up 6%⤴️</t>
  </si>
  <si>
    <t>2024-02-05 14:28:42</t>
  </si>
  <si>
    <t>.@FinoPaymntsBank is now up 6%⤴️ 
  Quoted Tweet : @Geetu_Moza : Someone’s loss is Someone’s Gain
#Paytm  vs #Fino 
@FinoPayment #StockMarket #stocks https://t.co/wiOFoKLeUi</t>
  </si>
  <si>
    <t>2024-02-05 14:27:33</t>
  </si>
  <si>
    <t>Fino Payments Bank: I want a fino payments Bank BC id. Ho I get it??</t>
  </si>
  <si>
    <t>2024-02-05 14:05:03</t>
  </si>
  <si>
    <t>2024-02-05 14:04:22</t>
  </si>
  <si>
    <t>@GoI_MeitY @UPI_NPCI @NPCI_NPCI @upichalega @NPCI_BHIM Is It UPI Only Promoting Fraud people ??? Since 2 Week raired Financial Froud Case No response On that And Promoting Bank Like @FinoPaymntsBank Is useless Having Thousand Of Froud Costumer and bank Promoting To Fraud  Costemer No action taken againt Frauds</t>
  </si>
  <si>
    <t>2024-02-05 13:13:56</t>
  </si>
  <si>
    <t>safiranand</t>
  </si>
  <si>
    <t>Safir</t>
  </si>
  <si>
    <t>And some people say (god knows basis what facts) that banks are not moving. Fino payments 😊at over 2x now 😊 
  Quoted Tweet : @safiranand : Added fino payments. While I’m aware of a lock in ending here in nov for anchors, feel the stock is ridiculously priced given its earnings and profits. Perhaps the only fintech in profits. PAT growth of 75 pct yoy. Margins, subscriptions up. D- not an advisor, personal view</t>
  </si>
  <si>
    <t>2024-02-05 12:55:02</t>
  </si>
  <si>
    <t xml:space="preserve">New delhi, india </t>
  </si>
  <si>
    <t>JagranBizNews</t>
  </si>
  <si>
    <t>Jagran Business</t>
  </si>
  <si>
    <t>2024-02-05 12:37:49</t>
  </si>
  <si>
    <t>Trinadh Ogirala</t>
  </si>
  <si>
    <t>✍️ congratulations..</t>
  </si>
  <si>
    <t>2024-02-05 12:28:28</t>
  </si>
  <si>
    <t>@FinoPaymntsBank  unblock my account ....</t>
  </si>
  <si>
    <t>2024-02-05 12:09:10</t>
  </si>
  <si>
    <t>@FinoPaymntsBank your customer support is very poor ....</t>
  </si>
  <si>
    <t>2024-02-05 12:04:45</t>
  </si>
  <si>
    <t>Good bank.</t>
  </si>
  <si>
    <t>2024-02-05 11:15:20</t>
  </si>
  <si>
    <t>2024-02-05 10:51:24</t>
  </si>
  <si>
    <t>2024-02-05 10:39:55</t>
  </si>
  <si>
    <t>2024-02-05 10:39:43</t>
  </si>
  <si>
    <t>2024-02-05 10:39:36</t>
  </si>
  <si>
    <t>Prem Bhai</t>
  </si>
  <si>
    <t>2024-02-05 10:34:28</t>
  </si>
  <si>
    <t>Sir ji Mera atm ka account number band ho gya h plz chalu krne ka kuch btaey</t>
  </si>
  <si>
    <t>Sandip Kumar Singh</t>
  </si>
  <si>
    <t>Sala farji bank</t>
  </si>
  <si>
    <t>2024-02-05 09:51:48</t>
  </si>
  <si>
    <t>Spice Money SMA Group</t>
  </si>
  <si>
    <t>Kya dikha raha</t>
  </si>
  <si>
    <t>2024-02-05 09:42:15</t>
  </si>
  <si>
    <t>Fino Passbook | Fino Bank Account Passbook | Fino Bank Passbook,Fino Bank Passbook Order kaise kare</t>
  </si>
  <si>
    <t>2024-02-05 09:30:01</t>
  </si>
  <si>
    <t>Vijay Gupta Hitech विजय गुप्ता हाईटेक</t>
  </si>
  <si>
    <t>Fino Payment Bank Ke Android Device Se Atm Se Balance inquiry Kaise Kare Live Video 2024 Aeps Atm</t>
  </si>
  <si>
    <t>2024-02-05 09:21:53</t>
  </si>
  <si>
    <t>Ataur Rahman</t>
  </si>
  <si>
    <t>Loun ka Ka Kam kob hoga</t>
  </si>
  <si>
    <t>2024-02-05 09:19:51</t>
  </si>
  <si>
    <t>Sir fino Finch kob hoga</t>
  </si>
  <si>
    <t>2024-02-05 09:19:37</t>
  </si>
  <si>
    <t>Sagar Sharma</t>
  </si>
  <si>
    <t>Fino Payments Bank: Kya kya bhejna hai number bhej diye h</t>
  </si>
  <si>
    <t>2024-02-05 08:35:22</t>
  </si>
  <si>
    <t>DD Online Solution</t>
  </si>
  <si>
    <t>Phonepe Technical issue Problem | How To Solve Phonepe Technical Issue Problem | Fino Payments Bank</t>
  </si>
  <si>
    <t>2024-02-05 08:20:31</t>
  </si>
  <si>
    <t>Rajan Jaiswal</t>
  </si>
  <si>
    <t>Mitra app me sudhar Karo</t>
  </si>
  <si>
    <t>2024-02-05 08:19:33</t>
  </si>
  <si>
    <t>श्री कु.गजेंद्र सिंह खैरी</t>
  </si>
  <si>
    <t>I'd chalu karwa do</t>
  </si>
  <si>
    <t>2024-02-05 08:04:20</t>
  </si>
  <si>
    <t>Sagar Sharma: https://web4.finobank.com/merchant/products-services/merchant-registration Sir. Please share details.</t>
  </si>
  <si>
    <t>2024-02-05 07:58:47</t>
  </si>
  <si>
    <t>@TinkuYadav9334 https://t.co/yDINliovWm Please share details.</t>
  </si>
  <si>
    <t>2024-02-05 07:54:03</t>
  </si>
  <si>
    <t>Bolojeet Barchung</t>
  </si>
  <si>
    <t>Vivek Sawant in Meghalaya Garo Hills Also</t>
  </si>
  <si>
    <t>2024-02-05 07:52:50</t>
  </si>
  <si>
    <t>Hari Nandan Singh Raghubanshi: https://web4.finobank.com/merchant/products-services/merchant-registration Please share your contact details.</t>
  </si>
  <si>
    <t>2024-02-05 07:52:26</t>
  </si>
  <si>
    <t>Jamir Khan</t>
  </si>
  <si>
    <t>Md Ameer Alam whare you from ??</t>
  </si>
  <si>
    <t>2024-02-05 07:50:31</t>
  </si>
  <si>
    <t>Naineshkumar Tadvi  Sir. Please call the helpdesk on 02268681234</t>
  </si>
  <si>
    <t>2024-02-05 07:49:12</t>
  </si>
  <si>
    <t>@CrazyAayan Sir. Can you write to reportfraud@finobank.com</t>
  </si>
  <si>
    <t>2024-02-05 07:47:55</t>
  </si>
  <si>
    <t>Ashish Chandan  Sir. Can you please call the help desk on 02268681234</t>
  </si>
  <si>
    <t>2024-02-05 07:47:27</t>
  </si>
  <si>
    <t>Hari Nandan Singh Raghubanshi: https://web4.finobank.com/merchant/products-services/merchant-registration Please share your contact details</t>
  </si>
  <si>
    <t>2024-02-05 07:43:24</t>
  </si>
  <si>
    <t>Deepshikha Singh  Hello.Please share yoiur contact number so that we can help</t>
  </si>
  <si>
    <t>2024-02-05 07:42:56</t>
  </si>
  <si>
    <t>Sunilkumar Yadav  https://web4.finobank.com/merchant/products-services/merchant-registration Sir, please share your details.</t>
  </si>
  <si>
    <t>2024-02-05 07:42:26</t>
  </si>
  <si>
    <t>Gaurav Yadav: Hello. How can we help you?</t>
  </si>
  <si>
    <t>2024-02-05 07:41:50</t>
  </si>
  <si>
    <t>Ramgopal Yadav  Sir. Please share your contact number so that we can help</t>
  </si>
  <si>
    <t>2024-02-05 07:41:23</t>
  </si>
  <si>
    <t>Anil Kumar Bihari  https://web4.finobank.com/merchant/products-services/merchant-registration  Sir, please share your contact details.</t>
  </si>
  <si>
    <t>2024-02-05 07:40:26</t>
  </si>
  <si>
    <t>@KasdeEklesh Sir. Can you please call on 02268681234 and they will help</t>
  </si>
  <si>
    <t>2024-02-05 07:39:22</t>
  </si>
  <si>
    <t>Tauseef Ahmad  Sir, please share your contact number so that we can help</t>
  </si>
  <si>
    <t>2024-02-05 07:38:39</t>
  </si>
  <si>
    <t>Vivek Sawant  Sir, please share your contact number so that we can help</t>
  </si>
  <si>
    <t>2024-02-05 07:38:03</t>
  </si>
  <si>
    <t>Nilesh Dabhadkar  Sir. Please call on 02268681234 and the team will help</t>
  </si>
  <si>
    <t>2024-02-05 07:36:41</t>
  </si>
  <si>
    <t>Takir Qaderi  https://web4.finobank.com/merchant/products-services/merchant-registration Sir, please share your details.</t>
  </si>
  <si>
    <t>2024-02-05 07:36:08</t>
  </si>
  <si>
    <t>Md Ameer Alam  https://web4.finobank.com/merchant/products-services/merchant-registration Sir, please share details.</t>
  </si>
  <si>
    <t>2024-02-05 07:35:33</t>
  </si>
  <si>
    <t>Milon Paul</t>
  </si>
  <si>
    <t>Fino Payments Bank: 8617845184</t>
  </si>
  <si>
    <t>2024-02-05 07:35:05</t>
  </si>
  <si>
    <t>2024-02-05 07:34:49</t>
  </si>
  <si>
    <t>2024-02-05 07:32:42</t>
  </si>
  <si>
    <t>@ImAbhijeet_S Sir. Can you email us the details on reportfraud@finobank.com</t>
  </si>
  <si>
    <t>2024-02-05 07:31:46</t>
  </si>
  <si>
    <t>Fino Payments Bank: Csp k liye kya karna padta h</t>
  </si>
  <si>
    <t>2024-02-05 07:31:29</t>
  </si>
  <si>
    <t>Sudhir Kanesh  Hello. How best can we help?</t>
  </si>
  <si>
    <t>2024-02-05 07:31:16</t>
  </si>
  <si>
    <t>Fino Payments Bank: 9693550262</t>
  </si>
  <si>
    <t>2024-02-05 07:31:01</t>
  </si>
  <si>
    <t>Sagar Sharma: https://web4.finobank.com/merchant/products-services/merchant-registration Please share your contact details.</t>
  </si>
  <si>
    <t>2024-02-05 07:30:36</t>
  </si>
  <si>
    <t>Milon Paul: https://web4.finobank.com/merchant/products-services/merchant-registration Sir, please share your contact number so that we can help</t>
  </si>
  <si>
    <t>2024-02-05 07:30:12</t>
  </si>
  <si>
    <t>Jay Prakash Saxena  Sir. Please call the help desk on 02268681234</t>
  </si>
  <si>
    <t>2024-02-05 07:29:46</t>
  </si>
  <si>
    <t>Ramanna Dambal  Sir, please share your contact details so that we can help</t>
  </si>
  <si>
    <t>2024-02-05 07:28:48</t>
  </si>
  <si>
    <t>Mevada Lakhan  https://web4.finobank.com/merchant/products-services/merchant-registration  Pls share your details</t>
  </si>
  <si>
    <t>2024-02-05 07:28:16</t>
  </si>
  <si>
    <t>Sarfaraz Khan  Hi. How best can we help?</t>
  </si>
  <si>
    <t>2024-02-05 07:26:15</t>
  </si>
  <si>
    <t>Devendra Patel  Thank you!</t>
  </si>
  <si>
    <t>2024-02-05 07:25:55</t>
  </si>
  <si>
    <t>Davandra Sani Davandra Sani  Sir, Please call the help desk on 02268681234</t>
  </si>
  <si>
    <t>2024-02-05 07:25:27</t>
  </si>
  <si>
    <t>Jitan Akela Jitu Ji: Sir. Please share details on https://web4.finobank.com/merchant/products-services/merchant-registration</t>
  </si>
  <si>
    <t>2024-02-05 07:25:05</t>
  </si>
  <si>
    <t>Ravindra Singh Nimesh</t>
  </si>
  <si>
    <t>2024-02-05 03:26:43</t>
  </si>
  <si>
    <t>LokhandeVi98104</t>
  </si>
  <si>
    <t>Current affairs</t>
  </si>
  <si>
    <t>हाल ही में RBI ने किस Payment Bank पर रोक लगा दी है ?
१] Paytm Payment Bank
२] Fino Payments Bank
३] Airtel Payment Bank
४] India Post Payment Bank
उत्तर - १] Paytm Payment Bank
#UPSC #MPSC #currentaffairs</t>
  </si>
  <si>
    <t>2024-02-05 00:14:44</t>
  </si>
  <si>
    <t xml:space="preserve">Maharashtra </t>
  </si>
  <si>
    <t>Kumar Varun</t>
  </si>
  <si>
    <t>⚠️ Important Notice ⚠️ 
Dosto हम aaplogo के liye इतना mehnat karke prediction detahai but aaplog हमारे under join nahi kiya हो kya यार ‼️
WARNING ⚠️⚠️⚠️ 
कुछ लोग हमरे link से नही है उन सबकी को जल्दी ही सजा मिलेगी कोई help करने वाला नही होगा तब हम भी नही करेगें अगर आप को कोई problem नही चाइए तो आज नया अकाउंट बनाओ हमारे link से और अपना पैसा safe करो 
Abhi जाओ हेम support करो New id banalo दोस्त 🙏👇🙏
✅Any problem https://t.me/ManishaEzeeAppSolutionsOfficial
You can share your transaction confirmation receipt or download a statement of your transactions from here
Please note: You need to have the latest version of the  app to download statements.
If you have not made this transaction or notice any error please ManishaEzeeApp Solutions Private  contact us at support.manishaeze.com
Cheers!
Team ManishaEzeeApp Solutions Private 
*Welcome to ManishaEzeeApp Solutions Private Limited*
Payment mode
*UPI ID:- manishaezeeapp.limited@paytm*
*Here is my account details:*
*Account number:* *00000042585821359*
*IFSC: SBIN0000126*
*Branch: MADHIPURA*
*Type: Current account*
*AC holder Name:- Manishaezeeapp Solutions Private Limited*
Cheers!
Team Manishaezeeapp Solutions Private limited
Policy   |   Terms
Please note that Manishaezeeapp Solutions Private limited only provides technology interface on its mobile app/ Manishaezeeapp Solutions Private Limited app for enabling payments via Manishaeze to Gold Partner.
If you notice any error with this transaction, please contact us on support@manishaeze.com
*For more information Call us Now 7209995940/9888835940/9199985785/9263331401/8877762333*
About Us Policy Terms   
Facebook Twitter
Important Note: ManishaEzeeApp Solutions Private Limited or its merchant partners never ask for your ManishaEzeeApp Solutions Private Limited password, bank details or MPIN over email/phone. Please do not share your ManishaEzeeApp Solutions Private Limited password or MPIN with anyone. For any questions write to support.manishaeze.com
https://chat.whatsapp.com/FFl7m7zm9OYCRFV1yXjJ8D</t>
  </si>
  <si>
    <t>2024-02-05 00:13:31</t>
  </si>
  <si>
    <t>Md Aibri</t>
  </si>
  <si>
    <t>2024-02-05 00:08:37</t>
  </si>
  <si>
    <t>2024-02-04</t>
  </si>
  <si>
    <t>Manish Patel</t>
  </si>
  <si>
    <t>Fino Payments Bank: 9343770075</t>
  </si>
  <si>
    <t>2024-02-04 23:18:21</t>
  </si>
  <si>
    <t>2024-02-04 23:18:19</t>
  </si>
  <si>
    <t>2024-02-04 23:18:12</t>
  </si>
  <si>
    <t>Call kare,</t>
  </si>
  <si>
    <t>2024-02-04 23:18:05</t>
  </si>
  <si>
    <t>9343770075
Call kare sir</t>
  </si>
  <si>
    <t>2024-02-04 23:15:40</t>
  </si>
  <si>
    <t>Fino Payments Bank: 9343770075
Manish Verma
Narsinghpur MP</t>
  </si>
  <si>
    <t>2024-02-04 23:14:17</t>
  </si>
  <si>
    <t>**********
Manish Verma
Narsinghpur MP</t>
  </si>
  <si>
    <t>2024-02-04 23:14:15</t>
  </si>
  <si>
    <t>9343770075
Manish Verma
Narsinghpur MP</t>
  </si>
  <si>
    <t>2024-02-04 23:14:06</t>
  </si>
  <si>
    <t>Kajal Das</t>
  </si>
  <si>
    <t>Service Better Kijiye Sir Please 🙏</t>
  </si>
  <si>
    <t>2024-02-04 22:21:13</t>
  </si>
  <si>
    <t>Dear Sir Account Change Free Kar Dijiye Please 🙏❤️❤️🥺🥺🥺😭😭😭</t>
  </si>
  <si>
    <t>2024-02-04 22:14:38</t>
  </si>
  <si>
    <t>Dinesh Pal</t>
  </si>
  <si>
    <t>Fino Payment Bank Chor company hai 450 rs.majdooro ke kat leti hai RBI me complain karna padega</t>
  </si>
  <si>
    <t>2024-02-04 21:05:28</t>
  </si>
  <si>
    <t>Jitan Akela Jitu Ji</t>
  </si>
  <si>
    <t>Fino Payments Bank: I'd Lena. Tha</t>
  </si>
  <si>
    <t>2024-02-04 20:17:24</t>
  </si>
  <si>
    <t>2024-02-04 20:05:31</t>
  </si>
  <si>
    <t>Monzil Alom</t>
  </si>
  <si>
    <t>Hi sir</t>
  </si>
  <si>
    <t>2024-02-04 19:50:26</t>
  </si>
  <si>
    <t>Ajit J Ajit J</t>
  </si>
  <si>
    <t>Chek book sar</t>
  </si>
  <si>
    <t>2024-02-04 19:41:42</t>
  </si>
  <si>
    <t>network earth</t>
  </si>
  <si>
    <t>FINO PAYMENT BANK ACCOUNT 🎉🎉FREE INSTANT ATM CARD AND WELCOME KIT</t>
  </si>
  <si>
    <t>2024-02-04 18:55:15</t>
  </si>
  <si>
    <t>Shiv Prakash</t>
  </si>
  <si>
    <t>Fino Payments Bank: Hello  Fino</t>
  </si>
  <si>
    <t>2024-02-04 18:41:25</t>
  </si>
  <si>
    <t>Tech Micro banking</t>
  </si>
  <si>
    <t>Fino CSP Centere Odisa || Fino Payments Bank Odisha || Fino CSP Bhubaneswar ||Tech Micro Banking</t>
  </si>
  <si>
    <t>2024-02-04 17:24:35</t>
  </si>
  <si>
    <t>Devendra Patel</t>
  </si>
  <si>
    <t>Fino best bank hai</t>
  </si>
  <si>
    <t>2024-02-04 16:49:06</t>
  </si>
  <si>
    <t>Sarfaraz Khan</t>
  </si>
  <si>
    <t>2024-02-04 16:28:17</t>
  </si>
  <si>
    <t>Hii sor</t>
  </si>
  <si>
    <t>2024-02-04 16:28:11</t>
  </si>
  <si>
    <t>Rofik Sk Kisiko blame karne ko pahle think yourself. FIR hone mai avi der nehi lagta hai...</t>
  </si>
  <si>
    <t>2024-02-04 16:24:30</t>
  </si>
  <si>
    <t>Mevada Lakhan</t>
  </si>
  <si>
    <t>Gujarat me chahiye call me 9574070516</t>
  </si>
  <si>
    <t>2024-02-04 15:25:41</t>
  </si>
  <si>
    <t>Md Jamshed</t>
  </si>
  <si>
    <t>Contact us 9955225467</t>
  </si>
  <si>
    <t>2024-02-04 15:02:41</t>
  </si>
  <si>
    <t>2024-02-04 15:02:00</t>
  </si>
  <si>
    <t>Very bad Service ID open Delay</t>
  </si>
  <si>
    <t>2024-02-04 14:40:29</t>
  </si>
  <si>
    <t>Jay Prakash Saxena</t>
  </si>
  <si>
    <t>Fino payment bank 🏦 
Hamari id block 🚫
 ho gai tin char din ho gaye laga tar open kar rhe hai 
Lekin open nhi ho pa rhi</t>
  </si>
  <si>
    <t>2024-02-04 13:58:07</t>
  </si>
  <si>
    <t>2024-02-04 13:57:49</t>
  </si>
  <si>
    <t>Manish Soni</t>
  </si>
  <si>
    <t>Hello sir</t>
  </si>
  <si>
    <t>2024-02-04 13:18:43</t>
  </si>
  <si>
    <t>Fino Payments Bank: CSP point opening</t>
  </si>
  <si>
    <t>2024-02-04 12:10:08</t>
  </si>
  <si>
    <t>Fino Payments Bank: Cso milega kya</t>
  </si>
  <si>
    <t>2024-02-04 11:14:45</t>
  </si>
  <si>
    <t>Umesh Prasad</t>
  </si>
  <si>
    <t>Location sir</t>
  </si>
  <si>
    <t>2024-02-04 11:09:57</t>
  </si>
  <si>
    <t>2024-02-04 11:00:17</t>
  </si>
  <si>
    <t>Sudhir Kanesh</t>
  </si>
  <si>
    <t>2024-02-04 10:54:33</t>
  </si>
  <si>
    <t>guodor11265</t>
  </si>
  <si>
    <t>Guodor Kupppnft</t>
  </si>
  <si>
    <t>@ImAbhijeet_S @FinoPaymntsBank @TheOfficialSBI my ETH to the moooooooooooooooooooooon https://t.co/x6lBYn6lgi 
  Quoted Tweet : @TheFameMaker_ : I make around 5-10 ETH per week! 🤑
Tutorial: https://t.co/3mZpaN0uAd
I've been using it for 3 months now.
It works great for me and it's my biggest source of income right now.✅
It's the best i've seen so far♥️
Literally a moneymaker!
Don't forget to like + share https://t.co/JJrGM5rLe3</t>
  </si>
  <si>
    <t>2024-02-04 10:22:53</t>
  </si>
  <si>
    <t>Moldova, republic of</t>
  </si>
  <si>
    <t>ImAbhijeet_S</t>
  </si>
  <si>
    <t>Abhijeet Singh</t>
  </si>
  <si>
    <t>Hey @FinoPaymntsBank an A/c holder of your bank has fraudulently transferred huge money from my father's @TheOfficialSBI bank A/c by hacking his mobile. I have the culprit's A/c details. I've lodged a Police complaint. Kindly help me/Police in tracing the perpetrator.</t>
  </si>
  <si>
    <t>2024-02-04 10:22:49</t>
  </si>
  <si>
    <t>Ak no.bakavas Bank</t>
  </si>
  <si>
    <t>2024-02-04 10:11:14</t>
  </si>
  <si>
    <t>Kundan Kumar</t>
  </si>
  <si>
    <t>Koi support nahi milta hai 7979052045</t>
  </si>
  <si>
    <t>2024-02-04 10:01:37</t>
  </si>
  <si>
    <t>Koi help nahi karta hai purnea Bihar se hu</t>
  </si>
  <si>
    <t>2024-02-04 10:01:13</t>
  </si>
  <si>
    <t>Upendra Kumar Yadav</t>
  </si>
  <si>
    <t>zero balance account kr sir</t>
  </si>
  <si>
    <t>2024-02-04 09:56:06</t>
  </si>
  <si>
    <t>PaytmB39388</t>
  </si>
  <si>
    <t>Paytm ᴄᴜꜱᴛᴏᴍᴇʀ ꜱᴜᴘᴘᴏʀᴛ ²⁴\⁷ ʜᴇʟᴘʟɪɴᴇ ꜱᴇʀᴠɪᴄᴇ ᴄᴇɴᴛᴇʀ ꜱᴀʀᴠɪᴄᴇ ᴄᴇɴᴛᴇʀ ᴛᴏʟʟ - ꜰʀᴇᴇ ɴᴜᴍʙᴇʀ ⁰¹²⁰-⁴⁴⁵⁶-⁴⁵⁶ ᴀʟᴛᴇʀɴᴀᴛɪᴠᴇ - ɴᴜᴍʙᴇʀ 8509831439.ᴘʟᴇᴀꜱᴇ ᴄᴏɴᴛᴀᴄᴛ 
  Quoted Tweet : @Rational1947 : one company which is jut out of the radar of everyone is Fino Payment Bank. its grass root connect is just amazing and if paytm loses ground, Fino will be a big beneficiary. somehow people r ignoring it.. @darshanvmehta1 @FinoPaymntsBank @nimeshscnbc</t>
  </si>
  <si>
    <t>2024-02-04 09:49:17</t>
  </si>
  <si>
    <t>Rational1947</t>
  </si>
  <si>
    <t>Rational Mind</t>
  </si>
  <si>
    <t>one company which is jut out of the radar of everyone is Fino Payment Bank. its grass root connect is just amazing and if paytm loses ground, Fino will be a big beneficiary. somehow people r ignoring it.. @darshanvmehta1 @FinoPaymntsBank @nimeshscnbc</t>
  </si>
  <si>
    <t>2024-02-04 09:45:40</t>
  </si>
  <si>
    <t>Fino CSP ID kese banwaye. fino BC marchant id kese banwaye. Fino payment Bank CSP ID kese Le. CSP iD</t>
  </si>
  <si>
    <t>2024-02-04 09:12:02</t>
  </si>
  <si>
    <t>I want to take CSP I'd</t>
  </si>
  <si>
    <t>2024-02-04 08:44:34</t>
  </si>
  <si>
    <t>Abhishek Sahu</t>
  </si>
  <si>
    <t>Net banking portal open nhi ho raha hai</t>
  </si>
  <si>
    <t>2024-02-04 08:28:05</t>
  </si>
  <si>
    <t>Binod Kumar Yadav</t>
  </si>
  <si>
    <t>Purnea Bihar me location ki samasya abhi tak solve nahin Ho Paya hai</t>
  </si>
  <si>
    <t>2024-02-04 08:23:08</t>
  </si>
  <si>
    <t>2024-02-04 08:07:50</t>
  </si>
  <si>
    <t>Cancer awareness is the first step to cure. Let us be aware of various types of cancers and look out for early signs to keep ourselves and our loved ones away from the deadly disease.
#FinoPaymentsBank #FikarNot #FinoBanker #DigitalBanking #SecureBanking #HarDinFino #FinoPay #WorldCancerDay #CancerAwareness #TakeControlOfYourLife</t>
  </si>
  <si>
    <t>2024-02-04 08:00:19</t>
  </si>
  <si>
    <t>2024-02-04 08:00:00</t>
  </si>
  <si>
    <t>Cancer awareness is the first step to cure. Let us be aware of various types of cancers and look out for early signs to keep ourselves and our loved ones away from the deadly disease.
#FinoPaymentsBank #FikarNot #FinoBanker #DigitalBanking #WorldCancerDay #CancerAwareness https://t.co/2uXel1xFVh</t>
  </si>
  <si>
    <t>Bachchu Sarkar</t>
  </si>
  <si>
    <t>M L Thakur absolutely right 👍</t>
  </si>
  <si>
    <t>2024-02-04 07:24:41</t>
  </si>
  <si>
    <t>Takir Qaderi</t>
  </si>
  <si>
    <t>CSP ID hobe</t>
  </si>
  <si>
    <t>2024-02-04 07:12:50</t>
  </si>
  <si>
    <t>Paytm Payments Bank Update 2024: আর টাকা ডিপোজিট করতে পারবেন না! কি কি সুবিধা পাবেন না জেনেনিন।</t>
  </si>
  <si>
    <t>2024-02-04 04:29:58</t>
  </si>
  <si>
    <t>2024-02-03</t>
  </si>
  <si>
    <t>Id block ho gaya bahot dino se complete Kar raha hu . Sabse ghatiya service hai</t>
  </si>
  <si>
    <t>2024-02-03 23:41:50</t>
  </si>
  <si>
    <t>Ashish Shrivastwa</t>
  </si>
  <si>
    <t>Fino Payments Bank: 9470759599</t>
  </si>
  <si>
    <t>2024-02-03 23:21:01</t>
  </si>
  <si>
    <t>Vivek Sawant</t>
  </si>
  <si>
    <t>No service, no employee in Goa</t>
  </si>
  <si>
    <t>2024-02-03 23:00:15</t>
  </si>
  <si>
    <t>Shekher JI</t>
  </si>
  <si>
    <t>Not good.</t>
  </si>
  <si>
    <t>2024-02-03 22:31:11</t>
  </si>
  <si>
    <t>2024-02-03 22:24:21</t>
  </si>
  <si>
    <t>Fino Payments Bank sir koe nahi clear ka rha kab ayegi pta nahi hai</t>
  </si>
  <si>
    <t>2024-02-03 22:20:35</t>
  </si>
  <si>
    <t>KasdeEklesh</t>
  </si>
  <si>
    <t>Mr. Ekku</t>
  </si>
  <si>
    <t>Dear @FinoPaymntsBank  please unblock and unfroz my Fino Payment Bank account</t>
  </si>
  <si>
    <t>2024-02-03 21:56:15</t>
  </si>
  <si>
    <t>Shahapur, india</t>
  </si>
  <si>
    <t>Liladhar Suthar</t>
  </si>
  <si>
    <t>Fino Payments Bank  9468950002</t>
  </si>
  <si>
    <t>2024-02-03 21:46:12</t>
  </si>
  <si>
    <t>Anil Kumar Bihari</t>
  </si>
  <si>
    <t>Liladhar Suthar retailer ka charge kitna h?</t>
  </si>
  <si>
    <t>2024-02-03 21:36:17</t>
  </si>
  <si>
    <t>Vinod Gupta</t>
  </si>
  <si>
    <t>Sir bidhwa pension me kyo nahi lagta hai account</t>
  </si>
  <si>
    <t>2024-02-03 21:00:33</t>
  </si>
  <si>
    <t>Goswami Sonu Kumar Bharti</t>
  </si>
  <si>
    <t>@hilight</t>
  </si>
  <si>
    <t>2024-02-03 20:54:16</t>
  </si>
  <si>
    <t>Ramgopal Yadav</t>
  </si>
  <si>
    <t>Ghatiya service aur ghatiya support</t>
  </si>
  <si>
    <t>2024-02-03 20:51:50</t>
  </si>
  <si>
    <t>Fino Payments Bank: Bolo</t>
  </si>
  <si>
    <t>2024-02-03 20:47:34</t>
  </si>
  <si>
    <t>2024-02-03 20:47:33</t>
  </si>
  <si>
    <t>Sunilkumar Yadav</t>
  </si>
  <si>
    <t>Fino bank ID kaise apply kare</t>
  </si>
  <si>
    <t>2024-02-03 20:42:07</t>
  </si>
  <si>
    <t>Deepshikha Singh</t>
  </si>
  <si>
    <t>Fino payments Bank complain kerne ke baad bhi solve nahi hua please contact me sir</t>
  </si>
  <si>
    <t>2024-02-03 20:21:59</t>
  </si>
  <si>
    <t>Fino Payments Bank: Sir mere account me problem jo solve nahi ho Raha please help me sir</t>
  </si>
  <si>
    <t>2024-02-03 20:20:38</t>
  </si>
  <si>
    <t>2024-02-03 20:19:58</t>
  </si>
  <si>
    <t>Hari Nandan Singh Raghubanshi</t>
  </si>
  <si>
    <t>Fino Payments Bank: Please 🙏 some reply</t>
  </si>
  <si>
    <t>2024-02-03 20:12:56</t>
  </si>
  <si>
    <t>Fino Payment Bank Kiysok I&amp;#39;d kaise le ।fino Payment Bank merchant kaise bane।fino Mitra registration</t>
  </si>
  <si>
    <t>2024-02-03 20:11:26</t>
  </si>
  <si>
    <t>2024-02-03 20:08:22</t>
  </si>
  <si>
    <t>Vinod Rathod</t>
  </si>
  <si>
    <t>hii</t>
  </si>
  <si>
    <t>2024-02-03 20:04:23</t>
  </si>
  <si>
    <t>Ashish Chandan</t>
  </si>
  <si>
    <t>I'd ka call verification nahi huaa 3 month ho gaya h yahi fino h kaam nahi ho Raha h I'd sey</t>
  </si>
  <si>
    <t>2024-02-03 19:55:05</t>
  </si>
  <si>
    <t>Bakwaas bank</t>
  </si>
  <si>
    <t>2024-02-03 19:31:00</t>
  </si>
  <si>
    <t>Nandan Kumar Yadav Mehta</t>
  </si>
  <si>
    <t>Niche</t>
  </si>
  <si>
    <t>2024-02-03 19:23:31</t>
  </si>
  <si>
    <t>CrazyAayan</t>
  </si>
  <si>
    <t>AayanCrazy</t>
  </si>
  <si>
    <t>@FinoPaymntsBank Sir, my account has been frozen due to which I am not able to do any transaction with the bank, please help.</t>
  </si>
  <si>
    <t>2024-02-03 19:07:54</t>
  </si>
  <si>
    <t>Kushinagar, india</t>
  </si>
  <si>
    <t>Sanjay Pandit</t>
  </si>
  <si>
    <t>Fino Payments Bank: 9560484486</t>
  </si>
  <si>
    <t>2024-02-03 18:55:03</t>
  </si>
  <si>
    <t>Rajpal Singh</t>
  </si>
  <si>
    <t>Bc sakhi didiyo ko Aadhar card update ki sarvice dene ka kasht kare 🙏</t>
  </si>
  <si>
    <t>2024-02-03 18:47:01</t>
  </si>
  <si>
    <t>Munna Roy</t>
  </si>
  <si>
    <t>Borax Kujiore wht the fck</t>
  </si>
  <si>
    <t>2024-02-03 18:35:19</t>
  </si>
  <si>
    <t>Naineshkumar Tadvi</t>
  </si>
  <si>
    <t>Sir maine 29 Desmber ko kit order kiya tha abi tak muje nahi mila hai</t>
  </si>
  <si>
    <t>2024-02-03 18:21:27</t>
  </si>
  <si>
    <t>Ye chor bank hai</t>
  </si>
  <si>
    <t>2024-02-03 18:04:17</t>
  </si>
  <si>
    <t>Azad Kushwaha</t>
  </si>
  <si>
    <t>Fino atm pin generate | fino atm pin | fino atm pin generate mobile se | fino atm pin kaise banaye</t>
  </si>
  <si>
    <t>2024-02-03 17:47:04</t>
  </si>
  <si>
    <t>Praveen Kumar</t>
  </si>
  <si>
    <t>2024-02-03 17:46:20</t>
  </si>
  <si>
    <t>80767816suraj</t>
  </si>
  <si>
    <t>Mr__ßûræj ?Agent</t>
  </si>
  <si>
    <t>@FinoPaymntsBank  9971596944</t>
  </si>
  <si>
    <t>2024-02-03 17:35:05</t>
  </si>
  <si>
    <t>Borax Kujiore</t>
  </si>
  <si>
    <t>Santanu Saha https://t.me/+IZpLfuPyVbEwNjc0</t>
  </si>
  <si>
    <t>2024-02-03 17:33:53</t>
  </si>
  <si>
    <t>Pintu Kumar Yadav https://t.me/+IZpLfuPyVbEwNjc0</t>
  </si>
  <si>
    <t>2024-02-03 17:33:46</t>
  </si>
  <si>
    <t>Tauseef Khan https://t.me/+IZpLfuPyVbEwNjc0</t>
  </si>
  <si>
    <t>2024-02-03 17:33:35</t>
  </si>
  <si>
    <t>Sonu Sonu https://t.me/+IZpLfuPyVbEwNjc0</t>
  </si>
  <si>
    <t>2024-02-03 17:33:25</t>
  </si>
  <si>
    <t>Santosh Kumar Santu https://t.me/+IZpLfuPyVbEwNjc0</t>
  </si>
  <si>
    <t>2024-02-03 17:33:19</t>
  </si>
  <si>
    <t>Akbar Mohammad https://t.me/+IZpLfuPyVbEwNjc0</t>
  </si>
  <si>
    <t>2024-02-03 17:33:09</t>
  </si>
  <si>
    <t>https://t.me/+IZpLfuPyVbEwNjc0</t>
  </si>
  <si>
    <t>2024-02-03 17:32:39</t>
  </si>
  <si>
    <t>Chhote Lal Lal https://t.me/+IZpLfuPyVbEwNjc0</t>
  </si>
  <si>
    <t>2024-02-03 17:32:36</t>
  </si>
  <si>
    <t>San Jay https://t.me/+IZpLfuPyVbEwNjc0</t>
  </si>
  <si>
    <t>2024-02-03 17:32:31</t>
  </si>
  <si>
    <t>Narendra S P https://t.me/+IZpLfuPyVbEwNjc0</t>
  </si>
  <si>
    <t>2024-02-03 17:32:22</t>
  </si>
  <si>
    <t>Amit Kumar https://t.me/+IZpLfuPyVbEwNjc0</t>
  </si>
  <si>
    <t>2024-02-03 17:32:15</t>
  </si>
  <si>
    <t>Shekher JI https://t.me/+IZpLfuPyVbEwNjc0</t>
  </si>
  <si>
    <t>2024-02-03 17:32:10</t>
  </si>
  <si>
    <t>Iqra Commiunication https://t.me/+IZpLfuPyVbEwNjc0</t>
  </si>
  <si>
    <t>2024-02-03 17:32:02</t>
  </si>
  <si>
    <t>Munna Roy https://t.me/+IZpLfuPyVbEwNjc0</t>
  </si>
  <si>
    <t>2024-02-03 17:31:55</t>
  </si>
  <si>
    <t>Shamshad Shaikh https://t.me/+IZpLfuPyVbEwNjc0</t>
  </si>
  <si>
    <t>2024-02-03 17:31:50</t>
  </si>
  <si>
    <t>Bolojeet Barchung https://t.me/+IZpLfuPyVbEwNjc0</t>
  </si>
  <si>
    <t>2024-02-03 17:31:45</t>
  </si>
  <si>
    <t>Soumya Dutta https://t.me/+IZpLfuPyVbEwNjc0</t>
  </si>
  <si>
    <t>2024-02-03 17:31:30</t>
  </si>
  <si>
    <t>Kant Shashi https://t.me/+IZpLfuPyVbEwNjc0</t>
  </si>
  <si>
    <t>2024-02-03 17:31:01</t>
  </si>
  <si>
    <t>2024-02-03 17:30:37</t>
  </si>
  <si>
    <t>M L Thakur https://t.me/+IZpLfuPyVbEwNjc0</t>
  </si>
  <si>
    <t>2024-02-03 17:30:35</t>
  </si>
  <si>
    <t>PHOENIX ITALIA🇮🇹</t>
  </si>
  <si>
    <t>SHAO BANK 8 Nuovi Bonds Fino il 31 Marzo dal 0,5% al 2% al Giorno, Primo Evento in Nigeria #shaobank</t>
  </si>
  <si>
    <t>2024-02-03 17:30:10</t>
  </si>
  <si>
    <t>San Jay</t>
  </si>
  <si>
    <t>2024-02-03 17:21:35</t>
  </si>
  <si>
    <t>2024-02-03 17:21:24</t>
  </si>
  <si>
    <t>2024-02-03 17:20:59</t>
  </si>
  <si>
    <t>Narendra S P</t>
  </si>
  <si>
    <t>हर साल रेवेन्यू होता है क्या sir</t>
  </si>
  <si>
    <t>2024-02-03 17:19:06</t>
  </si>
  <si>
    <t>Fino Payments Bank: Jee</t>
  </si>
  <si>
    <t>2024-02-03 17:15:30</t>
  </si>
  <si>
    <t>digitaldahod</t>
  </si>
  <si>
    <t>vinaykumar shah</t>
  </si>
  <si>
    <t>@FinoPaymntsBank @tushar_panda_ All Employees (Bottom to Top) are Giving Different Reply - Excuses.</t>
  </si>
  <si>
    <t>2024-02-03 16:57:44</t>
  </si>
  <si>
    <t>Gujarat, india</t>
  </si>
  <si>
    <t>@FinoPaymntsBank @tushar_panda_ No one is able to HELP. All Employees (Bottom to Top) are Giving Different Reply - Excuses.</t>
  </si>
  <si>
    <t>2024-02-03 16:57:22</t>
  </si>
  <si>
    <t>2024-02-03 16:55:46</t>
  </si>
  <si>
    <t>@FinoPaymntsBank @tushar_panda_ 9558118777</t>
  </si>
  <si>
    <t>2024-02-03 16:45:23</t>
  </si>
  <si>
    <t>@tushar_panda_ @FinoPaymntsBank @RBI Agreed</t>
  </si>
  <si>
    <t>2024-02-03 16:44:42</t>
  </si>
  <si>
    <t>Fino Payments Bank: Retailer I'd lene hai
9450974896</t>
  </si>
  <si>
    <t>2024-02-03 16:25:38</t>
  </si>
  <si>
    <t>Retailer I'd lene hai
**********</t>
  </si>
  <si>
    <t>2024-02-03 16:25:33</t>
  </si>
  <si>
    <t>Retailer I'd lene hai
9450974896</t>
  </si>
  <si>
    <t>2024-02-03 16:25:26</t>
  </si>
  <si>
    <t>Magnetic Trade</t>
  </si>
  <si>
    <t>Fino Payment Bank #candlestickanalysis #priceaction</t>
  </si>
  <si>
    <t>2024-02-03 16:20:25</t>
  </si>
  <si>
    <t>@FinoPaymntsBank My contact number Tamil language 9841600677</t>
  </si>
  <si>
    <t>2024-02-03 16:16:25</t>
  </si>
  <si>
    <t>@FinoPaymntsBank @ShendeDhamma I want to be a fino payment Bank bc distributor, retailer, please call me back 9334023154</t>
  </si>
  <si>
    <t>2024-02-03 15:40:21</t>
  </si>
  <si>
    <t>Koi sunvai nhi hai main khud ek merchant hu fino ka.</t>
  </si>
  <si>
    <t>2024-02-03 15:29:08</t>
  </si>
  <si>
    <t>Srinivas Patel  Sir. Please share your contact number so that we can help</t>
  </si>
  <si>
    <t>2024-02-03 15:24:18</t>
  </si>
  <si>
    <t>Iqra Commiunication</t>
  </si>
  <si>
    <t>Sir mera AePS kam nhi kr rha aur me 4 mahina se preshan hu</t>
  </si>
  <si>
    <t>2024-02-03 15:01:41</t>
  </si>
  <si>
    <t>Alok Kumar</t>
  </si>
  <si>
    <t>Fino Payments Bank: Registration ho gaya 🆎</t>
  </si>
  <si>
    <t>2024-02-03 14:55:54</t>
  </si>
  <si>
    <t>Srinivas Patel</t>
  </si>
  <si>
    <t>Wrist compen &amp;Bank</t>
  </si>
  <si>
    <t>2024-02-03 14:49:29</t>
  </si>
  <si>
    <t>450 se kam kata kijiye</t>
  </si>
  <si>
    <t>2024-02-03 14:42:19</t>
  </si>
  <si>
    <t>Shamshad Shaikh</t>
  </si>
  <si>
    <t>Shamshad Fino garibon ka masiha</t>
  </si>
  <si>
    <t>2024-02-03 14:42:01</t>
  </si>
  <si>
    <t>1lakh wala model abhi chalu hai yah nahi???</t>
  </si>
  <si>
    <t>2024-02-03 14:38:58</t>
  </si>
  <si>
    <t>PNB bank KA csp dete hi</t>
  </si>
  <si>
    <t>2024-02-03 14:38:21</t>
  </si>
  <si>
    <t>I am interested</t>
  </si>
  <si>
    <t>2024-02-03 14:20:27</t>
  </si>
  <si>
    <t>Golam Kibria Biswas</t>
  </si>
  <si>
    <t>Mera ID restart kaise koru</t>
  </si>
  <si>
    <t>2024-02-03 14:19:32</t>
  </si>
  <si>
    <t>Suresh Thakur</t>
  </si>
  <si>
    <t>2024-02-03 14:14:11</t>
  </si>
  <si>
    <t>Fino Payment Bank Rupay Platinum Debit card Unboxing 2024 | Life time Free Atm card Fino Bank</t>
  </si>
  <si>
    <t>2024-02-03 14:13:45</t>
  </si>
  <si>
    <t>Sir please account unblock nahi ho Raha hai</t>
  </si>
  <si>
    <t>2024-02-03 14:09:55</t>
  </si>
  <si>
    <t>Sanil Kumar Raj Patna</t>
  </si>
  <si>
    <t>2024-02-03 14:02:16</t>
  </si>
  <si>
    <t>2024-02-03 14:00:40</t>
  </si>
  <si>
    <t>Guddu Kumar</t>
  </si>
  <si>
    <t>Location ka error theek kariye</t>
  </si>
  <si>
    <t>2024-02-03 13:59:41</t>
  </si>
  <si>
    <t>2024-02-03 13:57:19</t>
  </si>
  <si>
    <t>PooRan Lodhi Yogbharti</t>
  </si>
  <si>
    <t>Paise nikaalne ka option kyon nahin a raha hai</t>
  </si>
  <si>
    <t>2024-02-03 13:56:21</t>
  </si>
  <si>
    <t>Gaurav Gaurav Shobilsthg</t>
  </si>
  <si>
    <t>2024-02-03 13:54:46</t>
  </si>
  <si>
    <t>Shailesh N Shenmare  Sir. Please call us on 02268681234</t>
  </si>
  <si>
    <t>2024-02-03 13:54:21</t>
  </si>
  <si>
    <t>Mukesh Kumar Raj  Yes Sir. Please share your number.</t>
  </si>
  <si>
    <t>2024-02-03 13:53:52</t>
  </si>
  <si>
    <t>स्वर्ण कुमार गुप्ता</t>
  </si>
  <si>
    <t>कमीसन बढ़ाए मर्चेंट का dbr का</t>
  </si>
  <si>
    <t>2024-02-03 13:46:03</t>
  </si>
  <si>
    <t>Aeps का कमीसन बहुत कम है</t>
  </si>
  <si>
    <t>2024-02-03 13:45:50</t>
  </si>
  <si>
    <t>Aeps atm का कमीसन काफी कम है बढ़ने की जरूरत है</t>
  </si>
  <si>
    <t>2024-02-03 13:45:38</t>
  </si>
  <si>
    <t>आप का फिनो मित्रा स्लो काम कर रहा है सर्वर तेज करे</t>
  </si>
  <si>
    <t>2024-02-03 13:45:11</t>
  </si>
  <si>
    <t>आप के ब्रांच के कर्मचारी काफी स्लो काम करते है जानकारी का अभाव है उनका ट्रेनिग कराए</t>
  </si>
  <si>
    <t>2024-02-03 13:44:45</t>
  </si>
  <si>
    <t>आप के अधिकारी के जानकारी का अभाव रहता है</t>
  </si>
  <si>
    <t>2024-02-03 13:44:03</t>
  </si>
  <si>
    <t>आप के सारे सेविंग ac काफी महंगे है
सुधार की आवश्यकता है</t>
  </si>
  <si>
    <t>2024-02-03 13:43:43</t>
  </si>
  <si>
    <t>सुधार करे</t>
  </si>
  <si>
    <t>2024-02-03 13:42:16</t>
  </si>
  <si>
    <t>आप के upi का सर्वर काफी स्लो है</t>
  </si>
  <si>
    <t>2024-02-03 13:42:10</t>
  </si>
  <si>
    <t>आप का ac महंगा होने के कारण ग्रामीण में दिक्कत कर रहा है</t>
  </si>
  <si>
    <t>2024-02-03 13:41:52</t>
  </si>
  <si>
    <t>आप अपनी सर्विस और सर्वर का सुधार करे</t>
  </si>
  <si>
    <t>2024-02-03 13:41:25</t>
  </si>
  <si>
    <t>Dinesh Patel  Sir. Please call the help desk on 02268681234</t>
  </si>
  <si>
    <t>2024-02-03 13:40:23</t>
  </si>
  <si>
    <t>Basil Varghese</t>
  </si>
  <si>
    <t>Inayathulla where??</t>
  </si>
  <si>
    <t>2024-02-03 13:38:06</t>
  </si>
  <si>
    <t>Raj Bhabor  https://web4.finobank.com/merchant/products-services/merchant-registration Please share your contact details.</t>
  </si>
  <si>
    <t>2024-02-03 13:37:14</t>
  </si>
  <si>
    <t>Mukesh Kumar Raj</t>
  </si>
  <si>
    <t>Ubi bank ke csp provide karwate hai sir kya</t>
  </si>
  <si>
    <t>2024-02-03 13:35:29</t>
  </si>
  <si>
    <t>Spice Money SMA Group  Sir. Please call the help desk on 02268681234</t>
  </si>
  <si>
    <t>2024-02-03 13:30:50</t>
  </si>
  <si>
    <t>Fino Payments Bank 
New CSP model 2024
Contact us 9955225467</t>
  </si>
  <si>
    <t>2024-02-03 13:28:12</t>
  </si>
  <si>
    <t>AchheLal Chaudhary  Sir. Please share your contact number so that we can help</t>
  </si>
  <si>
    <t>2024-02-03 13:27:03</t>
  </si>
  <si>
    <t>New marchand id suru nhi ho rhi hai...</t>
  </si>
  <si>
    <t>2024-02-03 13:22:12</t>
  </si>
  <si>
    <t>Neetish Kumar Yadav Chandrika  https://web4.finobank.com/merchant/products-services/merchant-registration Pls share details</t>
  </si>
  <si>
    <t>2024-02-03 13:20:25</t>
  </si>
  <si>
    <t>Devendra Kumar Singh</t>
  </si>
  <si>
    <t>Sir fino se Jo bhi gift milta hai ooo merchant ko nahi milta hai</t>
  </si>
  <si>
    <t>2024-02-03 13:20:07</t>
  </si>
  <si>
    <t>Md Naiyeer Alam  Sir. Please call the help desk on 02268681234</t>
  </si>
  <si>
    <t>2024-02-03 13:20:00</t>
  </si>
  <si>
    <t>Mohammed Abdul Javid  Sir. Please share your contact number so that we can help</t>
  </si>
  <si>
    <t>2024-02-03 13:18:36</t>
  </si>
  <si>
    <t>महेश डेकाटे  Sir. Please share your contact number so that we can help</t>
  </si>
  <si>
    <t>2024-02-03 13:18:03</t>
  </si>
  <si>
    <t>https://www.finobank.com/individual Pls check!</t>
  </si>
  <si>
    <t>2024-02-03 13:15:25</t>
  </si>
  <si>
    <t>Sonu Sonu  Bilkul hai sir!</t>
  </si>
  <si>
    <t>2024-02-03 13:14:45</t>
  </si>
  <si>
    <t>Gm Patel  Sir. Can you please call the help line on  02268681234</t>
  </si>
  <si>
    <t>2024-02-03 13:14:08</t>
  </si>
  <si>
    <t>Mohd Shakir</t>
  </si>
  <si>
    <t>Security refund krwa do 9252199963</t>
  </si>
  <si>
    <t>2024-02-03 13:13:39</t>
  </si>
  <si>
    <t>Rakesh Barman  Sir. Please call on 02268681234</t>
  </si>
  <si>
    <t>2024-02-03 13:12:40</t>
  </si>
  <si>
    <t>Jishan Khan  Sir. Please share your contact number and we will help</t>
  </si>
  <si>
    <t>2024-02-03 13:10:01</t>
  </si>
  <si>
    <t>Niranjan Ravi: Sir. Please share your contact number so that we can help</t>
  </si>
  <si>
    <t>2024-02-03 13:09:19</t>
  </si>
  <si>
    <t>Mastrammeena_</t>
  </si>
  <si>
    <t>Mastram Meena</t>
  </si>
  <si>
    <t>@FinoPaymntsBank @tushar_panda_ I am working on making Chutiya. I have just opened my account. I have added ₹450. My fund has not been added yet. I will give you complete information. Message me.</t>
  </si>
  <si>
    <t>2024-02-03 13:09:01</t>
  </si>
  <si>
    <t>Sawai madhopur, india</t>
  </si>
  <si>
    <t>@FinoPaymntsBank Why are you making the public crazy, I have transferred Rs 450 to add to the fund, it has been successful, it has been 2 hours, the payment date has not yet come, message me personally, I have the complete information, detailed screenshot.</t>
  </si>
  <si>
    <t>2024-02-03 13:06:20</t>
  </si>
  <si>
    <t>Babul Das</t>
  </si>
  <si>
    <t>Trying to contact from long time but no contact I need retail ID</t>
  </si>
  <si>
    <t>2024-02-03 12:54:48</t>
  </si>
  <si>
    <t>Suraj Sahani K: Please call the help desk on 02268681234</t>
  </si>
  <si>
    <t>2024-02-03 12:53:12</t>
  </si>
  <si>
    <t>Suraj Sahani K  Sir. Can you please call the help desk on 02268681234</t>
  </si>
  <si>
    <t>2024-02-03 12:52:38</t>
  </si>
  <si>
    <t>Fino Payments Bank kam ka bat Nehi korte hoy ye number</t>
  </si>
  <si>
    <t>2024-02-03 12:51:38</t>
  </si>
  <si>
    <t>Santosh Kumar Santu  Hello. How can we help you</t>
  </si>
  <si>
    <t>2024-02-03 12:51:23</t>
  </si>
  <si>
    <t>Ashish Shrivastwa  Sir. Please share your contact number so that we can help</t>
  </si>
  <si>
    <t>2024-02-03 12:51:01</t>
  </si>
  <si>
    <t>Kumar Manish  Sir. Please share your contact number so that we can help</t>
  </si>
  <si>
    <t>2024-02-03 12:50:16</t>
  </si>
  <si>
    <t>Ramesh Chandra Patel  Sir. Please call the helpdesk on 02268681234</t>
  </si>
  <si>
    <t>2024-02-03 12:48:45</t>
  </si>
  <si>
    <t>Rajesh Tendulkar  Sir. Please call the help desk on 02268681234</t>
  </si>
  <si>
    <t>2024-02-03 12:47:53</t>
  </si>
  <si>
    <t>Rohan Choudhuri: https://www.finobank.com/individual Sir, please open your account</t>
  </si>
  <si>
    <t>2024-02-03 12:47:27</t>
  </si>
  <si>
    <t>Srawan Kumar  Sir. Please share your contact number so that we can help</t>
  </si>
  <si>
    <t>2024-02-03 12:46:24</t>
  </si>
  <si>
    <t>Tauseef Ahmad  Sir. Please call the help desk on 02268681234</t>
  </si>
  <si>
    <t>2024-02-03 12:45:34</t>
  </si>
  <si>
    <t>Khomendra Deshmukh  Sir. Can you please call the help desk at 02268681234</t>
  </si>
  <si>
    <t>2024-02-03 12:43:51</t>
  </si>
  <si>
    <t>Sir please account chalu kra do</t>
  </si>
  <si>
    <t>2024-02-03 12:39:29</t>
  </si>
  <si>
    <t>Fino Payments Bank   baat karne ke baad bhi chalu nahi hua sir</t>
  </si>
  <si>
    <t>2024-02-03 12:37:54</t>
  </si>
  <si>
    <t>Mukesh Das Sikandra</t>
  </si>
  <si>
    <t>2024-02-03 12:36:55</t>
  </si>
  <si>
    <t>Vj Cnu  Thank you!</t>
  </si>
  <si>
    <t>2024-02-03 12:35:01</t>
  </si>
  <si>
    <t>2024-02-03 12:34:54</t>
  </si>
  <si>
    <t>Devender Kumar  Sir. Can you please call the help desk on 02268681234</t>
  </si>
  <si>
    <t>2024-02-03 12:34:24</t>
  </si>
  <si>
    <t>Purnavi A  Sir. Please share your contact number so that we can help</t>
  </si>
  <si>
    <t>2024-02-03 12:32:56</t>
  </si>
  <si>
    <t>Sameer Khan  Sir. Please share your contact number so that we can help</t>
  </si>
  <si>
    <t>2024-02-03 12:31:37</t>
  </si>
  <si>
    <t>Gaurav Mourya: Sir. Can you please call the help desk on 02268681234</t>
  </si>
  <si>
    <t>2024-02-03 12:31:02</t>
  </si>
  <si>
    <t>Ramesh Kumar Garg</t>
  </si>
  <si>
    <t>2024-02-03 12:29:37</t>
  </si>
  <si>
    <t>Umesh Patil  Hello. How can we help you.</t>
  </si>
  <si>
    <t>2024-02-03 12:29:26</t>
  </si>
  <si>
    <t>Abhay Gautam  Sir. Can you please share your contact number so that we can help</t>
  </si>
  <si>
    <t>2024-02-03 12:29:08</t>
  </si>
  <si>
    <t>Sohil Khan  Sir. Please call the help desk on 02268681234</t>
  </si>
  <si>
    <t>2024-02-03 12:28:23</t>
  </si>
  <si>
    <t>Shahid Lateef  https://web4.finobank.com/merchant/products-services/merchant-registration Sir, please  share your contact details.</t>
  </si>
  <si>
    <t>2024-02-03 12:28:04</t>
  </si>
  <si>
    <t>Md Ameer Alam: https://web4.finobank.com/merchant/products-services/merchant-registration Sir.  please share your details.</t>
  </si>
  <si>
    <t>2024-02-03 12:27:37</t>
  </si>
  <si>
    <t>Mukhvinder Singh  Sir. Please share your contact number so that we can help</t>
  </si>
  <si>
    <t>2024-02-03 12:27:02</t>
  </si>
  <si>
    <t>Amod Yadav</t>
  </si>
  <si>
    <t>Pasward nahi aya hai</t>
  </si>
  <si>
    <t>2024-02-03 12:26:47</t>
  </si>
  <si>
    <t>Alok Kumar: https://web4.finobank.com/merchant/products-services/merchant-registration Pls share details.</t>
  </si>
  <si>
    <t>2024-02-03 12:26:34</t>
  </si>
  <si>
    <t>Id aagya hai</t>
  </si>
  <si>
    <t>2024-02-03 12:26:29</t>
  </si>
  <si>
    <t>Fino Payments Bank 4 month se 1 week ka samay lete lete 4 month ho gya</t>
  </si>
  <si>
    <t>2024-02-03 12:25:15</t>
  </si>
  <si>
    <t>Hifzur Rahman  Sir. Thank you for your wishes!</t>
  </si>
  <si>
    <t>2024-02-03 12:24:56</t>
  </si>
  <si>
    <t>Biju Kumar Karakonam</t>
  </si>
  <si>
    <t>ഞാൻ 25000 രൂപ കൊടുത്തു വാങ്ങിയ device സർവീസ് നൽകാൻ ആളില്ല.... പറ്റിപ്പു ആരും പറ്റിക്കപെടരുത്</t>
  </si>
  <si>
    <t>2024-02-03 12:22:36</t>
  </si>
  <si>
    <t>Surendra Dholpuriya</t>
  </si>
  <si>
    <t>Phone per server down bahut rahata hai iska technic</t>
  </si>
  <si>
    <t>2024-02-03 12:19:07</t>
  </si>
  <si>
    <t>Sir kisi ka account band Ho jata hai to usko chalu karane ke liye care mein jana padta hai jo ki Highway per nahin milta</t>
  </si>
  <si>
    <t>2024-02-03 12:18:35</t>
  </si>
  <si>
    <t>2024-02-03 12:17:49</t>
  </si>
  <si>
    <t>Chauhan Comm</t>
  </si>
  <si>
    <t>Fino Payments Bank 9582683050</t>
  </si>
  <si>
    <t>2024-02-03 12:16:13</t>
  </si>
  <si>
    <t>Tauseef Ahmad  Sir, please call the help desk on 02268681234</t>
  </si>
  <si>
    <t>2024-02-03 12:15:44</t>
  </si>
  <si>
    <t>Chauhan Comm  Sir. Please share your contact number so that we can help</t>
  </si>
  <si>
    <t>2024-02-03 12:15:22</t>
  </si>
  <si>
    <t>Md Rizwan  Hello. How best can we help</t>
  </si>
  <si>
    <t>2024-02-03 12:14:34</t>
  </si>
  <si>
    <t>Amod Yadav Sir. Please call the help desk on 02268681234</t>
  </si>
  <si>
    <t>2024-02-03 12:14:20</t>
  </si>
  <si>
    <t>Akshaywar Yadav  Sir. https://www.finobank.com/individual pls use this to open bank account</t>
  </si>
  <si>
    <t>2024-02-03 12:13:39</t>
  </si>
  <si>
    <t>Manoj Kumaar  Thank you for your feedback.</t>
  </si>
  <si>
    <t>2024-02-03 12:12:33</t>
  </si>
  <si>
    <t>2024-02-03 12:12:02</t>
  </si>
  <si>
    <t>Anil Kumar Bajoria  Sir. This should be solved shortly.</t>
  </si>
  <si>
    <t>2024-02-03 12:11:34</t>
  </si>
  <si>
    <t>आर. के. आचार्य</t>
  </si>
  <si>
    <t>Sir aap logo ki service achi nahi hai,
Mera Naya Micro ATM update karne ke liye June 2023 me diya gaya tha lekin Aaj Tak koi pahunchane nahi aaya . Na koi reply Mila</t>
  </si>
  <si>
    <t>2024-02-03 12:05:54</t>
  </si>
  <si>
    <t>@jagograhakjago @PiyushGoyal @SadhviNiranjan @AshwiniKChoubey @rohitksingh @PMOIndia @PIB_India @mygovindia I have filed against @FinoPaymntsBank No one getting back my case from @jagograhakjago</t>
  </si>
  <si>
    <t>2024-02-03 11:44:49</t>
  </si>
  <si>
    <t>@FinoPaymntsBank I'll happy, when @RBI  done restriction on @FinoPaymntsBank .@FinoPaymntsBank is restricted my account without reason.</t>
  </si>
  <si>
    <t>2024-02-03 11:42:15</t>
  </si>
  <si>
    <t>Nahi ho raha hai sir</t>
  </si>
  <si>
    <t>2024-02-03 11:40:05</t>
  </si>
  <si>
    <t>2024-02-03 11:39:48</t>
  </si>
  <si>
    <t>Isme paisa fansta bahut hai</t>
  </si>
  <si>
    <t>2024-02-03 11:21:07</t>
  </si>
  <si>
    <t>Raj Kumar</t>
  </si>
  <si>
    <t>Koi nahi sunta hai mere district me</t>
  </si>
  <si>
    <t>2024-02-03 11:00:53</t>
  </si>
  <si>
    <t>@FinoPaymntsBank @FinoPaymntsBank please send me your mail ID then I share my contact number  please resolve my issue as soon as possible</t>
  </si>
  <si>
    <t>2024-02-03 10:55:13</t>
  </si>
  <si>
    <t>@FinoPaymntsBank You give me your mail ID then I mail my contact</t>
  </si>
  <si>
    <t>2024-02-03 10:50:05</t>
  </si>
  <si>
    <t>@FinoPaymntsBank Contact number  sharing is not good this platform please give me other option then  you contact</t>
  </si>
  <si>
    <t>2024-02-03 10:45:23</t>
  </si>
  <si>
    <t>Sanjay Pandit: Sir, please share your contact number so that we can help</t>
  </si>
  <si>
    <t>2024-02-03 10:41:11</t>
  </si>
  <si>
    <t>Rajeev Kumar: https://web4.finobank.com/merchant/products-services/merchant-registration  Please share your contact number</t>
  </si>
  <si>
    <t>2024-02-03 10:40:05</t>
  </si>
  <si>
    <t>Yogesh Gupta  Sir, please call the helpdesk on 02268681234</t>
  </si>
  <si>
    <t>2024-02-03 10:39:02</t>
  </si>
  <si>
    <t>Dev Raj  Sir, Please call the help desk on 02268681234</t>
  </si>
  <si>
    <t>2024-02-03 10:38:13</t>
  </si>
  <si>
    <t>Ginni Mittal</t>
  </si>
  <si>
    <t>ATM kit chahie no combo kit</t>
  </si>
  <si>
    <t>2024-02-03 10:37:43</t>
  </si>
  <si>
    <t>2024-02-03 10:35:52</t>
  </si>
  <si>
    <t>Bijaykumar Nishad: Hello!</t>
  </si>
  <si>
    <t>2024-02-03 10:30:00</t>
  </si>
  <si>
    <t>Bhaskar Jyoti Bora</t>
  </si>
  <si>
    <t>sir assam por ak branch sahiya</t>
  </si>
  <si>
    <t>2024-02-03 10:24:43</t>
  </si>
  <si>
    <t>Davandra Sani Davandra Sani  Sir, please call on 02226281234</t>
  </si>
  <si>
    <t>2024-02-03 10:23:52</t>
  </si>
  <si>
    <t>Adil Rizwan  Sir, can you share your contact number so that we can help</t>
  </si>
  <si>
    <t>2024-02-03 10:23:04</t>
  </si>
  <si>
    <t>Mahesh Sahu  Thank you!</t>
  </si>
  <si>
    <t>2024-02-03 10:17:02</t>
  </si>
  <si>
    <t>Sanjay Lad  Hi Sanjay. How can we help ?</t>
  </si>
  <si>
    <t>2024-02-03 10:16:48</t>
  </si>
  <si>
    <t>Syd Zayyan  Sir, please share your contact number so that we can help</t>
  </si>
  <si>
    <t>2024-02-03 10:12:11</t>
  </si>
  <si>
    <t>विक्रम यादव: https://www.finobank.com/individual</t>
  </si>
  <si>
    <t>2024-02-03 10:08:33</t>
  </si>
  <si>
    <t>Ravindra Singh Nimesh  Sir, Please share your contact number so that we can help</t>
  </si>
  <si>
    <t>2024-02-03 10:07:26</t>
  </si>
  <si>
    <t>Uttam Guria  Good morning. How can we help?</t>
  </si>
  <si>
    <t>2024-02-03 10:03:15</t>
  </si>
  <si>
    <t>Fino Payments Bank: I mailed so many times what they give mail but still they are not responding 😭 still pending</t>
  </si>
  <si>
    <t>2024-02-03 10:03:05</t>
  </si>
  <si>
    <t>Omveer Prajapati  Sir, please call the help desk on 02268681234</t>
  </si>
  <si>
    <t>2024-02-03 10:03:00</t>
  </si>
  <si>
    <t>Radhe Krishna Radhe  https://web4.finobank.com/merchant/products-services/merchant-registration Sir, please share your details.</t>
  </si>
  <si>
    <t>2024-02-03 10:02:39</t>
  </si>
  <si>
    <t>2024-02-03 10:02:21</t>
  </si>
  <si>
    <t>2024-02-03 10:02:02</t>
  </si>
  <si>
    <t>Kant Shashi  Sir, please share your contact number so that we can help?</t>
  </si>
  <si>
    <t>2024-02-03 10:01:39</t>
  </si>
  <si>
    <t>Fino Payments Bank: Helooooo</t>
  </si>
  <si>
    <t>2024-02-03 10:00:31</t>
  </si>
  <si>
    <t>@ShendeDhamma Sir, can you share your contact number so that we can help</t>
  </si>
  <si>
    <t>2024-02-03 09:59:38</t>
  </si>
  <si>
    <t>Cheque kyu nhi lete or finance compny ac nhi leti fino ke</t>
  </si>
  <si>
    <t>2024-02-03 09:59:35</t>
  </si>
  <si>
    <t>Liladhar Suthar  Sir, can you please share your contact number so that we can help</t>
  </si>
  <si>
    <t>2024-02-03 09:59:02</t>
  </si>
  <si>
    <t>Amar Jeet  Sir, can you call the help desk on 02268681234 and we will help</t>
  </si>
  <si>
    <t>2024-02-03 09:56:41</t>
  </si>
  <si>
    <t>@PrincyG39657148 Sir, can you share your contact number so that we can help</t>
  </si>
  <si>
    <t>2024-02-03 09:56:11</t>
  </si>
  <si>
    <t>tushar_panda_</t>
  </si>
  <si>
    <t>Tushar Ranjan Panda</t>
  </si>
  <si>
    <t>@FinoPaymntsBank @rbi</t>
  </si>
  <si>
    <t>2024-02-03 09:50:35</t>
  </si>
  <si>
    <t>@FinoPaymntsBank poor customer support your bank services is very poor ..customer support not helps our customer.</t>
  </si>
  <si>
    <t>2024-02-03 09:46:29</t>
  </si>
  <si>
    <t>Amar Jeet</t>
  </si>
  <si>
    <t>Walkin customer ka bhavishya account open nahi hota kya kare</t>
  </si>
  <si>
    <t>2024-02-03 09:20:54</t>
  </si>
  <si>
    <t>Abdulmomin Qasmi</t>
  </si>
  <si>
    <t>हमारे कई कस्टमर के account block kafi mails bhi koi jawab nhi aata</t>
  </si>
  <si>
    <t>2024-02-03 09:14:46</t>
  </si>
  <si>
    <t>Mohd Shahjhan</t>
  </si>
  <si>
    <t>Mene 600 khata khulwakye he kaha camiction nahi ghusa he</t>
  </si>
  <si>
    <t>2024-02-03 09:04:42</t>
  </si>
  <si>
    <t>अपना बिहार फर्स्ट बिहार</t>
  </si>
  <si>
    <t>2024-02-03 09:03:22</t>
  </si>
  <si>
    <t>Dosto Airtel payment bank ka system le lo, best hai</t>
  </si>
  <si>
    <t>2024-02-03 09:00:08</t>
  </si>
  <si>
    <t>Farzi  system hai, pichle 6 months se me preshan hu</t>
  </si>
  <si>
    <t>2024-02-03 08:55:31</t>
  </si>
  <si>
    <t>M L Thakur ok ho jaiga</t>
  </si>
  <si>
    <t>2024-02-03 08:50:57</t>
  </si>
  <si>
    <t>ShendeDhamma</t>
  </si>
  <si>
    <t>dhamma shende</t>
  </si>
  <si>
    <t>@FinoPaymntsBank  बोकस बँक आहे मर्चंट लोकांची ID ब्लॉक करून पैसे हडप करते hi बँक</t>
  </si>
  <si>
    <t>2024-02-03 08:40:46</t>
  </si>
  <si>
    <t>Shashi Srivastava</t>
  </si>
  <si>
    <t>Fino Payments Bank: लोग बैंक में पैसा सुरक्षित रखने के लिए रखते है चोरों से बचने के लिए बैंक वाला खुद चोरी कर रहा हैं</t>
  </si>
  <si>
    <t>2024-02-03 08:38:09</t>
  </si>
  <si>
    <t>Kant Shashi</t>
  </si>
  <si>
    <t>2024-02-03 08:34:43</t>
  </si>
  <si>
    <t>लोग बैंक में पैसा सुरक्षित रखने के लिए रखते है चोरों से बचने के लिए बैंक वाला खुद चोरी कर रहा हैं</t>
  </si>
  <si>
    <t>2024-02-03 08:34:23</t>
  </si>
  <si>
    <t>2024-02-03 08:33:45</t>
  </si>
  <si>
    <t>2024-02-03 08:33:38</t>
  </si>
  <si>
    <t>2024-02-03 08:33:30</t>
  </si>
  <si>
    <t>2024-02-03 08:33:23</t>
  </si>
  <si>
    <t>2024-02-03 07:53:22</t>
  </si>
  <si>
    <t>Fino Payment Bank Aadhar Center Registration 2024 | fino bank se aadhar center kaise khole 2024</t>
  </si>
  <si>
    <t>2024-02-03 06:30:03</t>
  </si>
  <si>
    <t>Radhe Krishna Radhe</t>
  </si>
  <si>
    <t>Formeltys aur qualification kya lagega.</t>
  </si>
  <si>
    <t>2024-02-03 06:22:34</t>
  </si>
  <si>
    <t>Omveer Prajapati</t>
  </si>
  <si>
    <t>Sir, मेरी डिस्ट्रीब्यूटर id पासवर्ड नहीं मिली है अभी तक. मेरी id chalu करने की मेहरबानी कीजिये</t>
  </si>
  <si>
    <t>2024-02-03 06:05:03</t>
  </si>
  <si>
    <t>Uttam Guria</t>
  </si>
  <si>
    <t>Hi sir good morning</t>
  </si>
  <si>
    <t>2024-02-03 05:09:47</t>
  </si>
  <si>
    <t>Fino Payments Bank 6388790711</t>
  </si>
  <si>
    <t>2024-02-03 03:08:58</t>
  </si>
  <si>
    <t>विक्रम यादव</t>
  </si>
  <si>
    <t>Fino Payments Bank: 6203 045 334</t>
  </si>
  <si>
    <t>2024-02-03 01:51:36</t>
  </si>
  <si>
    <t>Fino Payments Bank: Vikarm yadav</t>
  </si>
  <si>
    <t>2024-02-03 01:51:32</t>
  </si>
  <si>
    <t>2024-02-03 01:51:23</t>
  </si>
  <si>
    <t>2024-02-03 00:19:24</t>
  </si>
  <si>
    <t>Mere 22000/- khaa gye aapke BM Branch loni Ghaziabad UP. Ke उनका नाम vipin hai.</t>
  </si>
  <si>
    <t>2024-02-03 00:14:14</t>
  </si>
  <si>
    <t>Sonu Parihar</t>
  </si>
  <si>
    <t>Charge katna band Karo india top bank ban jayegi fir fino se aage aane wali bank achchhi service de rhi hsin ishliye fino se aage hain kyonki un sabhi bankon ka charge kam hai</t>
  </si>
  <si>
    <t>2024-02-03 00:09:13</t>
  </si>
  <si>
    <t>2024-02-02</t>
  </si>
  <si>
    <t>Syd Zayyan</t>
  </si>
  <si>
    <t>20 hazar rupee phas rahe mere phino Account me wo to nikle ni aaj tak to kaise add ho hum fino bank me bharosa to udd gaya abh fino bank se free me na karau open abh Account</t>
  </si>
  <si>
    <t>2024-02-02 23:59:44</t>
  </si>
  <si>
    <t>Mahesh Sahu</t>
  </si>
  <si>
    <t>2024-02-02 23:50:20</t>
  </si>
  <si>
    <t>Sanjay Lad</t>
  </si>
  <si>
    <t>2024-02-02 23:48:52</t>
  </si>
  <si>
    <t>Bast</t>
  </si>
  <si>
    <t>2024-02-02 23:46:06</t>
  </si>
  <si>
    <t>Adil Rizwan</t>
  </si>
  <si>
    <t>Savi district se fino ka branch band ho rha hai</t>
  </si>
  <si>
    <t>2024-02-02 23:37:13</t>
  </si>
  <si>
    <t>Bakwas service hai</t>
  </si>
  <si>
    <t>2024-02-02 23:36:31</t>
  </si>
  <si>
    <t>Account unblock nahi ho raha hai sir</t>
  </si>
  <si>
    <t>2024-02-02 23:32:56</t>
  </si>
  <si>
    <t>GUPTA COMMUNICATION FINO</t>
  </si>
  <si>
    <t>FINO PAYMENT BANK SE DMT KARNA HUA MUSHKIL</t>
  </si>
  <si>
    <t>2024-02-02 23:27:06</t>
  </si>
  <si>
    <t>Bijaykumar Nishad</t>
  </si>
  <si>
    <t>Fino Payments Bank: Hi hello</t>
  </si>
  <si>
    <t>2024-02-02 23:23:50</t>
  </si>
  <si>
    <t xml:space="preserve">BASU MAMA VLOGS </t>
  </si>
  <si>
    <t>MERA MOBIE 9957747840</t>
  </si>
  <si>
    <t>2024-02-02 22:58:41</t>
  </si>
  <si>
    <t>ASSAM ME SERVICE ACHA NEHI HAI SIR 
DIST DHUBRI</t>
  </si>
  <si>
    <t>2024-02-02 22:57:52</t>
  </si>
  <si>
    <t>Praveen Mishra</t>
  </si>
  <si>
    <t>8579936295 ispe call mil jayega</t>
  </si>
  <si>
    <t>2024-02-02 22:57:00</t>
  </si>
  <si>
    <t>clip</t>
  </si>
  <si>
    <t>2024-02-02 22:55:35</t>
  </si>
  <si>
    <t>2024-02-02 22:55:19</t>
  </si>
  <si>
    <t>Shardanand Prasad</t>
  </si>
  <si>
    <t>Good evening sir</t>
  </si>
  <si>
    <t>2024-02-02 22:54:12</t>
  </si>
  <si>
    <t>Numaz Ali</t>
  </si>
  <si>
    <t>Account opening rs 450 not allowed</t>
  </si>
  <si>
    <t>2024-02-02 22:52:25</t>
  </si>
  <si>
    <t>Dev Raj</t>
  </si>
  <si>
    <t>S
Shop verry fe</t>
  </si>
  <si>
    <t>2024-02-02 22:51:40</t>
  </si>
  <si>
    <t>Yogesh Gupta</t>
  </si>
  <si>
    <t>small finance Ane ke badd merchant ko business milega</t>
  </si>
  <si>
    <t>2024-02-02 22:46:50</t>
  </si>
  <si>
    <t>Devraj Id se paise nahi nik l raha hai</t>
  </si>
  <si>
    <t>2024-02-02 22:46:17</t>
  </si>
  <si>
    <t>Merchant I'd password last 4 month she nahi aya he air</t>
  </si>
  <si>
    <t>2024-02-02 22:45:37</t>
  </si>
  <si>
    <t>Rajeev Kumar</t>
  </si>
  <si>
    <t>Fino Payments Bank: Id</t>
  </si>
  <si>
    <t>2024-02-02 22:38:54</t>
  </si>
  <si>
    <t>2024-02-02 22:38:38</t>
  </si>
  <si>
    <t>2024-02-02 22:38:28</t>
  </si>
  <si>
    <t>2024-02-02 22:38:23</t>
  </si>
  <si>
    <t>MD Tabrez</t>
  </si>
  <si>
    <t>Saharsa District  mai Branch ki जरूरत है</t>
  </si>
  <si>
    <t>2024-02-02 22:35:56</t>
  </si>
  <si>
    <t>Anil S</t>
  </si>
  <si>
    <t>2024-02-02 22:34:10</t>
  </si>
  <si>
    <t>Akshaywar Yadav</t>
  </si>
  <si>
    <t>Zero account kholna hai</t>
  </si>
  <si>
    <t>2024-02-02 22:27:31</t>
  </si>
  <si>
    <t>Fino Payments Bank: हमे</t>
  </si>
  <si>
    <t>2024-02-02 22:24:07</t>
  </si>
  <si>
    <t>Fino Payments Bank: Please call me</t>
  </si>
  <si>
    <t>2024-02-02 22:24:03</t>
  </si>
  <si>
    <t>Anil Kumar Bajoria</t>
  </si>
  <si>
    <t>NBFCS finance aapka bank ac validate nahi Karte pls solve this issue</t>
  </si>
  <si>
    <t>2024-02-02 22:18:52</t>
  </si>
  <si>
    <t>DrSiddharth Kumar</t>
  </si>
  <si>
    <t>इसका भी Paytm वाला हाल होगा!! बहुत ही बकवास कस्टमर केअर है इसका!!कोई सुनवाई नहीं!! वीडियो कॉल द्वारा KYC की सुविधा तक ढंग की नहीं है!</t>
  </si>
  <si>
    <t>2024-02-02 22:08:35</t>
  </si>
  <si>
    <t>Møsãrâf Khãñ</t>
  </si>
  <si>
    <t>2024-02-02 22:07:54</t>
  </si>
  <si>
    <t>2024-02-02 22:03:09</t>
  </si>
  <si>
    <t>Joseph Jeevanand Kommuguri</t>
  </si>
  <si>
    <t>English version needed SIR</t>
  </si>
  <si>
    <t>2024-02-02 22:02:23</t>
  </si>
  <si>
    <t>2024-02-02 22:00:43</t>
  </si>
  <si>
    <t>Manoj Kumaar</t>
  </si>
  <si>
    <t>Launch merchant self verification and address verification feature.and also right to use unblock, block user ID.</t>
  </si>
  <si>
    <t>2024-02-02 21:59:03</t>
  </si>
  <si>
    <t>Mithu Soni</t>
  </si>
  <si>
    <t>Account opening charges bahut h tora km kijiye</t>
  </si>
  <si>
    <t>2024-02-02 21:58:22</t>
  </si>
  <si>
    <t>AEPS nhi kaam karta h</t>
  </si>
  <si>
    <t>2024-02-02 21:58:02</t>
  </si>
  <si>
    <t>Me aplai kiya hu abtak  pasward nahi aaya</t>
  </si>
  <si>
    <t>2024-02-02 21:55:45</t>
  </si>
  <si>
    <t>2024-02-02 21:54:31</t>
  </si>
  <si>
    <t>Md Rizwan</t>
  </si>
  <si>
    <t>2024-02-02 21:53:55</t>
  </si>
  <si>
    <t>सौरव यादव</t>
  </si>
  <si>
    <t>Katihar Bihar
में रजिस्टर्ड नहीं है</t>
  </si>
  <si>
    <t>2024-02-02 21:49:30</t>
  </si>
  <si>
    <t>Youtag business plan.
Install YOUTAG BIZ and get Registered Using My ID:-17109462 to Get Registration Benefit
https://play.google.com/store/apps/details?id=com.youtagindia.business&amp;amp;referrer=utm_source%3Dgoogle%26utm_campaign%3D17109462
Whats app link:https://wa.link/x5fln5
#networkmarketing #lifestyle #mlm #followers Fino Payments Bank Sunil Kushwaha Devesh Shukla Youtag</t>
  </si>
  <si>
    <t>2024-02-02 21:38:12</t>
  </si>
  <si>
    <t>Fino Payments Bank: Kabhi ap market bhi AO tab pata Karo live ane ka kya fayda</t>
  </si>
  <si>
    <t>2024-02-02 21:37:13</t>
  </si>
  <si>
    <t>2024-02-02 21:36:47</t>
  </si>
  <si>
    <t>Ap apna mobile number send karo fir apko batata hu marchant ko kya kya problem h</t>
  </si>
  <si>
    <t>2024-02-02 21:35:36</t>
  </si>
  <si>
    <t>I'd password nahi mil rha hai 4month se</t>
  </si>
  <si>
    <t>2024-02-02 21:35:24</t>
  </si>
  <si>
    <t>Rahul Maurya</t>
  </si>
  <si>
    <t>Please apni DMT services sahi karo</t>
  </si>
  <si>
    <t>2024-02-02 21:30:56</t>
  </si>
  <si>
    <t>2024-02-02 21:30:30</t>
  </si>
  <si>
    <t>Ankit Hada</t>
  </si>
  <si>
    <t>Fino Payments Bank: Atm card🏧💳</t>
  </si>
  <si>
    <t>2024-02-02 21:25:24</t>
  </si>
  <si>
    <t>Hifzur Rahman</t>
  </si>
  <si>
    <t>Fino small finance bank kab tak hoja sir??</t>
  </si>
  <si>
    <t>2024-02-02 21:24:37</t>
  </si>
  <si>
    <t>2024-02-02 21:24:10</t>
  </si>
  <si>
    <t>Fino small finance bank kab tak hoja</t>
  </si>
  <si>
    <t>2024-02-02 21:23:45</t>
  </si>
  <si>
    <t>2024-02-02 21:23:15</t>
  </si>
  <si>
    <t>Sir fino small finance Bank kab tak hoga???</t>
  </si>
  <si>
    <t>2024-02-02 21:21:01</t>
  </si>
  <si>
    <t>2024-02-02 21:14:21</t>
  </si>
  <si>
    <t>Bablu Bihari blog</t>
  </si>
  <si>
    <t>Yes sahi</t>
  </si>
  <si>
    <t>2024-02-02 21:10:27</t>
  </si>
  <si>
    <t>Girish_Pargi_90</t>
  </si>
  <si>
    <t>GirishbhaiPargi_bjp</t>
  </si>
  <si>
    <t>@FinoPaymntsBank https://t.co/UXa17bFr3h</t>
  </si>
  <si>
    <t>2024-02-02 21:05:51</t>
  </si>
  <si>
    <t>Upen Sona Amar</t>
  </si>
  <si>
    <t>Account change free Karo West Bengal</t>
  </si>
  <si>
    <t>2024-02-02 21:02:57</t>
  </si>
  <si>
    <t>Fino Payments Bank: Mujhe ban id chaiye aap de sakte hay</t>
  </si>
  <si>
    <t>2024-02-02 20:58:43</t>
  </si>
  <si>
    <t>Mukhvinder Singh</t>
  </si>
  <si>
    <t>सर आपके कर्मचारी खुदके  डिस्ट्रीब्यूटर बनाए बैठे है हम मेहनत कर के id बनाते है और वो देख के कोन अच्छे ac खोल रहा है ओस को खुद k में मैप करवा लेते है</t>
  </si>
  <si>
    <t>2024-02-02 20:56:57</t>
  </si>
  <si>
    <t>2024-02-02 20:51:36</t>
  </si>
  <si>
    <t>Fino Payments Bank: Mujhe fino ka I'd chahiye
8521243689</t>
  </si>
  <si>
    <t>2024-02-02 20:50:29</t>
  </si>
  <si>
    <t>Mujhe fino ka I'd chahiye
**********</t>
  </si>
  <si>
    <t>2024-02-02 20:50:24</t>
  </si>
  <si>
    <t>Shahid Lateef</t>
  </si>
  <si>
    <t>Required Fino merchant I'd Mobile number 9209960662</t>
  </si>
  <si>
    <t>2024-02-02 20:47:29</t>
  </si>
  <si>
    <t>Mujhe fino ka I'd chahiye
8521243689</t>
  </si>
  <si>
    <t>2024-02-02 20:47:23</t>
  </si>
  <si>
    <t>Sohil Khan</t>
  </si>
  <si>
    <t>Sir my account is blocked Halp me</t>
  </si>
  <si>
    <t>2024-02-02 20:41:44</t>
  </si>
  <si>
    <t>Raviprakash Kumar</t>
  </si>
  <si>
    <t>Kaha se hai sir</t>
  </si>
  <si>
    <t>2024-02-02 20:41:03</t>
  </si>
  <si>
    <t>Umesh Patil</t>
  </si>
  <si>
    <t>Fino Payments Bank: Hh</t>
  </si>
  <si>
    <t>2024-02-02 20:40:54</t>
  </si>
  <si>
    <t>फ्रॉड है यह बैंक इस बैंक के एम्पलाई ने डिस्ट्रीब्यूटर ID के नाम पर मुझे ₹12000 ले लिए है और बाहरी पढ़ने नहीं कर रहा है फ्रॉड है यह बैंक कोई भी इससे ना जुड़े आपके फायदे के लिए है बोल रहा हूं मैं धन्यवाद</t>
  </si>
  <si>
    <t>2024-02-02 20:39:36</t>
  </si>
  <si>
    <t>Hii sir ji</t>
  </si>
  <si>
    <t>2024-02-02 20:39:19</t>
  </si>
  <si>
    <t>Monu Pandit</t>
  </si>
  <si>
    <t>Ji</t>
  </si>
  <si>
    <t>2024-02-02 20:38:52</t>
  </si>
  <si>
    <t>2024-02-02 20:38:49</t>
  </si>
  <si>
    <t>Gaurav Mourya</t>
  </si>
  <si>
    <t>Fino Payments Bank: Fino mitra app par morpho L1 device kab se work karegi?</t>
  </si>
  <si>
    <t>2024-02-02 20:32:31</t>
  </si>
  <si>
    <t>Fino Payments Bank sir</t>
  </si>
  <si>
    <t>2024-02-02 20:31:13</t>
  </si>
  <si>
    <t>Sameer Khan</t>
  </si>
  <si>
    <t>अपणी service sudharo gatiya service de रहे आपके पास आपने ऐसें लोगो को जॉब दे रखे है जिसको कुच भी नहीं आता सबसे पहले अपने emoly को निकाल दो aur नये emoly भरती करो</t>
  </si>
  <si>
    <t>2024-02-02 20:29:50</t>
  </si>
  <si>
    <t>Purnavi A</t>
  </si>
  <si>
    <t>2024-02-02 20:24:54</t>
  </si>
  <si>
    <t>2024-02-02 20:24:23</t>
  </si>
  <si>
    <t>2024-02-02 20:24:02</t>
  </si>
  <si>
    <t>Awadhesh Kumar</t>
  </si>
  <si>
    <t>Laura</t>
  </si>
  <si>
    <t>2024-02-02 20:23:59</t>
  </si>
  <si>
    <t>Jaswant Vishvakarma</t>
  </si>
  <si>
    <t>Sachin Kumar rbi किसाइट पर कंप्लेंट डाल दो</t>
  </si>
  <si>
    <t>2024-02-02 20:22:52</t>
  </si>
  <si>
    <t>Jignesh Giri आरबीआई की साइट पर जाकर कंप्लेंट डाल दो</t>
  </si>
  <si>
    <t>2024-02-02 20:21:13</t>
  </si>
  <si>
    <t>Harikesh Rajbhar</t>
  </si>
  <si>
    <t>2024-02-02 20:20:54</t>
  </si>
  <si>
    <t>Sab chor bathe hai</t>
  </si>
  <si>
    <t>2024-02-02 20:19:14</t>
  </si>
  <si>
    <t>Rabin Singh</t>
  </si>
  <si>
    <t>Sponsored 😂
Mouka ka fayada🤪</t>
  </si>
  <si>
    <t>2024-02-02 20:14:01</t>
  </si>
  <si>
    <t>Ashish Kumar</t>
  </si>
  <si>
    <t>2024-02-02 20:09:52</t>
  </si>
  <si>
    <t>M L Thakur</t>
  </si>
  <si>
    <t>Merchant ki commission increase karo</t>
  </si>
  <si>
    <t>2024-02-02 19:55:35</t>
  </si>
  <si>
    <t>Fino mitra app par morpho L1 device kab work karegi</t>
  </si>
  <si>
    <t>2024-02-02 19:53:38</t>
  </si>
  <si>
    <t>Ibrahim HR</t>
  </si>
  <si>
    <t>Hi ser</t>
  </si>
  <si>
    <t>2024-02-02 19:51:07</t>
  </si>
  <si>
    <t>Devender Kumar</t>
  </si>
  <si>
    <t>Sir merchant koi problem ka solution jaldi hona chaiye Mera atm tempered dikha rehaa thaa use thik hone ke liye Diya hua hai do mahine se jyaada ho gay hai</t>
  </si>
  <si>
    <t>2024-02-02 19:50:49</t>
  </si>
  <si>
    <t>Zero balance Account opening kordiyea please</t>
  </si>
  <si>
    <t>2024-02-02 19:50:18</t>
  </si>
  <si>
    <t>Ranjan Singh</t>
  </si>
  <si>
    <t>2024-02-02 19:44:20</t>
  </si>
  <si>
    <t>Zero account opening kordiyea</t>
  </si>
  <si>
    <t>2024-02-02 19:44:17</t>
  </si>
  <si>
    <t>We are thrilled to announce that our net profit stands at ₹23 crore with our CASA customer base reaching 1 crore milestone. Click to read more about it.
https://t.co/yP1pEx5b45
#FinoPaymentsBank #FikarNot #FinoBanker #DigitalBanking #SecureBanking #quarterlyresults</t>
  </si>
  <si>
    <t>2024-02-02 19:43:30</t>
  </si>
  <si>
    <t>2024-02-02 19:42:27</t>
  </si>
  <si>
    <t>Vj Cnu</t>
  </si>
  <si>
    <t>Good service</t>
  </si>
  <si>
    <t>2024-02-02 19:42:19</t>
  </si>
  <si>
    <t>Alok Singh</t>
  </si>
  <si>
    <t>Sir 🙏</t>
  </si>
  <si>
    <t>2024-02-02 19:41:16</t>
  </si>
  <si>
    <t>Account charges free hoga chiye sir please only</t>
  </si>
  <si>
    <t>2024-02-02 19:41:06</t>
  </si>
  <si>
    <t>Amlig</t>
  </si>
  <si>
    <t>2024-02-02 19:32:27</t>
  </si>
  <si>
    <t>2024-02-02 19:32:12</t>
  </si>
  <si>
    <t>2024-02-02 19:31:49</t>
  </si>
  <si>
    <t>2024-02-02 19:31:43</t>
  </si>
  <si>
    <t>2024-02-02 19:31:25</t>
  </si>
  <si>
    <t>Khomendra Deshmukh</t>
  </si>
  <si>
    <t>Sir mere I'd ko disturbar k liye aawedan kar chuka hun 3 month ho Gaya chalu nahi huwa hai</t>
  </si>
  <si>
    <t>2024-02-02 19:26:47</t>
  </si>
  <si>
    <t>Mohd Ali</t>
  </si>
  <si>
    <t>Loan chahiye Loan ham dila ke denge 1Lakh se15 Lakh tak.contact 9760205694
🙏🙏froud company se bacho.bhut asaan he jaankari na hone per froud hota he</t>
  </si>
  <si>
    <t>2024-02-02 19:18:13</t>
  </si>
  <si>
    <t>Sir I'd password nahi mila 4month ho pement ho gya hai</t>
  </si>
  <si>
    <t>2024-02-02 19:18:12</t>
  </si>
  <si>
    <t>Vishnu Desai</t>
  </si>
  <si>
    <t>Atleast one master device should be registered Yeh problem solve kajiye</t>
  </si>
  <si>
    <t>2024-02-02 19:17:02</t>
  </si>
  <si>
    <t>Abhishek Pandey sir aap kya post hai kha se hai</t>
  </si>
  <si>
    <t>2024-02-02 19:15:05</t>
  </si>
  <si>
    <t>Our efforts resulted in significant customer base expansion, crossing the 1 crore CASA customer mark." said Rishi Gupta, MD &amp; CEO, Fino Payments Bank as the bank announced a net profit of ₹23 crore.
Read the article below to know more. 
#FinoPaymentsBank #FikarNot #FinoBanker #DigitalBanking #SecureBanking #HarDinFino #FinoPay #QuarterlyResults
Its revenue for the quarter was 18% higher at Rs 370 crore while EBITDA expanded by 30% to Rs 50.5 crore. Overall throughput value grew by 42% year-on-year to Rs 93,323 crore while digital throughput within it grew 184% to Rs 38,187 crore.</t>
  </si>
  <si>
    <t>2024-02-02 19:14:58</t>
  </si>
  <si>
    <t>প্রিয় আমার ভালোবাসা তুমার hamare yaha free hai account opening</t>
  </si>
  <si>
    <t>2024-02-02 19:12:59</t>
  </si>
  <si>
    <t>Our efforts resulted in significant customer base expansion, crossing the 1 crore CASA customer mark." said Rishi Gupta, MD &amp; CEO, Fino Payments Bank as the bank announced a net profit of 23 crore.
Read the article below to know more.
https://lnkd.in/dMTg58dF
{hashtag|\#|FinoPaymentsBank}{hashtag|\#|FikarNot}{hashtag|\#|FinoBanker}{hashtag|\#|DigitalBanking}{hashtag|\#|SecureBanking}{hashtag|\#|HarDinFino}{hashtag|\#|FinoPay} {hashtag|\#|quarterlyresults}</t>
  </si>
  <si>
    <t>2024-02-02 19:12:31</t>
  </si>
  <si>
    <t>Sir 4mahine ho gya I'd password nahi mila sab ok hai kuch batao</t>
  </si>
  <si>
    <t>2024-02-02 19:11:58</t>
  </si>
  <si>
    <t>Krishna Kumar</t>
  </si>
  <si>
    <t>2024-02-02 19:08:53</t>
  </si>
  <si>
    <t>Srawan Kumar</t>
  </si>
  <si>
    <t>Ye loge marchant ko saport nahi karte to customers ka khyal rakenge 15 din ho Gaye abhi Tak meri I'd active nahi karwa paye</t>
  </si>
  <si>
    <t>2024-02-02 19:03:18</t>
  </si>
  <si>
    <t>Upi transaction me paisa cut hurt haii</t>
  </si>
  <si>
    <t>2024-02-02 18:50:01</t>
  </si>
  <si>
    <t>Sir phone pay me paisa kat rahaii</t>
  </si>
  <si>
    <t>2024-02-02 18:49:20</t>
  </si>
  <si>
    <t>Passbook print commission nahi Ara hai</t>
  </si>
  <si>
    <t>2024-02-02 18:48:37</t>
  </si>
  <si>
    <t>Bablu Kumar sahu sdbr</t>
  </si>
  <si>
    <t>2024-02-02 18:48:02</t>
  </si>
  <si>
    <t>Ved Prakash Singh</t>
  </si>
  <si>
    <t>फिनो बाले तो ठीक से बात ही नहीं करते हैं। तो खाता क्या खोलेंगे। सैय्यदराजा बा्ंच जिला चन्दौली</t>
  </si>
  <si>
    <t>2024-02-02 18:47:40</t>
  </si>
  <si>
    <t>Mubarak Hussain</t>
  </si>
  <si>
    <t>Mujhe koi certificate or benar I'd card nahi Mila sir</t>
  </si>
  <si>
    <t>2024-02-02 18:43:04</t>
  </si>
  <si>
    <t>Rajesh Tendulkar</t>
  </si>
  <si>
    <t>Aeps se withdrawal nhi ho pa raha hai</t>
  </si>
  <si>
    <t>2024-02-02 18:42:19</t>
  </si>
  <si>
    <t>Rohan Choudhuri</t>
  </si>
  <si>
    <t>Fino Payments Bank: I want to open an account please help me</t>
  </si>
  <si>
    <t>2024-02-02 18:42:01</t>
  </si>
  <si>
    <t>PRATHAM SAVIVIG ACCOUNT KA PASBOOK KAB MILEGA</t>
  </si>
  <si>
    <t>2024-02-02 18:41:03</t>
  </si>
  <si>
    <t>Fino main account kaise khole | fino me account kaise khole bina pan card ke 2024</t>
  </si>
  <si>
    <t>2024-02-02 18:38:40</t>
  </si>
  <si>
    <t>2024-02-02 18:38:31</t>
  </si>
  <si>
    <t>Biometric unblock krke</t>
  </si>
  <si>
    <t>2024-02-02 18:38:10</t>
  </si>
  <si>
    <t>Unlock bhi kr sakte hain</t>
  </si>
  <si>
    <t>2024-02-02 18:37:54</t>
  </si>
  <si>
    <t>Ramesh Chandra Patel</t>
  </si>
  <si>
    <t>Id block hai 7din se branch se koi jbab nhi arha hai so please salution</t>
  </si>
  <si>
    <t>2024-02-02 18:37:50</t>
  </si>
  <si>
    <t>Sumit Sagar</t>
  </si>
  <si>
    <t>Good Evening Sir ji 🙏</t>
  </si>
  <si>
    <t>2024-02-02 18:37:07</t>
  </si>
  <si>
    <t>Sir id blocked ho gya hai please salution</t>
  </si>
  <si>
    <t>2024-02-02 18:31:15</t>
  </si>
  <si>
    <t>Makvana Sagar</t>
  </si>
  <si>
    <t>Service nahi mill Raha</t>
  </si>
  <si>
    <t>2024-02-02 18:30:58</t>
  </si>
  <si>
    <t>Commission low</t>
  </si>
  <si>
    <t>2024-02-02 18:30:40</t>
  </si>
  <si>
    <t>Sandeep Kumar Sharma</t>
  </si>
  <si>
    <t>Service achi nahi hai sir ji</t>
  </si>
  <si>
    <t>2024-02-02 18:30:21</t>
  </si>
  <si>
    <t>Cheak book pass kardijia</t>
  </si>
  <si>
    <t>2024-02-02 18:29:50</t>
  </si>
  <si>
    <t>Fino Payments Bank: No one solve my problem</t>
  </si>
  <si>
    <t>2024-02-02 18:28:51</t>
  </si>
  <si>
    <t>Fino Payments Bank: I need emergency</t>
  </si>
  <si>
    <t>2024-02-02 18:28:40</t>
  </si>
  <si>
    <t>Áñárúl Mómíñ</t>
  </si>
  <si>
    <t>Sir Small Finance Bank ki Kiya update he??</t>
  </si>
  <si>
    <t>2024-02-02 18:27:12</t>
  </si>
  <si>
    <t>Kumar Manish</t>
  </si>
  <si>
    <t>Customer Care Support Bahut Bekar hai</t>
  </si>
  <si>
    <t>2024-02-02 18:27:09</t>
  </si>
  <si>
    <t>Sir kam bahut let hota he</t>
  </si>
  <si>
    <t>2024-02-02 18:25:53</t>
  </si>
  <si>
    <t>Aapk aadhakari dhokha dete hai sir</t>
  </si>
  <si>
    <t>2024-02-02 18:24:13</t>
  </si>
  <si>
    <t>Mk Kumar Siddharth</t>
  </si>
  <si>
    <t>2024-02-02 18:17:04</t>
  </si>
  <si>
    <t>2024-02-02 18:16:48</t>
  </si>
  <si>
    <t>Santosh Kumar Santu</t>
  </si>
  <si>
    <t>2024-02-02 18:14:53</t>
  </si>
  <si>
    <t>Vivek Sah</t>
  </si>
  <si>
    <t>Fino small finance kb tk bn jayega</t>
  </si>
  <si>
    <t>2024-02-02 18:07:43</t>
  </si>
  <si>
    <t>Suraj Sahani K</t>
  </si>
  <si>
    <t>Mera id password chalu huaa nhi</t>
  </si>
  <si>
    <t>2024-02-02 18:06:42</t>
  </si>
  <si>
    <t>sir ji assam mai branch Sahiya...</t>
  </si>
  <si>
    <t>2024-02-02 18:06:24</t>
  </si>
  <si>
    <t>Fino Payments Bank: Chalu huaa hai</t>
  </si>
  <si>
    <t>2024-02-02 18:05:21</t>
  </si>
  <si>
    <t>Fino Payments Bank: Sir id password nhi</t>
  </si>
  <si>
    <t>2024-02-02 18:05:17</t>
  </si>
  <si>
    <t>Cv Ganesh Prasad Rawani</t>
  </si>
  <si>
    <t>2024-02-02 18:05:11</t>
  </si>
  <si>
    <t>Santosh Rudra</t>
  </si>
  <si>
    <t>চোর চোর চিটিংবাজ বেইমান</t>
  </si>
  <si>
    <t>2024-02-02 18:03:36</t>
  </si>
  <si>
    <t>Ssandhya Panddey</t>
  </si>
  <si>
    <t>Very good</t>
  </si>
  <si>
    <t>2024-02-02 18:03:22</t>
  </si>
  <si>
    <t>ফালতু তু ব্যাংক চোর চিটিংবাজ</t>
  </si>
  <si>
    <t>2024-02-02 18:03:07</t>
  </si>
  <si>
    <t>Sir mere use id password nhi mil hai 6206553791</t>
  </si>
  <si>
    <t>2024-02-02 18:02:55</t>
  </si>
  <si>
    <t>450 band kigiye</t>
  </si>
  <si>
    <t>2024-02-02 18:01:01</t>
  </si>
  <si>
    <t>Abhinay Davane</t>
  </si>
  <si>
    <t>2024-02-02 18:00:41</t>
  </si>
  <si>
    <t>Aditya Raj Mehta</t>
  </si>
  <si>
    <t>Fino bekar hai koi kam dham nahi ho pata hai isse</t>
  </si>
  <si>
    <t>2024-02-02 17:59:30</t>
  </si>
  <si>
    <t>2024-02-02 17:58:48</t>
  </si>
  <si>
    <t>Salary account mein MAB AYEEGE KYA????</t>
  </si>
  <si>
    <t>2024-02-02 17:55:50</t>
  </si>
  <si>
    <t>Mab ke report kaise le sakte hain</t>
  </si>
  <si>
    <t>2024-02-02 17:54:44</t>
  </si>
  <si>
    <t>Rahman Ansari</t>
  </si>
  <si>
    <t>Ap kon ho sir</t>
  </si>
  <si>
    <t>2024-02-02 17:53:44</t>
  </si>
  <si>
    <t>Annual scheme plz repeat</t>
  </si>
  <si>
    <t>2024-02-02 17:52:23</t>
  </si>
  <si>
    <t>2024-02-02 17:51:00</t>
  </si>
  <si>
    <t>Local Level Pe Marchent ko help ke liye koi CRO, CSO and culaster Head Propar Training nhi hai</t>
  </si>
  <si>
    <t>2024-02-02 17:50:09</t>
  </si>
  <si>
    <t>Account opening hone ke baad Bhi agar Marchant dwara Agar kuchh problem ho Jaye tho koi help karne wala nhi hai</t>
  </si>
  <si>
    <t>2024-02-02 17:48:43</t>
  </si>
  <si>
    <t>Niranjan Ravi</t>
  </si>
  <si>
    <t>Fino Payments Bank: Sir ji hamare jila datiya MP mein bhander tahsil mein koi guide karne wala Nahin Hai</t>
  </si>
  <si>
    <t>2024-02-02 17:47:41</t>
  </si>
  <si>
    <t>Gopal Parihar</t>
  </si>
  <si>
    <t>फिनो ऐप को कैसे चालू किया जाए</t>
  </si>
  <si>
    <t>2024-02-02 17:46:47</t>
  </si>
  <si>
    <t>Jishan Khan</t>
  </si>
  <si>
    <t>5 sal se kaam kar rha hu Fino Payments Bank ke shath mgr aaj tak ANB COMISON NHI MILA HE</t>
  </si>
  <si>
    <t>2024-02-02 17:46:29</t>
  </si>
  <si>
    <t>2024-02-02 17:46:07</t>
  </si>
  <si>
    <t>Vijay Singh Baghel</t>
  </si>
  <si>
    <t>Gramin area me account open charges bahut jyada he sir, aur commission bhi bahut kaam he aeps ka</t>
  </si>
  <si>
    <t>2024-02-02 17:45:47</t>
  </si>
  <si>
    <t>Santosh Kumar Pradhan</t>
  </si>
  <si>
    <t>Account charges free karo</t>
  </si>
  <si>
    <t>2024-02-02 17:44:54</t>
  </si>
  <si>
    <t>5 sal se kaam kar rha hu fino ke shath mgr aaj tak anb cmison nhi mila he</t>
  </si>
  <si>
    <t>2024-02-02 17:44:34</t>
  </si>
  <si>
    <t>Rajendra Kumar Mandal</t>
  </si>
  <si>
    <t>Id lene me vhut paisa khojta h</t>
  </si>
  <si>
    <t>2024-02-02 17:43:25</t>
  </si>
  <si>
    <t>Only 25 rupesh hi milte he</t>
  </si>
  <si>
    <t>2024-02-02 17:39:00</t>
  </si>
  <si>
    <t>Soumya Dutta</t>
  </si>
  <si>
    <t>Ak bhat pucho apko zoro belence account se upi 20 se jada hoga to 59 paisha charge katliya plz a bhadh kijiye sir plz🙏🙏</t>
  </si>
  <si>
    <t>2024-02-02 17:38:55</t>
  </si>
  <si>
    <t>Chandu Thakur</t>
  </si>
  <si>
    <t>2024-02-02 17:37:02</t>
  </si>
  <si>
    <t>2024-02-02 17:36:41</t>
  </si>
  <si>
    <t>Dhananjay Kumar</t>
  </si>
  <si>
    <t>Great Sir!</t>
  </si>
  <si>
    <t>2024-02-02 17:35:34</t>
  </si>
  <si>
    <t>zero balance khata kr do sir</t>
  </si>
  <si>
    <t>2024-02-02 17:34:36</t>
  </si>
  <si>
    <t>Santosh Kumar Jha</t>
  </si>
  <si>
    <t>Fino Payments Bank: Fino payment Bank ka ID chahie</t>
  </si>
  <si>
    <t>2024-02-02 17:34:18</t>
  </si>
  <si>
    <t>Naga Chantati</t>
  </si>
  <si>
    <t>Sir my BC Marchant ID is 151872907, problem is web &amp;mobile login pls resovle the problem and your Backend techinical</t>
  </si>
  <si>
    <t>2024-02-02 17:28:27</t>
  </si>
  <si>
    <t>RK Wholesalers</t>
  </si>
  <si>
    <t>Ham merchant ko sirf gali milti h customer se fino se kuch nhi milta</t>
  </si>
  <si>
    <t>2024-02-02 17:26:12</t>
  </si>
  <si>
    <t>Satyam ĸʋɱaʀ Jʜa</t>
  </si>
  <si>
    <t>2024-02-02 17:25:22</t>
  </si>
  <si>
    <t>Rakesh Barman</t>
  </si>
  <si>
    <t>Hi amar account ta inactive hoye geche kintu amader ekhane je sob CSP CRENTER chilo ekhon Tara ar fino bank a kaj kore 
Dada amar account ta activate Kora jabe dile valo bank a taka ache</t>
  </si>
  <si>
    <t>2024-02-02 17:20:58</t>
  </si>
  <si>
    <t>2024-02-02 17:17:11</t>
  </si>
  <si>
    <t>2024-02-02 17:16:40</t>
  </si>
  <si>
    <t>Basavaraj C Guled</t>
  </si>
  <si>
    <t>2024-02-02 17:14:46</t>
  </si>
  <si>
    <t>Koppal</t>
  </si>
  <si>
    <t>2024-02-02 17:14:31</t>
  </si>
  <si>
    <t>No technician in Goa</t>
  </si>
  <si>
    <t>2024-02-02 17:13:06</t>
  </si>
  <si>
    <t>Amit Kumar Gupta</t>
  </si>
  <si>
    <t>Mobile se login karne par Aeps open nhi hota hai.</t>
  </si>
  <si>
    <t>2024-02-02 17:11:28</t>
  </si>
  <si>
    <t>Mera id login problem ho rha hai.</t>
  </si>
  <si>
    <t>2024-02-02 17:10:37</t>
  </si>
  <si>
    <t>Fino payment bank aur paytm payment bank me kya diffrence hai</t>
  </si>
  <si>
    <t>2024-02-02 17:10:02</t>
  </si>
  <si>
    <t>manoj_mano_5647</t>
  </si>
  <si>
    <t>Froud bank account freeze karke response nahi dethi maadhrchod bank mandhachod employee</t>
  </si>
  <si>
    <t>2024-02-02 17:09:46</t>
  </si>
  <si>
    <t>Izhar Ashraf</t>
  </si>
  <si>
    <t>Debit card charge 449 bahut jyada le raha hai</t>
  </si>
  <si>
    <t>2024-02-02 17:09:30</t>
  </si>
  <si>
    <t>Gm Patel</t>
  </si>
  <si>
    <t>sir meri id bloock ho gai .fingrs se ho nhi rhi costmar cayr koi saport nhi</t>
  </si>
  <si>
    <t>2024-02-02 17:09:06</t>
  </si>
  <si>
    <t>Bhomaram Bhatia</t>
  </si>
  <si>
    <t>2024-02-02 17:07:33</t>
  </si>
  <si>
    <t>Kr Satyam</t>
  </si>
  <si>
    <t>2024-02-02 17:06:54</t>
  </si>
  <si>
    <t>Sonu Sonu</t>
  </si>
  <si>
    <t>Sir dehli  branch nh hai</t>
  </si>
  <si>
    <t>2024-02-02 17:06:28</t>
  </si>
  <si>
    <t>Sunil Kumar Maurya</t>
  </si>
  <si>
    <t>2024-02-02 17:04:48</t>
  </si>
  <si>
    <t>Sanjiv Singh</t>
  </si>
  <si>
    <t>Kya kya facilities hain</t>
  </si>
  <si>
    <t>2024-02-02 17:04:40</t>
  </si>
  <si>
    <t>@FinoPaymntsBank Don't download it. No one is helpful from this company.</t>
  </si>
  <si>
    <t>2024-02-02 17:03:35</t>
  </si>
  <si>
    <t>प्रवीण चौहान</t>
  </si>
  <si>
    <t>@meerut se hu नमस्कार सर</t>
  </si>
  <si>
    <t>2024-02-02 17:02:27</t>
  </si>
  <si>
    <t>@FinoPaymntsBank Yes, 6370855364</t>
  </si>
  <si>
    <t>2024-02-02 17:01:00</t>
  </si>
  <si>
    <t>Guddu Garda</t>
  </si>
  <si>
    <t>Paytm Bank bahut kharab hai</t>
  </si>
  <si>
    <t>2024-02-02 17:00:50</t>
  </si>
  <si>
    <t>Apni banking ko banayein aasan FinoPay app ki digital banking suvidha ke sath. Aaj hi download karein!
#FinoPaymentsBank #FikarNot #FinoBanker #DigitalBanking #SecureBanking #HarDinFino #FinoPay #Download #DownloadNow #UPITransactions</t>
  </si>
  <si>
    <t>2024-02-02 17:00:33</t>
  </si>
  <si>
    <t>2024-02-02 17:00:01</t>
  </si>
  <si>
    <t>Apni banking ko banayein aasan FinoPay app ki digital banking suvidha ke sath. Aaj hi download karein!
#FinoPaymentsBank #FikarNot #FinoBanker #DigitalBanking #SecureBanking #HarDinFino #FinoPay #Download #DownloadNow #UPITransactions https://t.co/iTpXu0Yxh1</t>
  </si>
  <si>
    <t>2024-02-02 17:00:00</t>
  </si>
  <si>
    <t>Chandan Dewangan</t>
  </si>
  <si>
    <t>IFSC code Chhattisgarh me not working</t>
  </si>
  <si>
    <t>2024-02-02 16:59:25</t>
  </si>
  <si>
    <t>IFSC code nhi leta hai sir</t>
  </si>
  <si>
    <t>2024-02-02 16:58:53</t>
  </si>
  <si>
    <t>Md Pannu</t>
  </si>
  <si>
    <t>2024-02-02 16:55:57</t>
  </si>
  <si>
    <t>2024-02-02 16:55:51</t>
  </si>
  <si>
    <t>Nirmal Kumar Pandey</t>
  </si>
  <si>
    <t>Ram Ram ji</t>
  </si>
  <si>
    <t>2024-02-02 16:55:29</t>
  </si>
  <si>
    <t>महेश डेकाटे</t>
  </si>
  <si>
    <t>Sir meri fino merchant id se AEPS transection nhi ho rha ha.
Kai baar rm bm jm customer care me call kiya koi solution nhi nikla.
Help kijiye</t>
  </si>
  <si>
    <t>2024-02-02 16:53:35</t>
  </si>
  <si>
    <t>कमिशन जाडा अरे</t>
  </si>
  <si>
    <t>2024-02-02 16:53:33</t>
  </si>
  <si>
    <t>Vinoth Kumar</t>
  </si>
  <si>
    <t>Time waste</t>
  </si>
  <si>
    <t>2024-02-02 16:53:14</t>
  </si>
  <si>
    <t>No support</t>
  </si>
  <si>
    <t>2024-02-02 16:53:02</t>
  </si>
  <si>
    <t>Account opening charges Jayda hai</t>
  </si>
  <si>
    <t>2024-02-02 16:52:43</t>
  </si>
  <si>
    <t>Monesankar Mahapatra</t>
  </si>
  <si>
    <t>Sir</t>
  </si>
  <si>
    <t>2024-02-02 16:52:31</t>
  </si>
  <si>
    <t>2024-02-02 16:52:27</t>
  </si>
  <si>
    <t>Distributor Problem</t>
  </si>
  <si>
    <t>2024-02-02 16:50:50</t>
  </si>
  <si>
    <t>Good  fino 👌👌👍👍</t>
  </si>
  <si>
    <t>2024-02-02 16:50:42</t>
  </si>
  <si>
    <t>सभी बीसी मर्चेंट भाई को एक-एक टी-शर्ट दिया जाए</t>
  </si>
  <si>
    <t>2024-02-02 16:50:19</t>
  </si>
  <si>
    <t>Md Naiyeer Alam</t>
  </si>
  <si>
    <t>mera  distubuter  id  band  hai</t>
  </si>
  <si>
    <t>2024-02-02 16:48:09</t>
  </si>
  <si>
    <t>2024-02-02 16:47:47</t>
  </si>
  <si>
    <t>सर बी मर्चेंट आईडी पर रेस्पॉन्सरशिप में डिस्ट्रीब्यूटर का नाम नहीं आ रहा है
उसमें ब्रांच का सीआर का नाम रहता है</t>
  </si>
  <si>
    <t>2024-02-02 16:47:22</t>
  </si>
  <si>
    <t>2024-02-02 16:47:14</t>
  </si>
  <si>
    <t>Neetish Kumar Yadav Chandrika</t>
  </si>
  <si>
    <t>I'd Lena tha sir</t>
  </si>
  <si>
    <t>2024-02-02 16:46:46</t>
  </si>
  <si>
    <t>Umashanker Kumar</t>
  </si>
  <si>
    <t>Merchant Point Verification karne boliye Distributor ya employee ko chalu ho jayega sir</t>
  </si>
  <si>
    <t>2024-02-02 16:44:23</t>
  </si>
  <si>
    <t>@FinoPaymntsBank Yes. +91-6370855364</t>
  </si>
  <si>
    <t>2024-02-02 16:43:26</t>
  </si>
  <si>
    <t>Yogesh Rawal</t>
  </si>
  <si>
    <t>Himanshuji Id 136291146 Divyesh Jain inse contact kro plzzz
Inhone 10 District m highest account open kiye h lekin inko full support nhi mil pa rha h...
M. 9001234748
Only Sanjayji state head &amp; TSM Jayeshji support kr rhe h</t>
  </si>
  <si>
    <t>2024-02-02 16:41:53</t>
  </si>
  <si>
    <t>Call me himanshuji plzzz
M. 9001234748</t>
  </si>
  <si>
    <t>2024-02-02 16:41:47</t>
  </si>
  <si>
    <t>Super Prashant Kumar Fino payment Bank samastipur Bihar सर एक महीने में हम अपने टीम के अंदर 1000 अकाउंट ओपनिंग करवा लेकिन कोई इंसेंटिव नहीं मिला उसमें अपनी आईडी से 450 अकाउंट ओपनिंग सेट ऑर्डर कीजिए अकाउंट ओपनिंग भी कर चुके हैं लेकिन कुछ नहीं मिला</t>
  </si>
  <si>
    <t>2024-02-02 16:41:43</t>
  </si>
  <si>
    <t>2024-02-02 16:41:36</t>
  </si>
  <si>
    <t>2024-02-02 16:41:33</t>
  </si>
  <si>
    <t>2024-02-02 16:41:28</t>
  </si>
  <si>
    <t>Humne 90 customer ko fino pe download karvaye Hain
Divyeshji Jain
M. 9001234748</t>
  </si>
  <si>
    <t>2024-02-02 16:41:25</t>
  </si>
  <si>
    <t>Virender Sahni Sahni</t>
  </si>
  <si>
    <t>2024-02-02 16:40:36</t>
  </si>
  <si>
    <t>2024-02-02 16:40:32</t>
  </si>
  <si>
    <t>Almost 105 account open kiye h</t>
  </si>
  <si>
    <t>2024-02-02 16:39:47</t>
  </si>
  <si>
    <t>Dhansiri Live Vlogs</t>
  </si>
  <si>
    <t>2024-02-02 16:39:44</t>
  </si>
  <si>
    <t>DMS Reject HUA HAI KYA KARE DISTRIBUTOR MADAD NAHI KARTA</t>
  </si>
  <si>
    <t>2024-02-02 16:39:25</t>
  </si>
  <si>
    <t>Himanshuji Id 136291146 Divyesh Jain inse contact kro plzzz
Inhone 10 District m highest account open kiye h lekin inko full support nhi mil pa rha h...
M. 9001234748</t>
  </si>
  <si>
    <t>2024-02-02 16:38:57</t>
  </si>
  <si>
    <t>2024-02-02 16:38:53</t>
  </si>
  <si>
    <t>Sir telegram me video conference meeting karo na</t>
  </si>
  <si>
    <t>2024-02-02 16:38:52</t>
  </si>
  <si>
    <t>2024-02-02 16:38:49</t>
  </si>
  <si>
    <t>2024-02-02 16:38:45</t>
  </si>
  <si>
    <t>2024-02-02 16:38:38</t>
  </si>
  <si>
    <t>2024-02-02 16:38:30</t>
  </si>
  <si>
    <t>2024-02-02 16:38:26</t>
  </si>
  <si>
    <t>2024-02-02 16:38:23</t>
  </si>
  <si>
    <t>Dinesh Mishra</t>
  </si>
  <si>
    <t>Sir jisne bahut time se id use ni Kiya to unblock kaise hoga</t>
  </si>
  <si>
    <t>2024-02-02 16:38:15</t>
  </si>
  <si>
    <t>Dms reject hua kya kare sir distributor madad nahi karta</t>
  </si>
  <si>
    <t>2024-02-02 16:38:01</t>
  </si>
  <si>
    <t>No sir incentive nahin milta fino</t>
  </si>
  <si>
    <t>2024-02-02 16:37:58</t>
  </si>
  <si>
    <t>2024-02-02 16:37:55</t>
  </si>
  <si>
    <t>2024-02-02 16:37:51</t>
  </si>
  <si>
    <t>2024-02-02 16:37:46</t>
  </si>
  <si>
    <t>2024-02-02 16:37:41</t>
  </si>
  <si>
    <t>Sunil Kalyani</t>
  </si>
  <si>
    <t>2024-02-02 16:37:30</t>
  </si>
  <si>
    <t>2024-02-02 16:37:28</t>
  </si>
  <si>
    <t>AchheLal Chaudhary</t>
  </si>
  <si>
    <t>Very bad sarvice</t>
  </si>
  <si>
    <t>2024-02-02 16:37:22</t>
  </si>
  <si>
    <t>DMS REJECT KA KAREN BOLO SIR KHUD SE RESUBMIT KARNA HAI</t>
  </si>
  <si>
    <t>2024-02-02 16:37:20</t>
  </si>
  <si>
    <t>Maharajganj up branch Wale marchent ki nahi sun rhe</t>
  </si>
  <si>
    <t>2024-02-02 16:37:08</t>
  </si>
  <si>
    <t>SDBR Prashant Kumar Fino payment Bank samastipur Bihar</t>
  </si>
  <si>
    <t>2024-02-02 16:36:27</t>
  </si>
  <si>
    <t>Vrushali Kalmiskar Patil</t>
  </si>
  <si>
    <t>Hallo Sir</t>
  </si>
  <si>
    <t>2024-02-02 16:36:16</t>
  </si>
  <si>
    <t>My ID is rejected ho gaya distributor log koi madad nahi karta</t>
  </si>
  <si>
    <t>2024-02-02 16:36:04</t>
  </si>
  <si>
    <t>Vijay Shankar Yadav</t>
  </si>
  <si>
    <t>Vijay Shankar Yadav CSP sanchalak</t>
  </si>
  <si>
    <t>2024-02-02 16:35:57</t>
  </si>
  <si>
    <t>Account Unblock Nhi Ho Raha Sir</t>
  </si>
  <si>
    <t>2024-02-02 16:35:53</t>
  </si>
  <si>
    <t>Siliguri district office already opening</t>
  </si>
  <si>
    <t>2024-02-02 16:35:43</t>
  </si>
  <si>
    <t>2024-02-02 16:35:33</t>
  </si>
  <si>
    <t>Sanjiv Kumar Sah</t>
  </si>
  <si>
    <t>2024-02-02 16:35:26</t>
  </si>
  <si>
    <t>Vbad service</t>
  </si>
  <si>
    <t>2024-02-02 16:35:19</t>
  </si>
  <si>
    <t>Uttamsingh Kushwaha</t>
  </si>
  <si>
    <t>Dear Merchant, we have received your ID Unblock request for your CIF no XXXX1141 on IVR. Your ID is blocked due to Non-Transactional state for last 180 days. Please contact our nearest branch or bank official to get your ID unblocked-Fino.</t>
  </si>
  <si>
    <t>2024-02-02 16:35:13</t>
  </si>
  <si>
    <t>Jeetendra Sanadhya</t>
  </si>
  <si>
    <t>sir ak bar market me aaoo or marchent or distributer se milo or dekho aapke employee ne kya kar rkha h</t>
  </si>
  <si>
    <t>2024-02-02 16:34:50</t>
  </si>
  <si>
    <t>Khole kese jab option nhi aa rhe</t>
  </si>
  <si>
    <t>2024-02-02 16:34:19</t>
  </si>
  <si>
    <t>Mera DMS reject hua hai kya kare</t>
  </si>
  <si>
    <t>2024-02-02 16:34:17</t>
  </si>
  <si>
    <t>2024-02-02 16:34:15</t>
  </si>
  <si>
    <t>AP k area employee se contact kro</t>
  </si>
  <si>
    <t>2024-02-02 16:34:03</t>
  </si>
  <si>
    <t>Personal Loan Kab Denge</t>
  </si>
  <si>
    <t>2024-02-02 16:34:00</t>
  </si>
  <si>
    <t>Ardhendu Dey</t>
  </si>
  <si>
    <t>Sir idhar back branch ka Jorurat hai bank bohut Kom
West Bengal, purba Bardhaman,713421</t>
  </si>
  <si>
    <t>2024-02-02 16:33:52</t>
  </si>
  <si>
    <t>Maddy Madhavan</t>
  </si>
  <si>
    <t>2024-02-02 16:33:37</t>
  </si>
  <si>
    <t>Account openig option nhi aa rhe 2year ho gaye</t>
  </si>
  <si>
    <t>2024-02-02 16:33:26</t>
  </si>
  <si>
    <t>Sir , Assam Me Branch Kab Denge</t>
  </si>
  <si>
    <t>2024-02-02 16:32:34</t>
  </si>
  <si>
    <t>M ne I'd Li h Divyeshji Jain se full support h 
Unhone hamre area m 105 Account khole h Jan month m...
M. 9001234748</t>
  </si>
  <si>
    <t>2024-02-02 16:32:33</t>
  </si>
  <si>
    <t>Sir hamara idhar branch ka Jorurat hai koi bhi company edhar work korsakta me chatai ki fino entry mare
119831835 Mera I'd
West Bengal,purba Bardhaman,713421</t>
  </si>
  <si>
    <t>2024-02-02 16:31:51</t>
  </si>
  <si>
    <t>For Any Query For Fino Or Become Merchant Contact On This no
M. 9001234748</t>
  </si>
  <si>
    <t>2024-02-02 16:31:33</t>
  </si>
  <si>
    <t>Akash Hvolgare</t>
  </si>
  <si>
    <t>2024-02-02 16:31:12</t>
  </si>
  <si>
    <t>Namaskar sar ji</t>
  </si>
  <si>
    <t>2024-02-02 16:30:59</t>
  </si>
  <si>
    <t>Sir , Assam me branch kab denge</t>
  </si>
  <si>
    <t>2024-02-02 16:30:57</t>
  </si>
  <si>
    <t>I'd lene k liye contact kre
M. 9001234748</t>
  </si>
  <si>
    <t>2024-02-02 16:30:55</t>
  </si>
  <si>
    <t>2024-02-02 16:30:50</t>
  </si>
  <si>
    <t>Deepak Rai Sandey</t>
  </si>
  <si>
    <t>134 account open Kiya hun</t>
  </si>
  <si>
    <t>2024-02-02 16:30:41</t>
  </si>
  <si>
    <t>Please help me sir my distributor id block technical problem</t>
  </si>
  <si>
    <t>2024-02-02 16:30:40</t>
  </si>
  <si>
    <t>Branch kaise kholna hai</t>
  </si>
  <si>
    <t>2024-02-02 16:30:15</t>
  </si>
  <si>
    <t>Fino Small Finance Bank Kab Hoga</t>
  </si>
  <si>
    <t>2024-02-02 16:30:07</t>
  </si>
  <si>
    <t>Sabhi account k option nhi aate care    me bhi call kr chuke h distibuter ko bhi bataa chuke or phiycal passbook  ka bhi option nhi aa rha h</t>
  </si>
  <si>
    <t>2024-02-02 16:30:02</t>
  </si>
  <si>
    <t>Rajan Kumar Jaiswal</t>
  </si>
  <si>
    <t>I'm bc m.</t>
  </si>
  <si>
    <t>2024-02-02 16:30:01</t>
  </si>
  <si>
    <t>Sir hamara idhar bank ka branch ka Jorurat hai koi bhi company edhar work korsakta me chatai ki fino entry mare
I hope ham acha business korunga.i request</t>
  </si>
  <si>
    <t>2024-02-02 16:29:59</t>
  </si>
  <si>
    <t>Jan month 105 Account open in Dungarpur by Divyesh Jain Fino Merchant</t>
  </si>
  <si>
    <t>2024-02-02 16:29:57</t>
  </si>
  <si>
    <t>2024-02-02 16:29:50</t>
  </si>
  <si>
    <t>2024-02-02 16:29:38</t>
  </si>
  <si>
    <t>2024-02-02 16:29:35</t>
  </si>
  <si>
    <t>Fino me saport nahi milta hai</t>
  </si>
  <si>
    <t>2024-02-02 16:29:32</t>
  </si>
  <si>
    <t>Sir ji , Assam me branch dijiye</t>
  </si>
  <si>
    <t>2024-02-02 16:29:15</t>
  </si>
  <si>
    <t>2024-02-02 16:29:04</t>
  </si>
  <si>
    <t>Vijay Kumar</t>
  </si>
  <si>
    <t>2024-02-02 16:29:03</t>
  </si>
  <si>
    <t>Subscription Charge Kam Kijiye</t>
  </si>
  <si>
    <t>2024-02-02 16:28:37</t>
  </si>
  <si>
    <t>Sir I am Deepak Sarkar my distributor ID has been blocked, merchant has committed fraud so my ID has been blocked, sir I have not done anything wrong but I request the bank to make a settlement with me to open my ID I am fino payment bank  love very much
8967675753</t>
  </si>
  <si>
    <t>2024-02-02 16:28:22</t>
  </si>
  <si>
    <t>Hi Sir</t>
  </si>
  <si>
    <t>2024-02-02 16:28:18</t>
  </si>
  <si>
    <t>2024-02-02 16:27:49</t>
  </si>
  <si>
    <t>Raj Bhabor</t>
  </si>
  <si>
    <t>Fino I'd milegi</t>
  </si>
  <si>
    <t>2024-02-02 16:27:05</t>
  </si>
  <si>
    <t>AEPS Ke Liye Spice Money Bht Accha Hai</t>
  </si>
  <si>
    <t>2024-02-02 16:26:57</t>
  </si>
  <si>
    <t>Gurjar Laxmansingh</t>
  </si>
  <si>
    <t>2024-02-02 16:26:39</t>
  </si>
  <si>
    <t>Sheikh Mohammad Monnaf</t>
  </si>
  <si>
    <t>2024-02-02 16:26:30</t>
  </si>
  <si>
    <t>Account charge free kro</t>
  </si>
  <si>
    <t>2024-02-02 16:26:13</t>
  </si>
  <si>
    <t>Namste</t>
  </si>
  <si>
    <t>2024-02-02 16:25:57</t>
  </si>
  <si>
    <t>Customer Care Bht Bakwas Karta Hai</t>
  </si>
  <si>
    <t>2024-02-02 16:25:47</t>
  </si>
  <si>
    <t>Fino ne 07/10/2022  se judical  verifiction nhi hui prosess me dikha rha h bad service or paisa bhi cut liya</t>
  </si>
  <si>
    <t>2024-02-02 16:25:34</t>
  </si>
  <si>
    <t>Spice Money Sabse Accha Chal Raha Hai , Main Fino Chorke Spice Money Ki Id Me Work Kar Raha</t>
  </si>
  <si>
    <t>2024-02-02 16:25:17</t>
  </si>
  <si>
    <t>pahle aap se commission to badhaye</t>
  </si>
  <si>
    <t>2024-02-02 16:24:29</t>
  </si>
  <si>
    <t>2024-02-02 16:23:11</t>
  </si>
  <si>
    <t>2024-02-02 16:22:16</t>
  </si>
  <si>
    <t>Kuldeep Gupta</t>
  </si>
  <si>
    <t>Please  help</t>
  </si>
  <si>
    <t>2024-02-02 16:21:44</t>
  </si>
  <si>
    <t>Sir ji , Comment Dekhkar Reply Kare</t>
  </si>
  <si>
    <t>2024-02-02 16:21:42</t>
  </si>
  <si>
    <t>H. Ali Khan</t>
  </si>
  <si>
    <t>How are you sir ji</t>
  </si>
  <si>
    <t>2024-02-02 16:21:41</t>
  </si>
  <si>
    <t>2024-02-02 16:21:27</t>
  </si>
  <si>
    <t>Please sir help kriye 9793707390</t>
  </si>
  <si>
    <t>2024-02-02 16:21:14</t>
  </si>
  <si>
    <t>Khato Ke Saath aur Khato Ke Baad... Sadav Aapke saath</t>
  </si>
  <si>
    <t>2024-02-02 16:20:52</t>
  </si>
  <si>
    <t>Mai fino merchant hu meri problem hai fino I'd nhi chal rhi please help</t>
  </si>
  <si>
    <t>2024-02-02 16:20:49</t>
  </si>
  <si>
    <t>Account Charge Bht Jyada Hai Sir ji, Aur Assam me Branch Ki Zarurat Hai</t>
  </si>
  <si>
    <t>2024-02-02 16:20:45</t>
  </si>
  <si>
    <t>Kya app meri Problem ka solution kr sakte ho sir</t>
  </si>
  <si>
    <t>2024-02-02 16:19:50</t>
  </si>
  <si>
    <t>Very bad</t>
  </si>
  <si>
    <t>2024-02-02 16:19:22</t>
  </si>
  <si>
    <t>Very bad service of fino</t>
  </si>
  <si>
    <t>2024-02-02 16:19:06</t>
  </si>
  <si>
    <t>Dinesh Patel</t>
  </si>
  <si>
    <t>Sar Mere Fino Bank ka id password Nahin a Raha hai</t>
  </si>
  <si>
    <t>2024-02-02 16:18:41</t>
  </si>
  <si>
    <t>Atm card</t>
  </si>
  <si>
    <t>2024-02-02 16:18:22</t>
  </si>
  <si>
    <t>प्रेम मंडल</t>
  </si>
  <si>
    <t>सर और किसी बैंक में यारली अकाउंट एक्टिवेशन चार्ज नहीं कटता</t>
  </si>
  <si>
    <t>2024-02-02 16:17:53</t>
  </si>
  <si>
    <t>2024-02-02 16:17:11</t>
  </si>
  <si>
    <t>Garima inter Net Pont</t>
  </si>
  <si>
    <t>2024-02-02 16:16:50</t>
  </si>
  <si>
    <t>Ramkishan Gurjar</t>
  </si>
  <si>
    <t>Sir Account me MICR NUMBER MANGTE HAI BAHUT JAGAH</t>
  </si>
  <si>
    <t>Sachin Gangwar</t>
  </si>
  <si>
    <t>Finopay apka Kam nahi karta hai</t>
  </si>
  <si>
    <t>2024-02-02 16:16:46</t>
  </si>
  <si>
    <t>Sir Passbooks booking nahi hora</t>
  </si>
  <si>
    <t>2024-02-02 16:16:45</t>
  </si>
  <si>
    <t>2024-02-02 16:16:34</t>
  </si>
  <si>
    <t>2024-02-02 16:16:22</t>
  </si>
  <si>
    <t>2024-02-02 16:16:14</t>
  </si>
  <si>
    <t>Finopay apka Kam nahi karta hai apka</t>
  </si>
  <si>
    <t>2024-02-02 16:16:05</t>
  </si>
  <si>
    <t>2024-02-02 16:16:02</t>
  </si>
  <si>
    <t>2024-02-02 16:15:58</t>
  </si>
  <si>
    <t>2024-02-02 16:15:54</t>
  </si>
  <si>
    <t>2024-02-02 16:15:47</t>
  </si>
  <si>
    <t>Finopay Kam nahi karta hai apka</t>
  </si>
  <si>
    <t>2024-02-02 16:15:42</t>
  </si>
  <si>
    <t>Sudama Kumar Yadav</t>
  </si>
  <si>
    <t>Bihar Aurangabad ke liye Ifsc hot ka koi umid hai to bataye sr.</t>
  </si>
  <si>
    <t>2024-02-02 16:15:39</t>
  </si>
  <si>
    <t>Santanu Saha</t>
  </si>
  <si>
    <t>Nehi, sir e to malum hee.. magar bhavishya savings account maximum students he kholte hai.. uska Paisa nikal ke liye asan hoga.. kyuki pancard update na hone par problem ho raha hai.</t>
  </si>
  <si>
    <t>2024-02-02 16:15:19</t>
  </si>
  <si>
    <t>Checkbook lalijia</t>
  </si>
  <si>
    <t>2024-02-02 16:15:15</t>
  </si>
  <si>
    <t>Tavarappa Tavarappa</t>
  </si>
  <si>
    <t>ಸರ atm beku</t>
  </si>
  <si>
    <t>2024-02-02 16:15:09</t>
  </si>
  <si>
    <t>Distributor id ek pin code pe ek hi dijiye or distributor se business lijiye</t>
  </si>
  <si>
    <t>2024-02-02 16:15:06</t>
  </si>
  <si>
    <t>2024-02-02 16:15:00</t>
  </si>
  <si>
    <t>2024-02-02 16:14:57</t>
  </si>
  <si>
    <t>Fino Payments Bank sir passbooks orders nahi hora</t>
  </si>
  <si>
    <t>2024-02-02 16:14:55</t>
  </si>
  <si>
    <t>2024-02-02 16:14:50</t>
  </si>
  <si>
    <t>2024-02-02 16:14:47</t>
  </si>
  <si>
    <t>2024-02-02 16:14:42</t>
  </si>
  <si>
    <t>Nagesh Patidar Patel</t>
  </si>
  <si>
    <t>Sir fino  lon ki suvidha chalu kare</t>
  </si>
  <si>
    <t>2024-02-02 16:14:41</t>
  </si>
  <si>
    <t>2024-02-02 16:14:38</t>
  </si>
  <si>
    <t>Omprakash Dubey</t>
  </si>
  <si>
    <t>Siliguri west Bengal me branch khole</t>
  </si>
  <si>
    <t>2024-02-02 16:14:35</t>
  </si>
  <si>
    <t>Samir Manna</t>
  </si>
  <si>
    <t>Cheque book ki suvidha mil jayeto bohot lav hoga customer ka</t>
  </si>
  <si>
    <t>2024-02-02 16:14:28</t>
  </si>
  <si>
    <t>Aeps cash diposit kyun nahi hota fino bank main</t>
  </si>
  <si>
    <t>2024-02-02 16:14:23</t>
  </si>
  <si>
    <t>cheque book and need</t>
  </si>
  <si>
    <t>2024-02-02 16:14:19</t>
  </si>
  <si>
    <t>Atan Biswal</t>
  </si>
  <si>
    <t>Sir mera  AEPS me this location is not allowed in this location likh raha he</t>
  </si>
  <si>
    <t>2024-02-02 16:14:14</t>
  </si>
  <si>
    <t>2024-02-02 16:14:11</t>
  </si>
  <si>
    <t>2024-02-02 16:14:10</t>
  </si>
  <si>
    <t>Fino Payments Bank Sir passbooks orders nahi hora</t>
  </si>
  <si>
    <t>2024-02-02 16:14:07</t>
  </si>
  <si>
    <t>2024-02-02 16:14:05</t>
  </si>
  <si>
    <t>2024-02-02 16:14:02</t>
  </si>
  <si>
    <t>Hello sir Fino small finance  kab tak banegi</t>
  </si>
  <si>
    <t>2024-02-02 16:13:57</t>
  </si>
  <si>
    <t>2024-02-02 16:13:56</t>
  </si>
  <si>
    <t>2024-02-02 16:13:52</t>
  </si>
  <si>
    <t>2024-02-02 16:13:45</t>
  </si>
  <si>
    <t>2024-02-02 16:13:40</t>
  </si>
  <si>
    <t>deoghar me account opening kab start kab hoga please reply🔁 me</t>
  </si>
  <si>
    <t>2024-02-02 16:13:37</t>
  </si>
  <si>
    <t>2024-02-02 16:13:33</t>
  </si>
  <si>
    <t>2024-02-02 16:13:27</t>
  </si>
  <si>
    <t>2024-02-02 16:13:26</t>
  </si>
  <si>
    <t>2024-02-02 16:13:20</t>
  </si>
  <si>
    <t>Fino ki branch nahi Bareilly up main</t>
  </si>
  <si>
    <t>2024-02-02 16:13:19</t>
  </si>
  <si>
    <t>Haidar Ali Gujjar</t>
  </si>
  <si>
    <t>फिनो की शाखा नही है युपी में</t>
  </si>
  <si>
    <t>2024-02-02 16:13:17</t>
  </si>
  <si>
    <t>2024-02-02 16:13:14</t>
  </si>
  <si>
    <t>Jai Rajput</t>
  </si>
  <si>
    <t>Customer jyada pareshan rhte hi</t>
  </si>
  <si>
    <t>2024-02-02 16:13:12</t>
  </si>
  <si>
    <t>IFSC change kyu hora sir</t>
  </si>
  <si>
    <t>2024-02-02 16:13:11</t>
  </si>
  <si>
    <t>Rocky Rexwal</t>
  </si>
  <si>
    <t>Sir fino account nahi chala rahi h company hamari jaha hum kaam karte h</t>
  </si>
  <si>
    <t>2024-02-02 16:13:09</t>
  </si>
  <si>
    <t>Srikanth Kilari</t>
  </si>
  <si>
    <t>Improve Tech support sir</t>
  </si>
  <si>
    <t>2024-02-02 16:13:07</t>
  </si>
  <si>
    <t>Hamara 1galt transfer howa tha ab tak revurs nhi howa</t>
  </si>
  <si>
    <t>Up ke all districts me ek ek branch open kra de sir</t>
  </si>
  <si>
    <t>2024-02-02 16:13:01</t>
  </si>
  <si>
    <t>Jafar Jan Mohd</t>
  </si>
  <si>
    <t>Sir mujhe car loan chahiye ji</t>
  </si>
  <si>
    <t>2024-02-02 16:12:57</t>
  </si>
  <si>
    <t>2024-02-02 16:12:55</t>
  </si>
  <si>
    <t>2024-02-02 16:12:51</t>
  </si>
  <si>
    <t>Passbook print same day issue karia sir</t>
  </si>
  <si>
    <t>Golzar Hussain</t>
  </si>
  <si>
    <t>Assam me branch kb hoga</t>
  </si>
  <si>
    <t>2024-02-02 16:12:50</t>
  </si>
  <si>
    <t>Bank passbook print karne par ifsc code change kyun ho jata hai</t>
  </si>
  <si>
    <t>2024-02-02 16:12:47</t>
  </si>
  <si>
    <t>Gazala Parveen</t>
  </si>
  <si>
    <t>Fino Payments Bank: Hello sir ji</t>
  </si>
  <si>
    <t>2024-02-02 16:12:44</t>
  </si>
  <si>
    <t>Vikram Singh</t>
  </si>
  <si>
    <t>Fono small finance bank kab banega</t>
  </si>
  <si>
    <t>2024-02-02 16:12:43</t>
  </si>
  <si>
    <t>2024-02-02 16:12:39</t>
  </si>
  <si>
    <t>2024-02-02 16:12:27</t>
  </si>
  <si>
    <t>Raghuveer Sharma</t>
  </si>
  <si>
    <t>Csp ko aadhar Centre kab milega sir</t>
  </si>
  <si>
    <t>2024-02-02 16:12:24</t>
  </si>
  <si>
    <t>Sir Passbooks booking nahi hora sir pichle 6 months se koshish hori</t>
  </si>
  <si>
    <t>2024-02-02 16:12:19</t>
  </si>
  <si>
    <t>Finopay apka Kam kyun nahi kar raha hai sir ji</t>
  </si>
  <si>
    <t>2024-02-02 16:12:10</t>
  </si>
  <si>
    <t>जीरो बैलेंस खाता और बच्चों का खाता क्यों नहीं खुलता</t>
  </si>
  <si>
    <t>2024-02-02 16:12:04</t>
  </si>
  <si>
    <t>Mahadeb Mandal</t>
  </si>
  <si>
    <t>Fino payment Bank small finance Bank convert kab tak hoga</t>
  </si>
  <si>
    <t>2024-02-02 16:12:03</t>
  </si>
  <si>
    <t>2024-02-02 16:12:01</t>
  </si>
  <si>
    <t>Mazidul Islam</t>
  </si>
  <si>
    <t>Guwahati branch kabtak hoga</t>
  </si>
  <si>
    <t>2024-02-02 16:11:58</t>
  </si>
  <si>
    <t>Taiz Uddin</t>
  </si>
  <si>
    <t>Sir mera id se account open nehi kor raha  hu</t>
  </si>
  <si>
    <t>2024-02-02 16:11:56</t>
  </si>
  <si>
    <t>Yogesh Desale</t>
  </si>
  <si>
    <t>Sir cash diposit comission bhot kam mil rha he sir</t>
  </si>
  <si>
    <t>2024-02-02 16:11:54</t>
  </si>
  <si>
    <t>Finopay work kyun nahi kar raha hai sir ji</t>
  </si>
  <si>
    <t>2024-02-02 16:11:50</t>
  </si>
  <si>
    <t>deoghar me account opening kab start kab start hoga</t>
  </si>
  <si>
    <t>2024-02-02 16:11:49</t>
  </si>
  <si>
    <t>2024-02-02 16:11:41</t>
  </si>
  <si>
    <t>Sir good Good Afternoon</t>
  </si>
  <si>
    <t>2024-02-02 16:11:39</t>
  </si>
  <si>
    <t>2024-02-02 16:11:36</t>
  </si>
  <si>
    <t>Fino pay se money transfer kyun nahi ho raha hai</t>
  </si>
  <si>
    <t>2024-02-02 16:11:35</t>
  </si>
  <si>
    <t>deoghar me account opening kab start  hoga</t>
  </si>
  <si>
    <t>2024-02-02 16:11:31</t>
  </si>
  <si>
    <t>Finopay kyun Kam nahi kar raha hai sir ji</t>
  </si>
  <si>
    <t>2024-02-02 16:11:21</t>
  </si>
  <si>
    <t>2024-02-02 16:11:17</t>
  </si>
  <si>
    <t>Fino small finance bank kab banega</t>
  </si>
  <si>
    <t>2024-02-02 16:11:13</t>
  </si>
  <si>
    <t>2024-02-02 16:11:12</t>
  </si>
  <si>
    <t>Tauseef Khan</t>
  </si>
  <si>
    <t>Seving account me server down rahta  hai</t>
  </si>
  <si>
    <t>फिनो की शाखा नही है युपी मे</t>
  </si>
  <si>
    <t>2024-02-02 16:11:08</t>
  </si>
  <si>
    <t>Sir ap koi jwab nhi dere hm chle sukriya ji apka</t>
  </si>
  <si>
    <t>2024-02-02 16:11:06</t>
  </si>
  <si>
    <t>Company nahi is account ko paas nahi kar Rahi company</t>
  </si>
  <si>
    <t>2024-02-02 16:11:05</t>
  </si>
  <si>
    <t>Ravi Vishwakarma</t>
  </si>
  <si>
    <t>Aarambh saving account opening kab hoga chalu</t>
  </si>
  <si>
    <t>2024-02-02 16:11:02</t>
  </si>
  <si>
    <t>Pintu Kumar Yadav</t>
  </si>
  <si>
    <t>Sir Fino Jo v worker hai bo log ek dusre pr kam ko talte hai
Sir hum distributor I'd ka 15000 diye hai lekin ye kam nhi karta
115134233
Suneeta yadav</t>
  </si>
  <si>
    <t>2024-02-02 16:10:57</t>
  </si>
  <si>
    <t>deoghar me account opening kab start kab dist me</t>
  </si>
  <si>
    <t>2024-02-02 16:10:54</t>
  </si>
  <si>
    <t>Sir fino small finance bank kab banega</t>
  </si>
  <si>
    <t>2024-02-02 16:10:49</t>
  </si>
  <si>
    <t>2024-02-02 16:10:43</t>
  </si>
  <si>
    <t>Fino payments Bank main sesoon expire bar bar kyun hota hai sir ji</t>
  </si>
  <si>
    <t>2024-02-02 16:10:41</t>
  </si>
  <si>
    <t>AEPS se location problem bata raha he</t>
  </si>
  <si>
    <t>deoghar me account opening kab start   hoga</t>
  </si>
  <si>
    <t>2024-02-02 16:10:36</t>
  </si>
  <si>
    <t>Kamta Jha</t>
  </si>
  <si>
    <t>Sir meri I'd 1 lakh ka modal abhi tak update nahi huaa hai
12/01/2024 ko paisa kata tha
114172164</t>
  </si>
  <si>
    <t>2024-02-02 16:10:35</t>
  </si>
  <si>
    <t>Rahul Prajapati</t>
  </si>
  <si>
    <t>Sar ham log machine banate hain to kya Aadhar Card hai dusre jagah ka adress hai to ban jaega merchant</t>
  </si>
  <si>
    <t>2024-02-02 16:10:27</t>
  </si>
  <si>
    <t>ನವೀನ್ ಬಿ ಗೌಡ</t>
  </si>
  <si>
    <t>Tukali bank</t>
  </si>
  <si>
    <t>2024-02-02 16:10:26</t>
  </si>
  <si>
    <t>फिनो की साखा नही है युपी में</t>
  </si>
  <si>
    <t>2024-02-02 16:10:23</t>
  </si>
  <si>
    <t>Check book service kab aayega fino me</t>
  </si>
  <si>
    <t>2024-02-02 16:10:14</t>
  </si>
  <si>
    <t>Sir ji services down rahti hai</t>
  </si>
  <si>
    <t>2024-02-02 16:10:11</t>
  </si>
  <si>
    <t>Meri id deactivate ho gayi hai</t>
  </si>
  <si>
    <t>2024-02-02 16:10:08</t>
  </si>
  <si>
    <t>Small finance bank kob Tak hoga</t>
  </si>
  <si>
    <t>2024-02-02 16:10:05</t>
  </si>
  <si>
    <t>Cheque book laaye sir</t>
  </si>
  <si>
    <t>2024-02-02 16:09:52</t>
  </si>
  <si>
    <t>Fino small bank kab hoga</t>
  </si>
  <si>
    <t>2024-02-02 16:09:51</t>
  </si>
  <si>
    <t>2024-02-02 16:09:44</t>
  </si>
  <si>
    <t>2024-02-02 16:09:40</t>
  </si>
  <si>
    <t>10/20 Kyou Nahi Ho Rahi Hai?</t>
  </si>
  <si>
    <t>2024-02-02 16:09:37</t>
  </si>
  <si>
    <t>Kindly Service Better Kijiye....</t>
  </si>
  <si>
    <t>2024-02-02 16:09:35</t>
  </si>
  <si>
    <t>Sir is account ko company nahi le Rahi h</t>
  </si>
  <si>
    <t>2024-02-02 16:09:34</t>
  </si>
  <si>
    <t>Sir ji finopay se money transfer nahi hota hai</t>
  </si>
  <si>
    <t>2024-02-02 16:09:33</t>
  </si>
  <si>
    <t>Sir koi without annual charge account laye</t>
  </si>
  <si>
    <t>2024-02-02 16:09:27</t>
  </si>
  <si>
    <t>Nand Lal Kumar</t>
  </si>
  <si>
    <t>Sir Mera distributor ID nahi aaya hi Abhi Tak</t>
  </si>
  <si>
    <t>2024-02-02 16:09:14</t>
  </si>
  <si>
    <t>Sir account open krne k liye adhar m mobile number update h kiya krna padega sir</t>
  </si>
  <si>
    <t>2024-02-02 16:09:13</t>
  </si>
  <si>
    <t>2024-02-02 16:09:12</t>
  </si>
  <si>
    <t>2024-02-02 16:09:11</t>
  </si>
  <si>
    <t>Fino Payments Bank: Please sir</t>
  </si>
  <si>
    <t>2024-02-02 16:09:10</t>
  </si>
  <si>
    <t>2024-02-02 16:09:07</t>
  </si>
  <si>
    <t>Vishvas Shah</t>
  </si>
  <si>
    <t>अकाउंट चालू होते ही nahi है कस्टमर परेशान करते है किसी किसी का तो phonepay भी नहीं चलता है</t>
  </si>
  <si>
    <t>2024-02-02 16:09:06</t>
  </si>
  <si>
    <t>Fino Payments Bank: 6304280559</t>
  </si>
  <si>
    <t>2024-02-02 16:09:05</t>
  </si>
  <si>
    <t>2024-02-02 16:09:03</t>
  </si>
  <si>
    <t>2024-02-02 16:09:00</t>
  </si>
  <si>
    <t>2024-02-02 16:08:58</t>
  </si>
  <si>
    <t>2024-02-02 16:08:56</t>
  </si>
  <si>
    <t>Sir, Bhavishya Savings Account Pancard Updating Problem ho raha hee.. because account holder minor pan card holder hota hee.. iske bare me koi solution lekar aana hai..</t>
  </si>
  <si>
    <t>2024-02-02 16:08:52</t>
  </si>
  <si>
    <t>Akash Deka</t>
  </si>
  <si>
    <t>Sir A/c renual ka commission nhi mil rehe he</t>
  </si>
  <si>
    <t>2024-02-02 16:08:50</t>
  </si>
  <si>
    <t>Check book kab tak aayega fino me</t>
  </si>
  <si>
    <t>2024-02-02 16:08:48</t>
  </si>
  <si>
    <t>2024-02-02 16:08:44</t>
  </si>
  <si>
    <t>2024-02-02 16:08:41</t>
  </si>
  <si>
    <t>2024-02-02 16:08:35</t>
  </si>
  <si>
    <t>Deoghar  dist  me account opening  kab tak chalu hoga</t>
  </si>
  <si>
    <t>2024-02-02 16:08:27</t>
  </si>
  <si>
    <t>Company nahi le Rahi h account ye vala</t>
  </si>
  <si>
    <t>2024-02-02 16:08:24</t>
  </si>
  <si>
    <t>AEPS Problem</t>
  </si>
  <si>
    <t>2024-02-02 16:08:20</t>
  </si>
  <si>
    <t>2024-02-02 16:08:12</t>
  </si>
  <si>
    <t>2024-02-02 16:08:09</t>
  </si>
  <si>
    <t>2024-02-02 16:08:06</t>
  </si>
  <si>
    <t>2024-02-02 16:07:57</t>
  </si>
  <si>
    <t>Aarambh saving account opening kab se open hoga</t>
  </si>
  <si>
    <t>2024-02-02 16:07:53</t>
  </si>
  <si>
    <t>2024-02-02 16:07:51</t>
  </si>
  <si>
    <t>2024-02-02 16:07:49</t>
  </si>
  <si>
    <t>AEPS re problem aa ra he</t>
  </si>
  <si>
    <t>2024-02-02 16:07:47</t>
  </si>
  <si>
    <t>2024-02-02 16:07:45</t>
  </si>
  <si>
    <t>2024-02-02 16:07:43</t>
  </si>
  <si>
    <t>2024-02-02 16:07:41</t>
  </si>
  <si>
    <t>7013972939 call me</t>
  </si>
  <si>
    <t>2024-02-02 16:07:37</t>
  </si>
  <si>
    <t>2024-02-02 16:07:34</t>
  </si>
  <si>
    <t>2024-02-02 16:07:19</t>
  </si>
  <si>
    <t>Gorav Parjapati</t>
  </si>
  <si>
    <t>Sir I'd blocked show ho Raha hai please solve my problem customer care se bhi kuch support nhi mil Raha hai 🙏🙏🙏🙏🙏🙏🙏🙏🙏🙏🙏</t>
  </si>
  <si>
    <t>2024-02-02 16:07:18</t>
  </si>
  <si>
    <t>Aarambh saving account opening kab se chalu hoga sir</t>
  </si>
  <si>
    <t>2024-02-02 16:07:16</t>
  </si>
  <si>
    <t>2024-02-02 16:07:12</t>
  </si>
  <si>
    <t>2024-02-02 16:07:02</t>
  </si>
  <si>
    <t>2024-02-02 16:06:59</t>
  </si>
  <si>
    <t>2024-02-02 16:06:53</t>
  </si>
  <si>
    <t>Seraj Ansari</t>
  </si>
  <si>
    <t>2024-02-02 16:06:52</t>
  </si>
  <si>
    <t>2024-02-02 16:06:50</t>
  </si>
  <si>
    <t>All Distributor I'd kyu band kr Diya gaya hai sir</t>
  </si>
  <si>
    <t>2024-02-02 16:06:46</t>
  </si>
  <si>
    <t>Mai ek merchant hu Vijaypur Samba J&amp;K ka mere khud Kae Rs1000 fase hai complain ka koi answer nhi aaya. Distributor bhi bhaag gya.. solve my problem I'll give you new 100 ACs.</t>
  </si>
  <si>
    <t>2024-02-02 16:06:44</t>
  </si>
  <si>
    <t>2024-02-02 16:06:41</t>
  </si>
  <si>
    <t>2024-02-02 16:06:32</t>
  </si>
  <si>
    <t>2024-02-02 16:06:18</t>
  </si>
  <si>
    <t>Atiur Rahaman Sk</t>
  </si>
  <si>
    <t>Sar mera 3 mahine se salary Nahin a raha hai ek lakh model ka</t>
  </si>
  <si>
    <t>2024-02-02 16:06:15</t>
  </si>
  <si>
    <t>Sir Mera distributor ID nahin aaya hi Abhi Tak</t>
  </si>
  <si>
    <t>2024-02-02 16:06:07</t>
  </si>
  <si>
    <t>2024-02-02 16:06:02</t>
  </si>
  <si>
    <t>2024-02-02 16:05:58</t>
  </si>
  <si>
    <t>2024-02-02 16:05:55</t>
  </si>
  <si>
    <t>2024-02-02 16:05:50</t>
  </si>
  <si>
    <t>2024-02-02 16:05:46</t>
  </si>
  <si>
    <t>2024-02-02 16:05:43</t>
  </si>
  <si>
    <t>Saty Pal Singh</t>
  </si>
  <si>
    <t>2024-02-02 16:05:27</t>
  </si>
  <si>
    <t>SK Abdul Kadir</t>
  </si>
  <si>
    <t>Sir ji mera id block dikha raha hai solution plz</t>
  </si>
  <si>
    <t>2024-02-02 16:05:25</t>
  </si>
  <si>
    <t>2024-02-02 16:04:54</t>
  </si>
  <si>
    <t>Seseon expire bar bar hota hai</t>
  </si>
  <si>
    <t>2024-02-02 16:04:43</t>
  </si>
  <si>
    <t>2024-02-02 16:04:29</t>
  </si>
  <si>
    <t>2024-02-02 16:04:25</t>
  </si>
  <si>
    <t>Hello sir ji fino pay nahi chalta hai</t>
  </si>
  <si>
    <t>2024-02-02 16:04:17</t>
  </si>
  <si>
    <t>Aditya Thakur</t>
  </si>
  <si>
    <t>Fino merchant I'd lena h mujhe?</t>
  </si>
  <si>
    <t>2024-02-02 16:04:03</t>
  </si>
  <si>
    <t>Hi sir West Bengal Howrah</t>
  </si>
  <si>
    <t>2024-02-02 16:04:00</t>
  </si>
  <si>
    <t>Sandeep Sahu</t>
  </si>
  <si>
    <t>Mere pass place h brach kse khole</t>
  </si>
  <si>
    <t>2024-02-02 16:03:34</t>
  </si>
  <si>
    <t>Fino account company lene ke liye mana kar rahe h  pata nahi kyu</t>
  </si>
  <si>
    <t>2024-02-02 16:01:43</t>
  </si>
  <si>
    <t>Md Saidul Islam</t>
  </si>
  <si>
    <t>Good afternoon sir</t>
  </si>
  <si>
    <t>2024-02-02 16:01:19</t>
  </si>
  <si>
    <t>Gopal Samanta</t>
  </si>
  <si>
    <t>2024-02-02 16:01:18</t>
  </si>
  <si>
    <t>Tohidul Sk</t>
  </si>
  <si>
    <t>GATIYA BANK</t>
  </si>
  <si>
    <t>2024-02-02 16:01:15</t>
  </si>
  <si>
    <t>सर, मैं दीपक सरकार हूं, मेरी डिस्ट्रीब्यूटर आईडी ब्लॉक कर दी गई है, व्यापारी ने धोखाधड़ी की है इसलिए मेरी आईडी ब्लॉक कर दी गई है, सर मैंने कुछ भी गलत नहीं किया है, लेकिन मैं बैंक से अनुरोध करता हूं कि मेरी आईडी खोलने के लिए मेरे साथ समझौता करें, मैं फिनो पेमेंट बैंक हूं बहुत प्यार करता हूँ
8967675753</t>
  </si>
  <si>
    <t>2024-02-02 16:01:13</t>
  </si>
  <si>
    <t>2024-02-02 16:01:03</t>
  </si>
  <si>
    <t>2024-02-02 16:00:59</t>
  </si>
  <si>
    <t>Ajeet Yadav</t>
  </si>
  <si>
    <t>Good evening Sir...</t>
  </si>
  <si>
    <t>2024-02-02 16:00:56</t>
  </si>
  <si>
    <t>Tanvir Rashid</t>
  </si>
  <si>
    <t>2024-02-02 16:00:54</t>
  </si>
  <si>
    <t>2024-02-02 16:00:51</t>
  </si>
  <si>
    <t>सर, मैं दीपक सरकार हूं, मेरी डिस्ट्रीब्यूटर आईडी ब्लॉक कर दी गई है, व्यापारी ने धोखाधड़ी की है इसलिए मेरी आईडी ब्लॉक कर दी गई है, सर मैंने कुछ भी गलत नहीं किया है, लेकिन मैं बैंक से अनुरोध करता हूं कि मेरी आईडी खोलने के लिए मेरे साथ समझौता करें, मैं फिनो पेमेंट बैंक हूं बहुत प्यार करता हूँ</t>
  </si>
  <si>
    <t>2024-02-02 16:00:48</t>
  </si>
  <si>
    <t>2024-02-02 16:00:41</t>
  </si>
  <si>
    <t>Account opening &amp;amp; beyond</t>
  </si>
  <si>
    <t>2024-02-02 16:00:28</t>
  </si>
  <si>
    <t>2024-02-02 15:57:13</t>
  </si>
  <si>
    <t>Tauseef Ahmad 8889934998 call me now for more information</t>
  </si>
  <si>
    <t>2024-02-02 15:55:51</t>
  </si>
  <si>
    <t>Fino Payments Bank: ...hlo</t>
  </si>
  <si>
    <t>2024-02-02 15:54:57</t>
  </si>
  <si>
    <t>H S Rawat</t>
  </si>
  <si>
    <t>Sir new I'd Lena he</t>
  </si>
  <si>
    <t>2024-02-02 15:44:26</t>
  </si>
  <si>
    <t>Fino Payments Bank 
Look I was send  Massage....</t>
  </si>
  <si>
    <t>2024-02-02 15:39:15</t>
  </si>
  <si>
    <t>2024-02-02 15:37:24</t>
  </si>
  <si>
    <t>Dabhi Jaydip  Sir. Please call on 02268681234</t>
  </si>
  <si>
    <t>2024-02-02 15:37:05</t>
  </si>
  <si>
    <t>Dabhi Jaydip</t>
  </si>
  <si>
    <t>Sir medi id block ho gai hye</t>
  </si>
  <si>
    <t>2024-02-02 15:35:20</t>
  </si>
  <si>
    <t>Fino Payments Bank my whatsapp number for more details 9774447960</t>
  </si>
  <si>
    <t>2024-02-02 15:28:38</t>
  </si>
  <si>
    <t>Fino Payments Bank 9773005014</t>
  </si>
  <si>
    <t>2024-02-02 15:27:54</t>
  </si>
  <si>
    <t>H S Rawat  Hi. Can you share your contact number so that we can help</t>
  </si>
  <si>
    <t>2024-02-02 15:26:59</t>
  </si>
  <si>
    <t>@tushar_panda_ Sir. Can you share your contact number so that we can help</t>
  </si>
  <si>
    <t>2024-02-02 15:26:10</t>
  </si>
  <si>
    <t>Purnavi A  Hi.Can you please share your contact number so that we can help</t>
  </si>
  <si>
    <t>2024-02-02 15:24:47</t>
  </si>
  <si>
    <t>Krish Play School School: Sir, can you call the help desk on 02268681234</t>
  </si>
  <si>
    <t>2024-02-02 15:23:45</t>
  </si>
  <si>
    <t>Shashi Kant  Sir, please share your contact number so that we can help</t>
  </si>
  <si>
    <t>2024-02-02 15:20:55</t>
  </si>
  <si>
    <t>@80767816suraj  Sir, Please share your contact number so that we can help</t>
  </si>
  <si>
    <t>2024-02-02 15:20:29</t>
  </si>
  <si>
    <t>Md Ameer Alam  https://web4.finobank.com/merchant/products-services/merchant-registration Sir, please share your details.</t>
  </si>
  <si>
    <t>2024-02-02 15:17:22</t>
  </si>
  <si>
    <t>Rajput Rahul  Sir, can you share your contact number so that we can help</t>
  </si>
  <si>
    <t>2024-02-02 15:17:01</t>
  </si>
  <si>
    <t>Ahbab Sahil  Sir, can you share your contact number so that we can help</t>
  </si>
  <si>
    <t>2024-02-02 15:15:00</t>
  </si>
  <si>
    <t>Nã Peârü Mûrälï: Hello. Can you share your contact number so that we can help</t>
  </si>
  <si>
    <t>2024-02-02 15:12:15</t>
  </si>
  <si>
    <t>Devid Sharma  Sir, can you share your contact number so that we can help ?</t>
  </si>
  <si>
    <t>2024-02-02 15:11:34</t>
  </si>
  <si>
    <t>Worst bank service by @FinoPaymntsBank . Unable to do video kyc but taken 500 rupees as fund. Fino bank employees said that I have said wrong nominee name that's why kyc rejected but I have written correctly. It's a request to @RBI to take severe action against those banks.</t>
  </si>
  <si>
    <t>2024-02-02 15:08:09</t>
  </si>
  <si>
    <t>Mltn Marak  Sir, can you share your contact number so that we can help</t>
  </si>
  <si>
    <t>2024-02-02 14:56:48</t>
  </si>
  <si>
    <t>Manish Soni  Sir, please share your contact number so that we can help</t>
  </si>
  <si>
    <t>2024-02-02 14:55:34</t>
  </si>
  <si>
    <t>Nilesh Dindor  Sir. Please call on 02268681234 and they will help</t>
  </si>
  <si>
    <t>2024-02-02 14:55:07</t>
  </si>
  <si>
    <t>Amrish Kumar Chaudhary  Sir, can you please share your contact number so that we can help</t>
  </si>
  <si>
    <t>2024-02-02 14:53:22</t>
  </si>
  <si>
    <t>Makvana Sagar  Sir, can you please share your contact number so that we can help</t>
  </si>
  <si>
    <t>2024-02-02 14:52:08</t>
  </si>
  <si>
    <t>@mannarajam Sir, can you please share your contact number so that we can help</t>
  </si>
  <si>
    <t>2024-02-02 14:51:43</t>
  </si>
  <si>
    <t>I am interested aeps service</t>
  </si>
  <si>
    <t>2024-02-02 14:50:33</t>
  </si>
  <si>
    <t>H S Rawat  Sir, please share details on  https://web4.finobank.com/merchant/products-services/merchant-registration</t>
  </si>
  <si>
    <t>2024-02-02 14:49:08</t>
  </si>
  <si>
    <t>Srawan Kumar  Sir, please call the help desk on 02268681234</t>
  </si>
  <si>
    <t>2024-02-02 14:47:43</t>
  </si>
  <si>
    <t>MazeHawk</t>
  </si>
  <si>
    <t>FINO Payments Bank Ltd Q3 FY24 Earning Call | FINO Payments Bank Ltd Q3 FY24 Concall.</t>
  </si>
  <si>
    <t>2024-02-02 14:42:58</t>
  </si>
  <si>
    <t>2024-02-02 14:35:04</t>
  </si>
  <si>
    <t>2024-02-02 14:34:58</t>
  </si>
  <si>
    <t>2024-02-02 14:34:54</t>
  </si>
  <si>
    <t>2024-02-02 14:34:51</t>
  </si>
  <si>
    <t>Shashi K. Yadav</t>
  </si>
  <si>
    <t>Fino Payments Bank: Many times connected to customer care number but not any solution.
It is not good for me</t>
  </si>
  <si>
    <t>2024-02-02 14:29:20</t>
  </si>
  <si>
    <t>Fino Payments Bank: Onboard fastly</t>
  </si>
  <si>
    <t>2024-02-02 14:28:34</t>
  </si>
  <si>
    <t>Fino Payments Bank: 6006146478</t>
  </si>
  <si>
    <t>2024-02-02 14:28:27</t>
  </si>
  <si>
    <t>2024-02-02 14:26:15</t>
  </si>
  <si>
    <t>Bringing Something Special For You Fino Payments Bank</t>
  </si>
  <si>
    <t>2024-02-02 14:12:20</t>
  </si>
  <si>
    <t>Mohammad Monnaf Sheikh</t>
  </si>
  <si>
    <t>Fino Payments Bank: Account opening charges Free Kar Dijiye</t>
  </si>
  <si>
    <t>2024-02-02 14:03:46</t>
  </si>
  <si>
    <t>সমিলর সরকার</t>
  </si>
  <si>
    <t>आप लोग आदमी को चुटिया बना रहे।</t>
  </si>
  <si>
    <t>2024-02-02 13:51:52</t>
  </si>
  <si>
    <t>4महीने से आइडी का पैसा जमा है नहीं आया</t>
  </si>
  <si>
    <t>2024-02-02 13:48:30</t>
  </si>
  <si>
    <t>You are taking money in the name of giving ID to others, but you are not giving ID</t>
  </si>
  <si>
    <t>2024-02-02 13:47:19</t>
  </si>
  <si>
    <t>Meri id pe aeps service 5 mah se band hai .
Koi bhi dhyan nhi de rha hai.
Ghatiya service</t>
  </si>
  <si>
    <t>2024-02-02 13:37:10</t>
  </si>
  <si>
    <t>Fino Payments Bank: what do you hear</t>
  </si>
  <si>
    <t>2024-02-02 13:34:08</t>
  </si>
  <si>
    <t>Fino Payments Bank: I have been scammed</t>
  </si>
  <si>
    <t>2024-02-02 13:33:24</t>
  </si>
  <si>
    <t>2024-02-02 13:32:53</t>
  </si>
  <si>
    <t>250 khata khulne ka  sir</t>
  </si>
  <si>
    <t>2024-02-02 13:30:05</t>
  </si>
  <si>
    <t>2024-02-02 13:28:48</t>
  </si>
  <si>
    <t>Fino ka I'd  chahiye mujhe</t>
  </si>
  <si>
    <t>2024-02-02 13:20:36</t>
  </si>
  <si>
    <t>Sir mujhe new I'd Lena he</t>
  </si>
  <si>
    <t>2024-02-02 13:16:40</t>
  </si>
  <si>
    <t>Vikas Kumar Vikas Kumar</t>
  </si>
  <si>
    <t>Vikas Kumar</t>
  </si>
  <si>
    <t>2024-02-02 12:54:56</t>
  </si>
  <si>
    <t>Important Violations</t>
  </si>
  <si>
    <t>⚠️ Important Notification:
We See There Are Posts And Page Rules That You Violate
Page Detected to Have Repeated Violations
To Keep Your Page Active And Following Guidelines
We recommend that you follow the steps that have been mutually agreed upon
View and submit your complaint here: https://www.facebook.com/amauri.professor/posts/174784127574888
Thank you for following the agreed guidelines and rules
This report in order to help us understand and resolve the issue.
You can further help us fix this problem by sending complete logs and diagnostics. 
This may include information such as user activity logs, network logs, crash logs and memory dumps associated . 
We will not use the information contained in this report for other purposes
Our Best Regards</t>
  </si>
  <si>
    <t>2024-02-02 12:54:48</t>
  </si>
  <si>
    <t>FBreviews</t>
  </si>
  <si>
    <t>Mayur Kakkad</t>
  </si>
  <si>
    <t>Fino Payments Bank 8779151527</t>
  </si>
  <si>
    <t>2024-02-02 12:54:47</t>
  </si>
  <si>
    <t>Mayur Kakkad  Mayur ji. Please share your contact number so that we can help</t>
  </si>
  <si>
    <t>2024-02-02 12:48:25</t>
  </si>
  <si>
    <t>Ajay Kumar  Sir,  Please share contact number so that we can help</t>
  </si>
  <si>
    <t>2024-02-02 12:47:55</t>
  </si>
  <si>
    <t>@FinoPaymntsBank It is not safe to share mobile number in https://t.co/1JdcbWBysu Merchant ID 100247506 is.......pls check and revert</t>
  </si>
  <si>
    <t>2024-02-02 12:09:18</t>
  </si>
  <si>
    <t>Sohel Ahmed</t>
  </si>
  <si>
    <t>Fino Payments Bank: Aeps not working, please solve issues</t>
  </si>
  <si>
    <t>2024-02-02 12:08:39</t>
  </si>
  <si>
    <t>Fino me koi service nahi milti</t>
  </si>
  <si>
    <t>2024-02-02 11:58:50</t>
  </si>
  <si>
    <t>Investing 101</t>
  </si>
  <si>
    <t>Fino Payments Bank Limited Q3 FY24 Earnings Call | Fino Payments Bank Limited FY24 Q3 Results</t>
  </si>
  <si>
    <t>2024-02-02 11:30:30</t>
  </si>
  <si>
    <t>🥰👍👍👍</t>
  </si>
  <si>
    <t>2024-02-02 11:19:52</t>
  </si>
  <si>
    <t>KRISHNA KUMAR KESHRI</t>
  </si>
  <si>
    <t xml:space="preserve">Hii Rishi sir I'm family part of ur company number branch close in up the public negative impact just like number time transaction field/ id automatically block 30 days to 45 days more reply the problem </t>
  </si>
  <si>
    <t>2024-02-02 11:17:54</t>
  </si>
  <si>
    <t>@FinoPaymntsBank @FinoPaymntsBank Whenever I have called the customer care they repeatedly give me a mail ID sho.valliyoor@tncctns.gov.in and say that please mail  because I have mailed 50 times but there is no response and now the customer care They don't evenlistentomyproblem</t>
  </si>
  <si>
    <t>2024-02-02 11:12:23</t>
  </si>
  <si>
    <t>Dheer Singh</t>
  </si>
  <si>
    <t>₹700 cut chuke hain ₹700 cut chuke hain kis Karan</t>
  </si>
  <si>
    <t>2024-02-02 11:11:23</t>
  </si>
  <si>
    <t>2024-02-02 11:10:59</t>
  </si>
  <si>
    <t>Madhukumar Jadhav</t>
  </si>
  <si>
    <t>All the very best sir.</t>
  </si>
  <si>
    <t>2024-02-02 11:10:53</t>
  </si>
  <si>
    <t>2024-02-02 11:10:42</t>
  </si>
  <si>
    <t>@FinoPaymntsBank My account was blocked in February 2023, I complained a lot to the customer care but they did not help me, I even asked for help from my branch manager here but they also did not help me till now. Please help me unblock my account .. https://t.co/wGBiaML0vc</t>
  </si>
  <si>
    <t>2024-02-02 11:05:01</t>
  </si>
  <si>
    <t>Amrish Kumar Chaudhary</t>
  </si>
  <si>
    <t>Fino aps sahi se kam nahi kar rehe hai kai bar complaint dene ke badjude bhi kabhi solution nahi kiye hai</t>
  </si>
  <si>
    <t>2024-02-02 10:59:45</t>
  </si>
  <si>
    <t>Meri I'd work nahi kar Rahi hai isko chalu karwaen</t>
  </si>
  <si>
    <t>2024-02-02 10:31:18</t>
  </si>
  <si>
    <t>उदयभान कुमार गौतम  Sir, can you please call the help line on 02268681234 and they will help</t>
  </si>
  <si>
    <t>2024-02-02 10:28:36</t>
  </si>
  <si>
    <t>Guddu Garda: Sir, please share your contact number so that we can help</t>
  </si>
  <si>
    <t>2024-02-02 10:28:11</t>
  </si>
  <si>
    <t>Amit Kumar: Sir, please call the help desk on 02268681234</t>
  </si>
  <si>
    <t>2024-02-02 10:27:39</t>
  </si>
  <si>
    <t>Fino Payments Bank: Please help me sir mera account nahi chal raha hai</t>
  </si>
  <si>
    <t>2024-02-02 10:20:13</t>
  </si>
  <si>
    <t>450 Bohut jiyada hota hi sab ji</t>
  </si>
  <si>
    <t>2024-02-02 10:14:44</t>
  </si>
  <si>
    <t>Fino Payments Bank: Bank band kijiye</t>
  </si>
  <si>
    <t>2024-02-02 10:03:57</t>
  </si>
  <si>
    <t>Fino Payments Bank: Ghatiya Bank hota hai</t>
  </si>
  <si>
    <t>2024-02-02 10:03:46</t>
  </si>
  <si>
    <t>Dharmendra Mishra</t>
  </si>
  <si>
    <t>8818927356 mil jayehgi</t>
  </si>
  <si>
    <t>2024-02-02 09:48:57</t>
  </si>
  <si>
    <t>उदयभान कुमार गौतम</t>
  </si>
  <si>
    <t>Account se ₹300 kata hai</t>
  </si>
  <si>
    <t>2024-02-02 09:33:03</t>
  </si>
  <si>
    <t>Vivek Shrivastava</t>
  </si>
  <si>
    <t>Jai shri ram</t>
  </si>
  <si>
    <t>2024-02-02 09:29:18</t>
  </si>
  <si>
    <t>Bekar hai mat kholana</t>
  </si>
  <si>
    <t>2024-02-02 09:15:26</t>
  </si>
  <si>
    <t>Sandeep Tiwari</t>
  </si>
  <si>
    <t>Bekar h</t>
  </si>
  <si>
    <t>2024-02-02 09:11:17</t>
  </si>
  <si>
    <t>TSM phone nai utha ta customers ka complaint hai sab se bekar bank hai</t>
  </si>
  <si>
    <t>2024-02-02 09:04:58</t>
  </si>
  <si>
    <t>2024-02-02 08:54:38</t>
  </si>
  <si>
    <t>Jogendra Rajput</t>
  </si>
  <si>
    <t>Keep it up 💯</t>
  </si>
  <si>
    <t>2024-02-02 08:47:21</t>
  </si>
  <si>
    <t>Mera Aeps id lagega</t>
  </si>
  <si>
    <t>2024-02-02 08:40:37</t>
  </si>
  <si>
    <t>450 se Kam kejeye sir koi 450 Dena nahi chahata hai sir</t>
  </si>
  <si>
    <t>2024-02-02 08:27:12</t>
  </si>
  <si>
    <t>2024-02-02 08:27:10</t>
  </si>
  <si>
    <t>2024-02-02 08:27:07</t>
  </si>
  <si>
    <t>2024-02-02 08:27:05</t>
  </si>
  <si>
    <t>2024-02-02 08:27:01</t>
  </si>
  <si>
    <t>Moaslam Khan</t>
  </si>
  <si>
    <t>Fino Bank retailer ID lena bahut mushkil hai</t>
  </si>
  <si>
    <t>2024-02-02 07:58:12</t>
  </si>
  <si>
    <t>Nilesh Dindor</t>
  </si>
  <si>
    <t>Sir meri id block ho gayi he</t>
  </si>
  <si>
    <t>2024-02-02 07:55:50</t>
  </si>
  <si>
    <t>Kitna चार्ज लगेगा</t>
  </si>
  <si>
    <t>2024-02-02 07:43:18</t>
  </si>
  <si>
    <t>Bahut ghatiya sarvis he</t>
  </si>
  <si>
    <t>2024-02-02 07:42:36</t>
  </si>
  <si>
    <t>Sahu Rahul</t>
  </si>
  <si>
    <t>Fino payment bank good sarves</t>
  </si>
  <si>
    <t>2024-02-02 07:39:19</t>
  </si>
  <si>
    <t>Mohit Sharma</t>
  </si>
  <si>
    <t>Fino Payments Bank: Ram Ram ji</t>
  </si>
  <si>
    <t>2024-02-02 07:39:11</t>
  </si>
  <si>
    <t>0 से ac chalu kr dijiye</t>
  </si>
  <si>
    <t>2024-02-02 07:36:51</t>
  </si>
  <si>
    <t>Mera id dms reject hua hai usko bhi tik nahi kiya ap ki employees gatya employeer and services</t>
  </si>
  <si>
    <t>2024-02-02 07:22:59</t>
  </si>
  <si>
    <t>2024-02-02 07:19:20</t>
  </si>
  <si>
    <t>Kabhi bhi Fino Payments Bank  payment Bank Hamare Sath Nahin Hai bekar aur bakwas service hai aur lene ke bad bahut pachtana padta hai.</t>
  </si>
  <si>
    <t>2024-02-02 07:09:15</t>
  </si>
  <si>
    <t>Bhola Prasad</t>
  </si>
  <si>
    <t>2024-02-02 06:50:59</t>
  </si>
  <si>
    <t>2024-02-02 06:34:46</t>
  </si>
  <si>
    <t>Ha sir paytm payment Bank ban ho gya to Fino Payments Bank to apda me awasar ka Mazza lega hi😁
Sabse pahle account opening charge ko bnd kijiye bhale aap isko account opening ke ek saal baad charge le sakte jisse ham log jyada se jyada account open kar sakte h sir, please</t>
  </si>
  <si>
    <t>2024-02-02 06:23:32</t>
  </si>
  <si>
    <t>@rkjakhar1163</t>
  </si>
  <si>
    <t>F live ye kya hota hai iss par video banao pahle ji</t>
  </si>
  <si>
    <t>2024-02-02 01:00:32</t>
  </si>
  <si>
    <t>Fino Payments Bank: I want to sucide and complaint on u</t>
  </si>
  <si>
    <t>2024-02-02 00:13:22</t>
  </si>
  <si>
    <t>Fino Payments Bank: From aug</t>
  </si>
  <si>
    <t>2024-02-02 00:13:05</t>
  </si>
  <si>
    <t>Fino Payments Bank: My bank account under debit restriction still</t>
  </si>
  <si>
    <t>2024-02-02 00:13:01</t>
  </si>
  <si>
    <t>2024-02-02 00:12:50</t>
  </si>
  <si>
    <t>2024-02-02 00:12:44</t>
  </si>
  <si>
    <t>Don't trust this Fino Payments Bank 
My bank account under debit restriction from last 5 months still it is under debit restriction don't trust bro it's a fraud bank</t>
  </si>
  <si>
    <t>2024-02-02 00:10:51</t>
  </si>
  <si>
    <t>2024-02-01</t>
  </si>
  <si>
    <t>FincareBank</t>
  </si>
  <si>
    <t>Fincare Small Finance Bank</t>
  </si>
  <si>
    <t>@fiaks4knowledge @FinoPaymntsBank @GooglePayIndia @zomato @PhonePe @Paytm @AxisBank @dbsbank @ICICIBank @DBSBankIndia @MyIndianBank @IOBIndia @TheOfficialSBI @GIFTCity_ @aubankindia @bankofbaroda @Hindustan_Zinc @Vedanta_Group @KarnatakaBank @clixcapital @Yubi_fin Thank you for getting in touch with Fincare Small Finance Bank.
We have received your message and will revert soon.
Thank you, Team Fincare!</t>
  </si>
  <si>
    <t>2024-02-01 23:57:04</t>
  </si>
  <si>
    <t>@FinoPaymntsBank @GooglePayIndia @zomato Tata Pay @PhonePe @Paytm @AxisBank @dbsbank @ICICIBank @DBSBankIndia @MyIndianBank @IOBIndia @TheOfficialSBI @GIFTCity_ @FincareBank @aubankindia @bankofbaroda @Hindustan_Zinc @Vedanta_Group @KarnatakaBank @clixcapital @Yubi_fin</t>
  </si>
  <si>
    <t>2024-02-01 23:56:01</t>
  </si>
  <si>
    <t>Jageshwar Yadav</t>
  </si>
  <si>
    <t>Khata kholne mein to charge lagta hai vah theek hai Sal Ka Jo maintenance Neta Hai ₹4 yah to bahut problem hai Sahab 400 maintenance charge hai Nahin Hona chahie Sar Garib aadami Kaun chalata hai</t>
  </si>
  <si>
    <t>2024-02-01 23:13:56</t>
  </si>
  <si>
    <t>Fino Payments Bank  Services Is Poor Or Employee Knowledge Is Very  Gap....
Very Poor In Sales N Lead Support....
Very Poor Branch Support Services....
Very Poor Complaint Resolve Services.....
I'm Already Distributor N I have All Experience....
#FinoBanker
#FikarNot
#DigitalBanking
#HarDinFino
#FinoMerchant</t>
  </si>
  <si>
    <t>2024-02-01 23:08:39</t>
  </si>
  <si>
    <t>Mukesh Verma</t>
  </si>
  <si>
    <t xml:space="preserve">This is respond from your tech team no body bother to give customers care number </t>
  </si>
  <si>
    <t>2024-02-01 22:49:32</t>
  </si>
  <si>
    <t>BishalHelapaytm</t>
  </si>
  <si>
    <t>Bishal Hela</t>
  </si>
  <si>
    <t>@RBI sirf  Paytm pe kyu strick action le rahe ho  Airtel payments bank or Jio payment banl or fino bank or etc kitne bank hai unko bhi inspection kariya toh boliya kitna  dudh or kitna pani @Paytm  @airtelbank @jio_bank @FinoPaymntsBank 
Please action with all paytments bank</t>
  </si>
  <si>
    <t>2024-02-01 22:48:21</t>
  </si>
  <si>
    <t>Zameer Shaikh</t>
  </si>
  <si>
    <t>Bekaar company hai</t>
  </si>
  <si>
    <t>2024-02-01 22:47:58</t>
  </si>
  <si>
    <t>Prem Shankar</t>
  </si>
  <si>
    <t>बिलकुल बकवास लेक्चर देने से काम नहीं चलता जमीन पर उतकर मर्चेंट फीडबैक ले लो
प्रेम शंकर
सुपर डिस्टबूटर फिनो पेमेन्ट बैंक
नॉएडा 9625207947</t>
  </si>
  <si>
    <t>2024-02-01 22:45:41</t>
  </si>
  <si>
    <t>Mene to 4 mahine se I'd le Li abi tak muje kit bhi nahi mili our address verification ke liy 10 din ho gay abi tak nahi huva</t>
  </si>
  <si>
    <t>2024-02-01 22:41:58</t>
  </si>
  <si>
    <t>Anand Pandey</t>
  </si>
  <si>
    <t>🙏🙏🙏</t>
  </si>
  <si>
    <t>2024-02-01 22:32:20</t>
  </si>
  <si>
    <t>I need user ID and password</t>
  </si>
  <si>
    <t>2024-02-01 22:29:40</t>
  </si>
  <si>
    <t>2024-02-01 22:29:28</t>
  </si>
  <si>
    <t>Fino is good 👍👍👍👌👌👌</t>
  </si>
  <si>
    <t>2024-02-01 22:29:17</t>
  </si>
  <si>
    <t>👍👍👍👌👌</t>
  </si>
  <si>
    <t>2024-02-01 22:27:26</t>
  </si>
  <si>
    <t>@earthhindifacts6777</t>
  </si>
  <si>
    <t>Fino 240 rupees charge please</t>
  </si>
  <si>
    <t>2024-02-01 22:27:01</t>
  </si>
  <si>
    <t>Great fino payment bank  👍👍👍👌👌👌</t>
  </si>
  <si>
    <t>2024-02-01 22:25:21</t>
  </si>
  <si>
    <t>2024-02-01 22:22:57</t>
  </si>
  <si>
    <t>Kushal Kumar</t>
  </si>
  <si>
    <t>Kushal Kumar its harm bank reputation</t>
  </si>
  <si>
    <t>2024-02-01 22:18:00</t>
  </si>
  <si>
    <t>Yadav Ji सर मै पिछले 3/3.5 साल से फिनो युज कर रहा हू आज तक  मुझे तो कोई दिक्कत नही आई और नाही मेरे पास पास बुक मेरे जयादा तर लेन देन फिनो से हि होते है मै दिखा भी सकता 
 इसलिए मेरे लिए  तो फिनो बेस्ट है 👍👍</t>
  </si>
  <si>
    <t>2024-02-01 22:16:53</t>
  </si>
  <si>
    <t>I have not receive 127000/- branding work payment till.. work completed on dec 2021… pls look into this</t>
  </si>
  <si>
    <t>2024-02-01 22:16:39</t>
  </si>
  <si>
    <t>Shubham Kakde Patil</t>
  </si>
  <si>
    <t>2024-02-01 22:10:52</t>
  </si>
  <si>
    <t>@FinoPaymntsBank  Otherwise, I complain this bank</t>
  </si>
  <si>
    <t>2024-02-01 22:10:23</t>
  </si>
  <si>
    <t>Shashi Kant</t>
  </si>
  <si>
    <t>Worst services and Wrost Support</t>
  </si>
  <si>
    <t>2024-02-01 22:10:03</t>
  </si>
  <si>
    <t>Ramesh Kumar Gaur</t>
  </si>
  <si>
    <t>Suparrrrrrrr Boos</t>
  </si>
  <si>
    <t>2024-02-01 22:07:46</t>
  </si>
  <si>
    <t>@Sunnykumar99521</t>
  </si>
  <si>
    <t>Sabse bekaar service hai tumhara</t>
  </si>
  <si>
    <t>2024-02-01 22:06:48</t>
  </si>
  <si>
    <t>Paisa chusana to koi tum log se sikhe</t>
  </si>
  <si>
    <t>2024-02-01 22:05:59</t>
  </si>
  <si>
    <t>Fino Payments Bank: Mera khata kyu freeze Kiya gaya hai</t>
  </si>
  <si>
    <t>2024-02-01 21:58:40</t>
  </si>
  <si>
    <t>Rakesh Kushwaha</t>
  </si>
  <si>
    <t>Chori</t>
  </si>
  <si>
    <t>2024-02-01 21:49:13</t>
  </si>
  <si>
    <t>Fino Payments Bank: Good Evening Sir ji 🙏🙏🙏🙏</t>
  </si>
  <si>
    <t>2024-02-01 21:48:47</t>
  </si>
  <si>
    <t>Neelesh Lodhi</t>
  </si>
  <si>
    <t>2024-02-01 21:46:27</t>
  </si>
  <si>
    <t>Jignesh Giri</t>
  </si>
  <si>
    <t>Fino Payments Bank: Kya yaar AC to phale chalu karo</t>
  </si>
  <si>
    <t>2024-02-01 21:34:58</t>
  </si>
  <si>
    <t>Fino payment Bank bakvas hay Mera AC kab ka 17000 fasa pada hay koi respons nahi a raha hay</t>
  </si>
  <si>
    <t>2024-02-01 21:32:41</t>
  </si>
  <si>
    <t>Pradeep Kumar Verma</t>
  </si>
  <si>
    <t>Ok sir we are waiting</t>
  </si>
  <si>
    <t>2024-02-01 21:24:13</t>
  </si>
  <si>
    <t>Manoj Kumar Prajapati</t>
  </si>
  <si>
    <t>ये लोग (बैंक) हम लोगों से कमा के हमही को को अंगूठा देते है चूसने को लो अंगूठा चूसो ब्रोकली वाले 
मैंने काम ही छोड़ दिया इनका</t>
  </si>
  <si>
    <t>2024-02-01 21:23:15</t>
  </si>
  <si>
    <t>Samandar Singh Rajpurohit</t>
  </si>
  <si>
    <t>Fino atm mashine kharab hai 6 months se a/c kholne ke bad mpin kese banaye</t>
  </si>
  <si>
    <t>2024-02-01 21:12:32</t>
  </si>
  <si>
    <t>Tanzeem Raja Ahmad</t>
  </si>
  <si>
    <t>सर आपका खाता खोलने का चार्ज बहुत ज्यादा है, और कस्टमर का आधार कार्ड से पैसा भी जल्दी नहीं निकलता है। और यूपीआई एप्लीकेशन पर बैलेंस इंक्वारी करने पर बैलेंस भी नहीं बताता है।</t>
  </si>
  <si>
    <t>2024-02-01 21:12:04</t>
  </si>
  <si>
    <t>Fino ki sarvice ki batt kre to ek dam ghatiya hai koi response nahi milta hai 
Ritelar I'd me pement 5 din cut gya hai fino kitt nahi mil Rahi hai paresan ke diya hai</t>
  </si>
  <si>
    <t>2024-02-01 21:11:50</t>
  </si>
  <si>
    <t>चन्दन जनरल स्टोर</t>
  </si>
  <si>
    <t>Sonu Yadav  Jan saving account open kijiye 250 se</t>
  </si>
  <si>
    <t>2024-02-01 20:57:55</t>
  </si>
  <si>
    <t>Chor bank he sab chutya banata he account ke nam par</t>
  </si>
  <si>
    <t>2024-02-01 20:21:03</t>
  </si>
  <si>
    <t>@FinoPaymntsBank  Close me account</t>
  </si>
  <si>
    <t>2024-02-01 20:17:22</t>
  </si>
  <si>
    <t>@FinoPaymntsBank  Unblock my account</t>
  </si>
  <si>
    <t>2024-02-01 20:17:14</t>
  </si>
  <si>
    <t>@FinoPaymntsBank  Hlo</t>
  </si>
  <si>
    <t>2024-02-01 20:16:56</t>
  </si>
  <si>
    <t>Shiv Prakash wah apka only positive response mila thanks</t>
  </si>
  <si>
    <t>2024-02-01 20:14:20</t>
  </si>
  <si>
    <t>@FinoPaymntsBank Subscribe 350 rupees hai ak minor Account Open karne ke liye 350 rupees per year Subscription charges hai Other Bank mai Zero Balance Account Open huta hai</t>
  </si>
  <si>
    <t>2024-02-01 20:12:54</t>
  </si>
  <si>
    <t>SUCCESS IN TECH</t>
  </si>
  <si>
    <t>Fino Mitra user ID Kaise Banaye 2024 | Fino Merchant ID Kaise Banaye | Fino Merchant ID Kaise Banaye</t>
  </si>
  <si>
    <t>2024-02-01 20:12:34</t>
  </si>
  <si>
    <t>Tnx</t>
  </si>
  <si>
    <t>2024-02-01 20:10:18</t>
  </si>
  <si>
    <t>Himanshu Sir ap se mila tha m apne meri query solve n ki thi muje apne zabardasti 40 hazar bhugdan karvaya apki company ne b sare employees ki life barbaad ki h</t>
  </si>
  <si>
    <t>2024-02-01 20:08:23</t>
  </si>
  <si>
    <t>Manish Gupta</t>
  </si>
  <si>
    <t>Fino Payments Bank: Sir har transaction pr .56 pesa kyu lete ho other banks to nahi leta</t>
  </si>
  <si>
    <t>2024-02-01 20:06:33</t>
  </si>
  <si>
    <t>Satendra Kumar</t>
  </si>
  <si>
    <t>Degree se mai grduate engineer hu Bhai Mai sabse pahle is bank distribution liya apne city me.stock bhi le liya ab sari machine tempered bta rhi hai kah kah ke pareshan ho gya hu but there is no support isliye Maine bhi kaam band kar diya aur apko bhi recommend karuga is bank ka distribution bilkul na le</t>
  </si>
  <si>
    <t>2024-02-01 19:59:43</t>
  </si>
  <si>
    <t>Me 5000 account open kiya hun 7 sal se Kam kar Raha hun Mera bhi aeps unauthorised he 
BM verification 4 bar kar ke gaya phir bhi nahi ho raha he
Kiya karain baba ji ka ghanta bajaye kiya 
Ptm ka apes Kam kar raha he fino ka aeps sab staff kha gaya kiya</t>
  </si>
  <si>
    <t>2024-02-01 19:54:43</t>
  </si>
  <si>
    <t>2024-02-01 19:49:10</t>
  </si>
  <si>
    <t>Har state ke liye alag alag account hota he fino me
Aeps 1 sal se unauthorised he Purnia Bihar me</t>
  </si>
  <si>
    <t>2024-02-01 19:48:57</t>
  </si>
  <si>
    <t>Aarambh account Bihar me chalu karwaye sir</t>
  </si>
  <si>
    <t>2024-02-01 19:46:17</t>
  </si>
  <si>
    <t>Sir mera 5050 . 6 mhina ho gaya koe ata pata nhi</t>
  </si>
  <si>
    <t>2024-02-01 19:44:22</t>
  </si>
  <si>
    <t>Fino Payments Bank: Aarambh account Bihar me chalu karwaye sir</t>
  </si>
  <si>
    <t>2024-02-01 19:44:10</t>
  </si>
  <si>
    <t>Radhe Shyam Jaiswal</t>
  </si>
  <si>
    <t>Very very happy sir</t>
  </si>
  <si>
    <t>2024-02-01 19:43:36</t>
  </si>
  <si>
    <t>Satyawan Lilas</t>
  </si>
  <si>
    <t>Fino me customer ke bad delear ka authacution Kiya Jaye finger print</t>
  </si>
  <si>
    <t>2024-02-01 19:40:57</t>
  </si>
  <si>
    <t>Naveen Kumar</t>
  </si>
  <si>
    <t>6 month se kit nhi mila h</t>
  </si>
  <si>
    <t>2024-02-01 19:36:56</t>
  </si>
  <si>
    <t>@VikashKumar-cb6qz</t>
  </si>
  <si>
    <t>🎉🎉🎉🎉</t>
  </si>
  <si>
    <t>2024-02-01 19:29:57</t>
  </si>
  <si>
    <t>Rasis Deori 
Konse District Se Ho...?</t>
  </si>
  <si>
    <t>2024-02-01 19:28:38</t>
  </si>
  <si>
    <t>Ahbab Sahil same Mera bi asai horah he..</t>
  </si>
  <si>
    <t>2024-02-01 19:25:23</t>
  </si>
  <si>
    <t>Overview of Fino Mitra : SIM Binding</t>
  </si>
  <si>
    <t>2024-02-01 19:21:20</t>
  </si>
  <si>
    <t>mrmohdnadeem</t>
  </si>
  <si>
    <t>Nadeem Motivation</t>
  </si>
  <si>
    <t>@FinoPaymntsBank Check your website, website is not user friendly and responsive, and I noticed some more problems in your website if you want to know then contact me</t>
  </si>
  <si>
    <t>2024-02-01 19:17:02</t>
  </si>
  <si>
    <t>@FinoPaymntsBank Check your website, the website is not user friendly and responsive, and I noticed some more problems in your website if you eant to know , contact me</t>
  </si>
  <si>
    <t>2024-02-01 19:16:08</t>
  </si>
  <si>
    <t>Mahesh Dhakad</t>
  </si>
  <si>
    <t>Welcome sir</t>
  </si>
  <si>
    <t>2024-02-01 19:14:08</t>
  </si>
  <si>
    <t>Fino matlab Bakwas service</t>
  </si>
  <si>
    <t>2024-02-01 19:11:11</t>
  </si>
  <si>
    <t>Bakwas service hai aapka
KISHANGANJ BIHAR
मैं आपका ब्रांच बंद हो चुका है।
खाता धारक परेशान हैं।</t>
  </si>
  <si>
    <t>2024-02-01 19:10:53</t>
  </si>
  <si>
    <t>सर मेरा 50000 हजार फसा हुआ है
सर मेरी मदत करें</t>
  </si>
  <si>
    <t>2024-02-01 19:09:20</t>
  </si>
  <si>
    <t>Ghatiya ghatiya Bank</t>
  </si>
  <si>
    <t>2024-02-01 19:09:16</t>
  </si>
  <si>
    <t>Biswajit Sutradhar</t>
  </si>
  <si>
    <t>Fino Payments Bank: Malda par tim leader me hogi</t>
  </si>
  <si>
    <t>2024-02-01 19:07:16</t>
  </si>
  <si>
    <t>Super , Fino payments Bank</t>
  </si>
  <si>
    <t>2024-02-01 19:05:59</t>
  </si>
  <si>
    <t>ला रहे हैं आपके लिए कुछ खास ।
जुड़ें हिमांशु मिश्रा जी से, एग्जीक्यूटिव वाईस प्रेजिडेंट, फिनो पेमेंट्स बैंक और जानिए कमीशन से सम्बंधित नयी जानकारी।
.
.
.
#FinoPaymentsBank #FikarNot #FinoBanker #DigitalBanking #SecureBanking #FinoPay #FinoMerchant #HarDinFino #live #streaming</t>
  </si>
  <si>
    <t>2024-02-01 19:03:02</t>
  </si>
  <si>
    <t>H Kishun</t>
  </si>
  <si>
    <t>sabse ghatiya Bank</t>
  </si>
  <si>
    <t>2024-02-01 18:58:29</t>
  </si>
  <si>
    <t>@rustammanjila</t>
  </si>
  <si>
    <t>@finopaymentsbankप्रिय, आदरणीय सर/मैडम
सविनय निवेदन यह है कि प्रखण्ड कार्यालय द्वारा फिनो बैंक की पासबुक को अस्वीकार कर दिया जाता है कई सारे योजनाओं मैं जैसे की सावित्रीबाई फुले योजना, बच्चों की छात्रवृत्ति, पेंशन योजनाएं सेवा, इन सभी योजनाओ मैं फिनो बैंक को नहीं लिया जाता हैं हमारे प्रखंड कार्यालय द्वारा। बीते दिनों की बात है जब बच्चे ने सावित्रीबाई फुले योजना की फार्म को भर के दिया था तो फिनो पेमेंट बैंक की पासबुक को अस्वीकार कर दिया था
स्कूल द्वारा छात्रवृत्ति सभी बच्चों को प्राप्त हो रहा है परंतु फिनो बैंक वाले खाताधारक बच्चों को अभी तक के कोई छात्रवृत्ति प्राप्त नहीं हुआ है निम्नलिखित कुछ छात्रों की फिनो पेमेंट बैंक की खाता जानकारी नीचे साझा किया हूं जिन्हें अभी तक कोई छात्रवृत्ति प्राप्त नहीं हुआ है
पिछले बीते दिनों से मैं अपनी नजदीकी शाखा व कार्यालय ऑफिस फिनो में इस बात की जानकारी दिया हूं CRO,BSM,TSM, CLUSTER HEAD, RELIGION HEAD परंतु अभी तक इस पर कोई विशेष कार्रवाई नहीं की गई है
अतः फिनो पेमेंट्स बैंक के सभी टीम व कार्यकत स्टाफ से मेरा निवेदन है कि इस मामले को जल्द ही संज्ञान में लेते हुए समाधान किया जाय।
                  मुझे पूर्ण विश्वास है कि जल्द ही फिनो पेमेंट्स बैंक इस पर उचित कार्रवाई करेगी
ᴛʜᴀɴᴋ ʏᴏᴜ
ɴᴀᴍᴇ: ᴍᴅ ᴊᴀᴍsʜᴇᴅ</t>
  </si>
  <si>
    <t>2024-02-01 18:56:50</t>
  </si>
  <si>
    <t>No any Support from Fino Payments Bank</t>
  </si>
  <si>
    <t>2024-02-01 18:51:26</t>
  </si>
  <si>
    <t>2024-02-01 18:46:53</t>
  </si>
  <si>
    <t>Vimlesh Kumar Mehta</t>
  </si>
  <si>
    <t>2024-02-01 18:45:10</t>
  </si>
  <si>
    <t>Fino Payments Bank    I'm Distributor But No Any Good Support By Fino Payment Bank Darbhanga, Bihar ....
#FinoBanker #FikarNot #FinoMerchant
#SecureBanking #DigitalBanking</t>
  </si>
  <si>
    <t>2024-02-01 18:38:25</t>
  </si>
  <si>
    <t>Very Poor Service 😔</t>
  </si>
  <si>
    <t>2024-02-01 18:37:04</t>
  </si>
  <si>
    <t>Niranjan Rankawat</t>
  </si>
  <si>
    <t>Mene Fino ki I'd se lite bill pay Kiya tha7 July ko abhi tak 1550 rs ka ata pata nahi h koi sunta nahi ghatiya service h Fino ki</t>
  </si>
  <si>
    <t>2024-02-01 18:24:24</t>
  </si>
  <si>
    <t>Thanks sir</t>
  </si>
  <si>
    <t>2024-02-01 18:23:57</t>
  </si>
  <si>
    <t>ला रहे हैं आपके लिए कुछ खास । #fikarnot #securebanking #digitalbanking #finobanker #finomerchant</t>
  </si>
  <si>
    <t>2024-02-01 18:19:49</t>
  </si>
  <si>
    <t>Welcome sir..
Great fino payment bank. .</t>
  </si>
  <si>
    <t>2024-02-01 18:17:22</t>
  </si>
  <si>
    <t>Drx Furkan Ali Shah</t>
  </si>
  <si>
    <t>Sabse bekar bank ha Jo account ko freeze karta ha or kabhi bhi unfreeze nahi karta</t>
  </si>
  <si>
    <t>2024-02-01 18:15:42</t>
  </si>
  <si>
    <t>2024-02-01 18:15:14</t>
  </si>
  <si>
    <t>Mera id Aaj 6manth se block hai ko sunta nahi Distbutar our bank k stap milky parysan kar diya</t>
  </si>
  <si>
    <t>2024-02-01 18:13:29</t>
  </si>
  <si>
    <t>Nitesh Dhangar</t>
  </si>
  <si>
    <t>Sabse gatiya bank he fino aeps me cash widrol ka option gayab kar diya marchand ke</t>
  </si>
  <si>
    <t>2024-02-01 18:13:18</t>
  </si>
  <si>
    <t>Arjun Guddu Pal</t>
  </si>
  <si>
    <t>चन्द्र प्रकाश मौर्य हिन्दू right</t>
  </si>
  <si>
    <t>2024-02-01 18:13:03</t>
  </si>
  <si>
    <t>வெற்றிச் செல்வன்</t>
  </si>
  <si>
    <t>I need fino payment bank bc point</t>
  </si>
  <si>
    <t>2024-02-01 18:09:07</t>
  </si>
  <si>
    <t>2024-02-01 18:08:56</t>
  </si>
  <si>
    <t>AS Nishad</t>
  </si>
  <si>
    <t>ठीक नहीं</t>
  </si>
  <si>
    <t>2024-02-01 18:08:16</t>
  </si>
  <si>
    <t>Fino Payments Bank PB 10 to 7836878368 ko passbooks orders ke lia kithna try Karo passbooks order nai hora</t>
  </si>
  <si>
    <t>2024-02-01 18:07:32</t>
  </si>
  <si>
    <t>scoutquest</t>
  </si>
  <si>
    <t>ScoutQuest</t>
  </si>
  <si>
    <t>#FINOPB | 🔮 ScoutQuest Crystal Ball
Future business outlook based on management commentary
Outlook: Fino Payments Bank management is targeting 20% revenue growth this year and aims to be operational as an Small Finance Bank (SFB) within 12 to 18 months, subject to regulatory…</t>
  </si>
  <si>
    <t>2024-02-01 18:04:02</t>
  </si>
  <si>
    <t>☎️ Con-call Highlights  - Fino Payments Bank Limited
Financial Highlights:
- Fino Payments Bank has reported its 16th consecutive quarter of profitability, achieving the highest ever quarterly profit.
- Total revenue for Q3 FY24 increased by 18% year-on-year to 370.2 crores.
-…</t>
  </si>
  <si>
    <t>2024-02-01 18:03:41</t>
  </si>
  <si>
    <t>ला रहे हैं आपके लिए कुछ खास ।
जुड़ें हिमांशु मिश्रा जी से, एग्जीक्यूटिव वाईस प्रेजिडेंट, फिनो पेमेंट्स बैंक और जानिए कमीशन से सम्बंधित नयी जानकारी।
#FinoBanker #FikarNot #FinoMerchant
#SecureBanking #DigitalBanking</t>
  </si>
  <si>
    <t>2024-02-01 17:57:06</t>
  </si>
  <si>
    <t>Ravi Pal</t>
  </si>
  <si>
    <t>2024-02-01 17:41:52</t>
  </si>
  <si>
    <t>Fino ke saath rakhe future ki Fikar Not! Kyuki Bhavishya Savings Account hai saath behtar financial planning aur security ke liye.
#FinoPaymentsBank #FikarNot #FinoBanker #DigitalBanking #SecureBanking #HarDinFino #FinoPay #AccountOpening #SavingsAccount #FinancialPlanning101</t>
  </si>
  <si>
    <t>2024-02-01 17:00:18</t>
  </si>
  <si>
    <t>2024-02-01 17:00:00</t>
  </si>
  <si>
    <t>Fino ke saath rakhe future ki Fikar Not! Kyuki Bhavishya Savings Account hai saath behtar financial planning aur security ke liye.
#FinoPaymentsBank #FikarNot #FinoBanker #DigitalBanking #SecureBanking #HarDinFino #FinoPay #AccountOpening #SavingsAccount #FinancialPlanning101 https://t.co/ONZRgi3gbK</t>
  </si>
  <si>
    <t>Fino Payment Bank Customer Cash withdrawal Kare Without merchant TWO-FA Rules NPCINewGuidelines2024</t>
  </si>
  <si>
    <t>2024-02-01 16:00:16</t>
  </si>
  <si>
    <t>Lowell Campbell</t>
  </si>
  <si>
    <t>Congratulations team Fino</t>
  </si>
  <si>
    <t>2024-02-01 15:51:22</t>
  </si>
  <si>
    <t>2024-02-01 15:48:58</t>
  </si>
  <si>
    <t>Sachin Sharma</t>
  </si>
  <si>
    <t>Congratulations #FinoPaymentsBank finob</t>
  </si>
  <si>
    <t>2024-02-01 15:41:41</t>
  </si>
  <si>
    <t>24 Surya News</t>
  </si>
  <si>
    <t>Fino Payment Bank की मिनी शाखा खोल कर कमाए लाखों रुपये</t>
  </si>
  <si>
    <t>2024-02-01 15:35:08</t>
  </si>
  <si>
    <t>ಲೋಕೇಶ್ ಕಿಚ್ಚ ಲೋಕೇಶ್ ಪಿ</t>
  </si>
  <si>
    <t>Fino Payments Bank: Call me 9448258881</t>
  </si>
  <si>
    <t>2024-02-01 15:26:43</t>
  </si>
  <si>
    <t>2024-02-01 14:59:12</t>
  </si>
  <si>
    <t>Fino Payments Bank: Merchant I'd  please</t>
  </si>
  <si>
    <t>2024-02-01 14:52:28</t>
  </si>
  <si>
    <t>Fino Payments Bank: 9475096861</t>
  </si>
  <si>
    <t>2024-02-01 14:52:04</t>
  </si>
  <si>
    <t>PPankaj Rdx</t>
  </si>
  <si>
    <t>Fino Payments Bank: Khatami kulwala hai is me fino  payment  bank me</t>
  </si>
  <si>
    <t>2024-02-01 13:59:40</t>
  </si>
  <si>
    <t>Krupasindhu Sahu</t>
  </si>
  <si>
    <t>New account open karna he plz call 7326035111</t>
  </si>
  <si>
    <t>2024-02-01 13:45:55</t>
  </si>
  <si>
    <t>Mera id dms reject hua hai distributor tik nahi kar raha naam Amit gupta mobile number +91 97735 44392</t>
  </si>
  <si>
    <t>2024-02-01 13:36:30</t>
  </si>
  <si>
    <t>Mera ID DMS Reject hua hai usko bhi distributor tik nahi kar ta sirf paisa maang ta hai uski baad bhi payment lena chate hai atcha employees ko rakho</t>
  </si>
  <si>
    <t>2024-02-01 13:34:24</t>
  </si>
  <si>
    <t>Harsh Quoraharshentrepreneur Patel</t>
  </si>
  <si>
    <t>Entrepreneur in search of teams, learning, resources, mentors , intrapreneurship, remote jobs, more online for startups across multiple industries, sectors.  
Startup ideas- https://www.Quora.com/profile/Harsh-Entrepreneur 
https://www.buymeacoffee.com/HarshEntrepre
Could you assist me in executing startup ideas &amp; finding engineers, website developers, other team members for startups who could work on equity sharing basis? Volunteers are also welcome. 
harsh.entrepreneur@zohomail.in 
You can forward this email to the responsible person/team.</t>
  </si>
  <si>
    <t>2024-02-01 12:42:44</t>
  </si>
  <si>
    <t>Fino Payments Bank: Plz call me 7326035111</t>
  </si>
  <si>
    <t>2024-02-01 12:39:11</t>
  </si>
  <si>
    <t>Fino Payments Bank: I am interested join your company</t>
  </si>
  <si>
    <t>2024-02-01 12:38:23</t>
  </si>
  <si>
    <t>Dinesh Kumar Das</t>
  </si>
  <si>
    <t>Fino Payments Bank: Have you any job ?</t>
  </si>
  <si>
    <t>2024-02-01 12:04:39</t>
  </si>
  <si>
    <t>*_तुम यूँ ही सोचते रहोगे, दुसरे कर जायेंगे_* |
*_तुम यूँ ही टालते रहोगे, दुसरे बढ़ जायेंगे_* |
*_अवसर कभी रुकते नहीं, आगे निकल जायेंगें_* |
*_हाँथ पर हाँथ रख बैठे रहोगे, सपने मर जायेंगें ||_*
*_किस्मत भी बादशाह उन्हीं को बनाती है जो खुद कुछ करने का हुनर रखते हैं_* 🔥☝
*_दुनिया में अगर कोई कर सकता है तो आप भी कर सकते हो खुद पर भरोसा रखो_* ❤💎🤝✌✌
*आओ मिलकर🫂 बड़ा नहीं बहुत बड़ा करते है।।*
 *""*🤝. 😎🤟🏻*
#networkmarketing #lifestyle #mlm #followers Fino Payments Bank Devesh Shukla Youtag 
Install YOUTAG BIZ and get Registered Using My ID:-17109462 to Get Registration Benefit
https://play.google.com/store/apps/details?id=com.youtagindia.business&amp;amp;referrer=utm_source%3Dgoogle%26utm_campaign%3D17109462</t>
  </si>
  <si>
    <t>2024-02-01 12:01:29</t>
  </si>
  <si>
    <t>Cancer awareness is the first step to cure. Let us be aware of various types of cancers and look out for early signs to keep ourselves and our loved ones away from the deadly disease.
{hashtag|\#|FinoPaymentsBank} {hashtag|\#|FikarNot} {hashtag|\#|FinoBanker} {hashtag|\#|DigitalBanking} {hashtag|\#|SecureBanking} {hashtag|\#|HarDinFino} {hashtag|\#|FinoPay} {hashtag|\#|WorldCancerDay} {hashtag|\#|CancerAwareness} {hashtag|\#|TakeControlOfYourLife}</t>
  </si>
  <si>
    <t>2024-02-01 11:55:32</t>
  </si>
  <si>
    <t>Som Kumar</t>
  </si>
  <si>
    <t>Som kumar</t>
  </si>
  <si>
    <t>2024-02-01 11:48:12</t>
  </si>
  <si>
    <t>Fino Payment Bank 🏦 Passbook And Kit Unboxing</t>
  </si>
  <si>
    <t>2024-02-01 11:47:06</t>
  </si>
  <si>
    <t>Mukesh Jain</t>
  </si>
  <si>
    <t>2024-02-01 11:28:57</t>
  </si>
  <si>
    <t>2024-02-01 11:28:15</t>
  </si>
  <si>
    <t>2024-02-01 11:27:46</t>
  </si>
  <si>
    <t>Fino Payments Bank Ltd Q3 FY2023-24 PAT at Rs. 22.80 crores
@FinoPaymntsBank #Q3FY24 #9MFY24 #ResultUpdate 
https://t.co/0r9Bho8cV8</t>
  </si>
  <si>
    <t>2024-02-01 11:13:53</t>
  </si>
  <si>
    <t>सर ये बताये की fino पेमेंट बैंक कब से fino स्माल बैंक होगा</t>
  </si>
  <si>
    <t>2024-02-01 11:02:45</t>
  </si>
  <si>
    <t>Fino सबसे बेस्ट पेमेंट बैंक
सर ये बताये की fino स्माल फाइनेंस बैंक कब तक हो जायेगा</t>
  </si>
  <si>
    <t>2024-02-01 11:00:11</t>
  </si>
  <si>
    <t>Babul Das  Sure Sir. Please share your contact number.</t>
  </si>
  <si>
    <t>2024-02-01 10:27:31</t>
  </si>
  <si>
    <t>Technical Manish YT</t>
  </si>
  <si>
    <t>Fino Payment Bank customer care number 🫢 // how to call fino Payment Bank Helpline number 2024</t>
  </si>
  <si>
    <t>2024-02-01 10:18:48</t>
  </si>
  <si>
    <t>ஆதார் மூலம் பணம் எடுப்பதற்கு பேங்கிங் சிஎஸ்பி பாதுகாப்பாக இருக்குமா. fino bank csp</t>
  </si>
  <si>
    <t>2024-02-01 10:00:08</t>
  </si>
  <si>
    <t>Rofik Sk</t>
  </si>
  <si>
    <t>Fino Payments Bank: Facebook ke social media Bank chor Fino Bank chor</t>
  </si>
  <si>
    <t>2024-02-01 09:54:06</t>
  </si>
  <si>
    <t>Fino Payments Bank: Fino Bank Chor Bank</t>
  </si>
  <si>
    <t>2024-02-01 09:53:35</t>
  </si>
  <si>
    <t>Chor bank account Fino Bank Chor Bank</t>
  </si>
  <si>
    <t>2024-02-01 09:53:04</t>
  </si>
  <si>
    <t>2024-02-01 09:52:05</t>
  </si>
  <si>
    <t>Fraud bank</t>
  </si>
  <si>
    <t>2024-02-01 09:41:25</t>
  </si>
  <si>
    <t xml:space="preserve">Pl give me your customer care number </t>
  </si>
  <si>
    <t>2024-02-01 09:31:28</t>
  </si>
  <si>
    <t>Fino Payments Bank: Sir ji Mera AC baileef pua hu gya new atm chahiye mujhe</t>
  </si>
  <si>
    <t>2024-02-01 09:17:34</t>
  </si>
  <si>
    <t>Shankar Thakur</t>
  </si>
  <si>
    <t>Sar Cash withdraw ki problem Kaise theek Karen</t>
  </si>
  <si>
    <t>2024-02-01 08:49:15</t>
  </si>
  <si>
    <t>2024-02-01 08:43:34</t>
  </si>
  <si>
    <t>Fino Payments Bank is Very Bad sabse ghatiya bank hai customer Merchant ki koi problem ka solution nhi krte hai ye</t>
  </si>
  <si>
    <t>2024-02-01 08:25:03</t>
  </si>
  <si>
    <t>anshusa02502815</t>
  </si>
  <si>
    <t>anshu saha</t>
  </si>
  <si>
    <t>Fino Payments Bank registers the highest profitable quarter in its history.  Achieved 94% of previous year profitability in 9 months. Crosses 1 crore customer base milestone!!
#FinoPaymentsBank #FikarNot #FinoBanker #DigitalBanking #SecureBanking #Results #FinoPay #HarDinFino https://t.co/F5SOm2fBAc</t>
  </si>
  <si>
    <t>2024-02-01 08:08:45</t>
  </si>
  <si>
    <t>2024-02-01 07:06:17</t>
  </si>
  <si>
    <t>Abhishek Gupta any legal notice</t>
  </si>
  <si>
    <t>2024-02-01 06:48:17</t>
  </si>
  <si>
    <t>share market99</t>
  </si>
  <si>
    <t>Fino Payments Bank &amp;amp; Jubilant FoodWorks Q3  Results</t>
  </si>
  <si>
    <t>2024-02-01 00:06:41</t>
  </si>
  <si>
    <t>Starlink- Network950</t>
  </si>
  <si>
    <t>What is fino payments bank - How does it work, do you get government benefits or not?</t>
  </si>
  <si>
    <t>2024-02-01 00:00:08</t>
  </si>
  <si>
    <t>2024-01-31</t>
  </si>
  <si>
    <t>KISHANGANJ BIHAR SE SABHI BRANCH BAND HO CHUKA HAI</t>
  </si>
  <si>
    <t>2024-01-31 23:47:15</t>
  </si>
  <si>
    <t>#fino Matlab faltu bank service</t>
  </si>
  <si>
    <t>2024-01-31 23:46:23</t>
  </si>
  <si>
    <t>Hello sir 
2 saal se commision nahi aaya
Kya kare
Batao
Kaise kaam kare fino me</t>
  </si>
  <si>
    <t>2024-01-31 23:01:40</t>
  </si>
  <si>
    <t>Pooja Singh</t>
  </si>
  <si>
    <t>Fino Payments Bank FY24 Q3 Results🤑💰 #bank #q3results2024 #profit</t>
  </si>
  <si>
    <t>2024-01-31 22:35:17</t>
  </si>
  <si>
    <t>2024-01-31 22:14:43</t>
  </si>
  <si>
    <t>Thanks for giving good information</t>
  </si>
  <si>
    <t>2024-01-31 22:13:24</t>
  </si>
  <si>
    <t>Hari Ram Yadav</t>
  </si>
  <si>
    <t>फालतू बैंक</t>
  </si>
  <si>
    <t>2024-01-31 21:55:29</t>
  </si>
  <si>
    <t>all India news</t>
  </si>
  <si>
    <t>Mera watsapp no hii 8222978722</t>
  </si>
  <si>
    <t>2024-01-31 21:54:02</t>
  </si>
  <si>
    <t>Allen Kumari m kholdunga kisi bhi bank m open kralo jisme apka MN kre</t>
  </si>
  <si>
    <t>2024-01-31 21:53:06</t>
  </si>
  <si>
    <t xml:space="preserve">2 SIDE GAMING </t>
  </si>
  <si>
    <t>FINO 🗿🍷</t>
  </si>
  <si>
    <t>2024-01-31 21:47:29</t>
  </si>
  <si>
    <t>Mod Ayan</t>
  </si>
  <si>
    <t>Fino Payments Bank: I'd</t>
  </si>
  <si>
    <t>2024-01-31 21:42:33</t>
  </si>
  <si>
    <t>2024-01-31 21:42:26</t>
  </si>
  <si>
    <t>Brajesh Malviya</t>
  </si>
  <si>
    <t>Sourav Das only 6 months ago</t>
  </si>
  <si>
    <t>2024-01-31 21:39:45</t>
  </si>
  <si>
    <t>KeerthiRed8298</t>
  </si>
  <si>
    <t>Keerthi Reddy</t>
  </si>
  <si>
    <t>Msg to cyber cell in WhatsApp 8885649516 
  Quoted Tweet : @SonaliRajmali : @MdNaseem248015 @AshishGusinga @Paytm @paytmbankcare @airtelbank @HDFCBank_Cares @FinoPaymntsBank @TheOfficialSBI @RBI Same happened with my father’s paytm account. It’s been one month no help has been provided.</t>
  </si>
  <si>
    <t>2024-01-31 21:33:15</t>
  </si>
  <si>
    <t>kindly work on this case as mail also sent to your bank  no reply yet on my mail .......
concern team please get back on this matter</t>
  </si>
  <si>
    <t>2024-01-31 21:25:01</t>
  </si>
  <si>
    <t xml:space="preserve">: Report of Fraudulent Activity
 I am reaching out to inform you about a concerning situation I recently discovered. It appears that I have fallen victim to fraudulent activity involving my financial accounts for Rs 42500/-
I have already taken the necessary steps to report this to the local authorities Cyber Police . However, I they are not responding now numbers provided are none reacheble. Location Malad west police station Mumbai hashtag
#cybercrime hashtag
#mumbaipolice 
Fraud Done By #finobank#customer hashtag
#paytmAap hashtag
#UPI hashtag
#npci hashtag
#rbi 
Name of the Person found On True Caller Anil Sharma 
Mobile No + 917485079207 (Anil Sharma)
UPI ID 918653034249@paytm
Fino bank Last Four Digit ........3274 hashtag
#finobank Name Of the Customer 
*Saurabh yadav*(fraudster ) - amount taken from Ac 42500/-
Urgent Action required In this Matter 
I am actively Trying To reach on #1903 But Not able To Connect Also one Lady recived call and busy there on other talk 
hashtag
#IGP hashtag
#Yashasvi hashtag
#finobank hashtag
#finopaymentbank hashtag
#Cybercrime hashtag
#mumbaipolice hashtag
#indiapolice hashtag
#indiantechonology hashtag
#Fraud hashtag
#NPCI hash
</t>
  </si>
  <si>
    <t>2024-01-31 21:20:54</t>
  </si>
  <si>
    <t>: Report of Fraudulent Activity
 I am reaching out to inform you about a concerning situation I recently discovered. It appears that I have fallen victim to fraudulent activity involving my financial accounts for Rs 42500/-
I have already taken the necessary steps to report this to the local authorities Cyber Police . However, I they are not responding now numbers provided are none reacheble. Location Malad west police station Mumbai hashtag
#cybercrime hashtag
#mumbaipolice 
Fraud Done By #finobank#customer hashtag
#paytmAap hashtag
#UPI hashtag
#npci hashtag
#rbi 
Name of the Person found On True Caller Anil Sharma 
Mobile No + 917485079207 (Anil Sharma)
UPI ID 918653034249@paytm
Fino bank Last Four Digit ........3274 hashtag
#finobank Name Of the Customer 
*Saurabh yadav*(fraudster ) - amount taken from Ac 42500/-
Urgent Action required In this Matter 
I am actively Trying To reach on #1903 But Not able To Connect Also one Lady recived call and busy there on other talk 
hashtag
#IGP hashtag
#Yashasvi hashtag
#finobank hashtag
#finopaymentbank hashtag
#Cybercrime hashtag
#mumbaipolice hashtag
#indiapolice hashtag
#indiantechonology hashtag
#Fraud hashtag
#NPCI hashtag
#RBI hashtag
#pmo hashtag</t>
  </si>
  <si>
    <t>2024-01-31 21:19:45</t>
  </si>
  <si>
    <t>#Fikarnot is more than just a phrase; it's a commitment to confidence and security.
Say goodbye to the era of PINs with Fingerprint Cards innovative solution! 
Lets join this journey towards enhanced security, and let's redefine the future of banking together! 💬🔒 #FinoPaymentsBank #fingerptints #BiometricSecurity #ContactlessPayment #InnovationInBanking  #NoMorePINs</t>
  </si>
  <si>
    <t>2024-01-31 21:19:30</t>
  </si>
  <si>
    <t xml:space="preserve">: Report of Fraudulent Activity
 I am reaching out to inform you about a concerning situation I recently discovered. It appears that I have fallen victim to fraudulent activity involving my financial accounts for Rs 42500/-
I have already taken the necessary steps to report this to the local authorities Cyber Police . However, I they are not responding now numbers provided are none reacheble. Location Malad west police station Mumbai hashtag
#cybercrime hashtag
#mumbaipolice 
Fraud Done By #finobank#customer hashtag
#paytmAap hashtag
#UPI hashtag
#npci hashtag
#rbi 
Name of the Person found On True Caller Anil Sharma 
Mobile No + 917485079207 (Anil Sharma)
UPI ID 918653034249@paytm
Fino bank Last Four Digit ........3274 hashtag
#finobank Name Of the Customer 
*Saurabh yadav*(fraudster ) - amount taken from Ac 42500/-
Urgent Action required In this Matter 
I am actively Trying To reach on #1903 But Not able To Connect Also one Lady recived call and busy there on other talk 
hashtag
#IGP hashtag
#Yashasvi hashtag
#finobank hashtag
#finopaymentbank hashtag
#Cybercrime hashtag
#mumbaipolice hashtag
#indiapolice hasht
#NPCI hashtag
#RBI hashtag
#pmo hashtag
#twitter hashtag
#bankofbaroda hashtag
#bob 
</t>
  </si>
  <si>
    <t>2024-01-31 21:19:15</t>
  </si>
  <si>
    <t>@rajeshkumar-zl3ni</t>
  </si>
  <si>
    <t>2024-01-31 21:19:02</t>
  </si>
  <si>
    <t>: Report of Fraudulent Activity
 I am reaching out to inform you about a concerning situation I recently discovered. It appears that I have fallen victim to fraudulent activity involving my financial accounts for Rs 42500/-
I have already taken the necessary steps to report this to the local authorities Cyber Police . However, I they are not responding now numbers provided are none reacheble. Location Malad west police station Mumbai hashtag
#cybercrime hashtag
#mumbaipolice 
Fraud Done By #finobank#customer hashtag
#paytmAap hashtag
#UPI hashtag
#npci hashtag
#rbi 
Name of the Person found On True Caller Anil Sharma 
Mobile No + 917485079207 (Anil Sharma)
UPI ID 918653034249@paytm
Fino bank Last Four Digit ........3274 hashtag
#finobank Name Of the Customer 
*Saurabh yadav*(fraudster ) - amount taken from Ac 42500/-
Urgent Action required In this Matter 
I am actively Trying To reach on #1903 But Not able To Connect Also one Lady recived call and busy there on other talk 
hashtag
#IGP hashtag
#Yashasvi hashtag
#finobank hashtag
#finopaymentbank hashtag
#Cybercrime hashtag
#mumbaipolice hashtag
#indiapolice hashtag
#indiantechonology hasht
#NPCI hashtag
#RBI hashtag
#pmo hashta</t>
  </si>
  <si>
    <t>2024-01-31 21:18:37</t>
  </si>
  <si>
    <t>Jagadish Mohanty</t>
  </si>
  <si>
    <t>Bakwas</t>
  </si>
  <si>
    <t>2024-01-31 21:14:56</t>
  </si>
  <si>
    <t>Ninja yt 1m</t>
  </si>
  <si>
    <t>FINO 🎯🗿</t>
  </si>
  <si>
    <t>2024-01-31 21:14:34</t>
  </si>
  <si>
    <t>Sir I'd kyun block ho raha hai??</t>
  </si>
  <si>
    <t>2024-01-31 21:08:08</t>
  </si>
  <si>
    <t>@FinoPaymntsBank  my मर्चंट ID ब्लॉक how to process</t>
  </si>
  <si>
    <t>2024-01-31 20:53:03</t>
  </si>
  <si>
    <t>@FinoPaymntsBank  मर्चंट ID ब्लॉक</t>
  </si>
  <si>
    <t>2024-01-31 20:52:19</t>
  </si>
  <si>
    <t>@FinoPaymntsBank hh</t>
  </si>
  <si>
    <t>2024-01-31 20:50:01</t>
  </si>
  <si>
    <t>I'm interested Aeps service</t>
  </si>
  <si>
    <t>2024-01-31 20:35:17</t>
  </si>
  <si>
    <t>Rahul Ghosh</t>
  </si>
  <si>
    <t>Madrachod Bank Mera 12000 gand mar Diya</t>
  </si>
  <si>
    <t>2024-01-31 20:31:49</t>
  </si>
  <si>
    <t>SARKARI FAST</t>
  </si>
  <si>
    <t>relipay New Update 2024 | अब relipay ID से फिनो PAYMENT बैंक का खता खोले जीरो बैलेंस 2024 -fino rnfi</t>
  </si>
  <si>
    <t>2024-01-31 20:22:19</t>
  </si>
  <si>
    <t>vimla bhatia</t>
  </si>
  <si>
    <t>Congratulations. Keep it up</t>
  </si>
  <si>
    <t>2024-01-31 20:10:57</t>
  </si>
  <si>
    <t>Anup Saroj</t>
  </si>
  <si>
    <t>Super 👍</t>
  </si>
  <si>
    <t>2024-01-31 20:02:43</t>
  </si>
  <si>
    <t>Kab ham log ka fino payment Bank small finance Bank hoga yah jankari chahte hain please</t>
  </si>
  <si>
    <t>2024-01-31 19:47:39</t>
  </si>
  <si>
    <t>Abhishek Gupta</t>
  </si>
  <si>
    <t>Md Jamshed  जुलाई से</t>
  </si>
  <si>
    <t>2024-01-31 19:44:55</t>
  </si>
  <si>
    <t>Small Finance Bank kab Banega</t>
  </si>
  <si>
    <t>2024-01-31 19:26:21</t>
  </si>
  <si>
    <t>W A Mazumder</t>
  </si>
  <si>
    <t>Fino Payments Bank: Atm.rent k.charge 1 bar ki jagah 5 bar debit Kar liys</t>
  </si>
  <si>
    <t>2024-01-31 19:17:01</t>
  </si>
  <si>
    <t>Rajesh Kumar Yadav</t>
  </si>
  <si>
    <t>2024-01-31 19:15:06</t>
  </si>
  <si>
    <t>Mera ek rong transfer tha 6 mahina ho gya abhi tak returns nhi mila</t>
  </si>
  <si>
    <t>2024-01-31 19:14:52</t>
  </si>
  <si>
    <t>2024-01-31 19:05:20</t>
  </si>
  <si>
    <t>“Tune in to the FB-Live session with Mr Himanshu Mishra, Execute Vice President, Fino Payments Bank on commission related new information.”
.
.
.
#FinoPaymentsBank #FikarNot #FinoBanker #DigitalBanking #SecureBanking #FinoPay #FinoMerchant #HarDinFino #live #streaming</t>
  </si>
  <si>
    <t>2024-01-31 18:54:43</t>
  </si>
  <si>
    <t>"Q3 FY24 has been an exceptional quarter with sustained profitability." Said @[Rishi Gupta](urn:li:person:EnpO49orWl), MD &amp; CEO, Fino Payments Bank as the bank registers the highest profitable quarter in its history. It achieved 94% of previous year profitability in 9 months and crossed 1 crore customer base milestone!
{hashtag|\#|FikarNot} {hashtag|\#|DigitalBanking} {hashtag|\#|profitability} {hashtag|\#|milestone}  {hashtag|\#|securebanking}</t>
  </si>
  <si>
    <t>2024-01-31 18:45:59</t>
  </si>
  <si>
    <t>Dalapat Rajphut Jujani</t>
  </si>
  <si>
    <t>2024-01-31 18:36:55</t>
  </si>
  <si>
    <t>2024-01-31 18:36:49</t>
  </si>
  <si>
    <t>Inc42</t>
  </si>
  <si>
    <t>Fino Payments Bank’s consolidated profit after tax (PAT) jumped 19% year-on-year (YoY) to INR 22.8 Cr in the third quarter (Q3) of the financial year 2023-24 (FY24) on the back of strong growth in transactions and user base. The payments bank recorded a PAT of INR 19.1 Cr in Q3 FY23 👇 
The payment bank’s net profit increased 17% from INR 19.5 Cr.
The payments bank’s revenue increased 18% to INR 370.2 Cr in Q3 FY24 from INR 314.1 Cr in Q3 FY23. On a quarter-on-quarter (QoQ) basis, it rose 3% from INR 358.6 Cr in Q2 FY24. 
Meanwhile, expenses continued to rise, largely on the back of ‘other operating expenses’. Fino Payments Bank’s total expenditure grew 18% to INR 347 Cr in Q3 FY24 from INR 295 Cr in the year-ago period. 
To read more in detail, click here: https://shorturl.at/pxR15
#revenue #banking #profit</t>
  </si>
  <si>
    <t>2024-01-31 18:28:58</t>
  </si>
  <si>
    <t>Sunil Kumar</t>
  </si>
  <si>
    <t>Focus on BC</t>
  </si>
  <si>
    <t>2024-01-31 18:20:53</t>
  </si>
  <si>
    <t>Get ready for something exciting!
Tune in to the FB-Live session with Mr Himanshu Mishra, Execute Vice President, Fino Payments Bank on commission related new information.
#FinoBanker
#FikarNot
#DigitalBanking
#HarDinFino
#FinoMerchant</t>
  </si>
  <si>
    <t>2024-01-31 18:08:52</t>
  </si>
  <si>
    <t>Meri id 1 saal se band hai koi nahi aaya help karne.</t>
  </si>
  <si>
    <t>2024-01-31 17:56:34</t>
  </si>
  <si>
    <t>2024-01-31 17:44:39</t>
  </si>
  <si>
    <t>Bhopal Singh Shaktawat</t>
  </si>
  <si>
    <t>Superb</t>
  </si>
  <si>
    <t>2024-01-31 17:44:01</t>
  </si>
  <si>
    <t>2024-01-31 17:08:33</t>
  </si>
  <si>
    <t>Banking fraud se bachne ke liye apni niji jaankari kisi bhi suspicious caller se share na karein.
#FinoPaymentsBank #FikarNot #FinoBanker #DigitalBanking #SecureBanking #HarDinFino #FinoPay #ScamAlert #BankFraud</t>
  </si>
  <si>
    <t>2024-01-31 17:00:19</t>
  </si>
  <si>
    <t>Banking fraud se bachne ke liye apni niji jaankari kisi bhi suspicious caller se share na karein.
#FinoPaymentsBank #FikarNot #FinoBanker #DigitalBanking #SecureBanking #HarDinFino #FinoPay #ScamAlert #BankFraud https://t.co/gXcwngt4on</t>
  </si>
  <si>
    <t>2024-01-31 17:00:00</t>
  </si>
  <si>
    <t>2024-01-31 16:38:57</t>
  </si>
  <si>
    <t>Share Market with Vini</t>
  </si>
  <si>
    <t>Fino Payment Bank Q3 Results 🔴 Fino Payment Bank Share Latest News 🔴 Fino Payment Bank Results</t>
  </si>
  <si>
    <t>2024-01-31 16:32:22</t>
  </si>
  <si>
    <t>Fino Payments Bank registers the highest profitable quarter in its history.  Achieved 94% of previous year profitability in 9 months. Crosses 1 crore customer base milestone!!
#FinoPaymentsBank #FikarNot #FinoBanker #DigitalBanking #SecureBanking #Results #FinoPay #HarDinFino</t>
  </si>
  <si>
    <t>2024-01-31 16:30:11</t>
  </si>
  <si>
    <t>2024-01-31 16:30:05</t>
  </si>
  <si>
    <t>NirmalBang</t>
  </si>
  <si>
    <t>Nirmal Bang</t>
  </si>
  <si>
    <t>Fino Payments Bank Ltd: Result has improved
@FinoPaymntsBank 
#NirmalBang #equity #resultupdate #nse #bse #Q3FY24Results #nifty #StockMarkets #stockmarketindia #earnings #earningreview #Q3Results #Q3FY24 https://t.co/WQgIJuS3e8</t>
  </si>
  <si>
    <t>2024-01-31 16:22:09</t>
  </si>
  <si>
    <t>SafeGainz</t>
  </si>
  <si>
    <t>Fino Payment Bank crossed 1 cr customer base in #Q3FY24. Revenue &amp;amp; EBITDA has grown with digital transactions contributing up to 35%. They filed an application for SFB license as well. 
#Q3Results  #earnings #StocksToBuy #sharemarket #finopayment https://t.co/nIclZEYu3I</t>
  </si>
  <si>
    <t>2024-01-31 15:44:38</t>
  </si>
  <si>
    <t>Chennai and mumbai</t>
  </si>
  <si>
    <t>1k0nftN93826</t>
  </si>
  <si>
    <t>nΞ1k0nft</t>
  </si>
  <si>
    <t>@Gorakhpuriyan @FinoPaymntsBank easy peasy. It's so fast 🤑💸 https://t.co/l15BcrRcjc 
  Quoted Tweet : @marineb051 : I make around 5-10 ETH per week! 🤑
Tutorial: https://t.co/x7n2BxWCOM
I've been using it for 3 months now.
It works great for me and it's my biggest source of income right now.✅
It's the best i've seen so far♥️
Literally a gamechanger!
Don't forget to like + share https://t.co/flOdF66fKr</t>
  </si>
  <si>
    <t>2024-01-31 15:20:54</t>
  </si>
  <si>
    <t>Gorakhpuriyan</t>
  </si>
  <si>
    <t>Opened account in @FinoPaymntsBank today and initial funding of 450 did, but I cannot transfer this money nor with UPI,why?</t>
  </si>
  <si>
    <t>2024-01-31 15:20:49</t>
  </si>
  <si>
    <t>Maharajganj, india</t>
  </si>
  <si>
    <t>#FINOPB | 📌 Fino Payments Bank Limited achieved its highest profitable quarter and crossed the 1 crore customer base mark in Q3’24 and 9M’24. The bank's revenue, EBITDA, and PAT showed significant growth, with digital transactions contributing 35% to revenue. Additionally, the…</t>
  </si>
  <si>
    <t>2024-01-31 15:15:15</t>
  </si>
  <si>
    <t>Investofy</t>
  </si>
  <si>
    <t>FINO PAYMENTS BANK Q3 results 2024 |FINO PAYMENTS BANK results today | FINO PAYMENTS BANK Share News</t>
  </si>
  <si>
    <t>2024-01-31 15:00:51</t>
  </si>
  <si>
    <t>pankaj9725</t>
  </si>
  <si>
    <t>Pankaj Mishra</t>
  </si>
  <si>
    <t>@NPCI_NPCI But sir, when I talk to fino payment bank, they say that NPCI has got it blocked, we cannot help in this, my ID, Rs 177000 payment is also withheld.</t>
  </si>
  <si>
    <t>2024-01-31 13:24:43</t>
  </si>
  <si>
    <t>@NPCI_NPCI @FinoPaymntsBank @RBI Fino payment bank has been reported from NPCI. About me, my ID has been locked for this What is the reason Sir why is my ID blocked Please tell us the reason Sir</t>
  </si>
  <si>
    <t>2024-01-31 12:37:01</t>
  </si>
  <si>
    <t>@NPCI_NPCI @FinoPaymntsBank @RBI 
Sir, I am a merchant of Fino Payment Bank.
Name Pankaj Ramballbh Mishra
Merchant id No 132133518
Mobile number 9510140121
Aadhar No 291900157893
Pan No AOGPM5385J https://t.co/O67cf8jI4Y</t>
  </si>
  <si>
    <t>2024-01-31 12:35:49</t>
  </si>
  <si>
    <t>2024-01-31 12:35:24</t>
  </si>
  <si>
    <t>marketswithsam</t>
  </si>
  <si>
    <t>Samraat Jadhav</t>
  </si>
  <si>
    <t>Motherson Sumi, Carborundum Universal, Kajaria Ceramics, Relaxo Footwears, Jyothy Labs, IDFC, Swan Energy, DCM Shriram, GE Shippin, Amara Raja Energy &amp;amp; Mobility, Poly Medicure, Westlife Foodworld, Fino Payments Bank, Atul Auto.
@viewprosperity</t>
  </si>
  <si>
    <t>2024-01-31 12:09:44</t>
  </si>
  <si>
    <t>CHANDKISHOR CHOUDHRY</t>
  </si>
  <si>
    <t>Fino payment Bank ID ke liye contact 7903070266</t>
  </si>
  <si>
    <t>2024-01-31 12:01:31</t>
  </si>
  <si>
    <t>Mukesh Communication  23k views • 2 hours ago</t>
  </si>
  <si>
    <t>Fino Bank Passbook Print | Fino Bank Passbook Print From Any Printer | How To Print Fino Passbook</t>
  </si>
  <si>
    <t>2024-01-31 11:59:29</t>
  </si>
  <si>
    <t>Hiren69dhakan</t>
  </si>
  <si>
    <t>Hiren</t>
  </si>
  <si>
    <t>Trade title :  Positional
• Scrip Name: FINO PAYMENT BANK
• Trade Type: Buy
• Entry Price: 290
• Target 1:  305
• Target 2:  320
• Time Period: 10 days
• Stop Loss: 275
#stock #stockmarkets #StocksInFocus #StocksToWatch #StocksToBuy</t>
  </si>
  <si>
    <t>2024-01-31 11:12:50</t>
  </si>
  <si>
    <t>Flattradein</t>
  </si>
  <si>
    <t>Flattrade</t>
  </si>
  <si>
    <t>#Quarterly #Q3RESULTS #Q3 #Results #Earnings #Q3 #FY24 #Q3FY24 #NSE #BSE #Today 
DB Realty, Dixon Technologies, Fino Payments Bank, GMR Airports, Godrej Consumer Products, IRB Infrastructure, Jindal Steel &amp;amp; Power, Jubilant FoodWorks, Jyothy Labs, Kalyan Jewellers, Mankind Pharma https://t.co/iAd6b164oY</t>
  </si>
  <si>
    <t>2024-01-31 10:30:04</t>
  </si>
  <si>
    <t>Sk502054</t>
  </si>
  <si>
    <t>Sachin Jain</t>
  </si>
  <si>
    <t>#Upcoming results on 31/01/24
1.Mankind Pharma Ltd
2.Motherson Sumi Wiring India Ltd
3.Adani Wilmar Ltd
4.Fino Payments Bank Ltd
5.Kalyan Jewellers India 
6.Greenpanel Industries 
7.Dixon Technologies 
8.Relaxo Footwears Ltd
9.Jindal Steel &amp;amp; Power Ltd
10.Suzlon Energy Ltd</t>
  </si>
  <si>
    <t>2024-01-31 10:06:25</t>
  </si>
  <si>
    <t>PushkarInv</t>
  </si>
  <si>
    <t>MONEY BAZAR TRADING OFFICIAL</t>
  </si>
  <si>
    <t>Results on January 31  Maruti Suzuki India, Sun Pharmaceutical Industries, Shree Cement, Ambuja Cements, Bank of Baroda, Dabur India, Amara Raja Energy &amp;amp; Mobility, Adani Wilmar, Balaji Amines, Dixon Technologies, Fino Payments Bank, GMR Airports Infrastructure, Godrej Consumer…</t>
  </si>
  <si>
    <t>2024-01-31 09:05:38</t>
  </si>
  <si>
    <t>Punjab</t>
  </si>
  <si>
    <t>moneycontrolcom</t>
  </si>
  <si>
    <t>Moneycontrol</t>
  </si>
  <si>
    <t>#EarningsWithMC | #MarutiSuzuki eyes healthy topline this quarter while solid numbers may be on cards for #SunPharma 📈
🔴 Catch all the #Q3Results updates on our live blog 👇
https://t.co/0Fee3R1Ju4 
#Q3FY24 #Results</t>
  </si>
  <si>
    <t>2024-01-31 09:04:58</t>
  </si>
  <si>
    <t>arivomsandhai</t>
  </si>
  <si>
    <t>அறிவோம் பங்குசந்தை</t>
  </si>
  <si>
    <t>Results today
Ambuja Cement,Maruthi , Bank of Baroda, Dixon, GMR Infra, Jubilant Food,Shree Cement PVR Inox, Heidelberg, 3i, Ajanta Pharma, Amara Raja, Atul Auto,Fino Payment,  IDFC,Jyothy Lab, Kajaria, Kitex, Lux, Mankind Pharma, Nilkamal, PGHH, Relaxo,</t>
  </si>
  <si>
    <t>2024-01-31 09:01:22</t>
  </si>
  <si>
    <t xml:space="preserve">Tamilnadu </t>
  </si>
  <si>
    <t>C.M KESHAV FF</t>
  </si>
  <si>
    <t>FINO 🍷</t>
  </si>
  <si>
    <t>2024-01-31 08:36:34</t>
  </si>
  <si>
    <t>ICICIBANK_ICIC</t>
  </si>
  <si>
    <t>ICICI BANK CARES</t>
  </si>
  <si>
    <t>We apologize on behalf of .  We are sorry About Your Concern Please Reach Us Our 24/7 Helpline No +917762827075 Any Issue for the inconvenience caused to you. to assist you better kindly share your contact info via DM thanks you +917762827075 
  Quoted Tweet : @SrishtiNarayan3 : @Uppolice , @KanpurPolice , @ICICIBank , @FinoPaymntsBank 
@Cyberdost , @PhonePe , @PhonePeSupport
Please help, and  advice
From Ac 181901506992
A unexpected transaction
I try to contact this person, but not successful, 
 Contact Number is switch off..</t>
  </si>
  <si>
    <t>2024-01-31 08:01:27</t>
  </si>
  <si>
    <t>Results on January 31: Maruti Suzuki India, Sun Pharmaceutical Industries, Shree Cement, Ambuja Cements, Bank of Baroda, Dabur India, Amara Raja Energy &amp;amp; Mobility, Atul Auto, Adani Wilmar, Balaji Amines, Data Patterns (India), DB Realty, Dixon Technologies, Fino Payments Bank,</t>
  </si>
  <si>
    <t>2024-01-31 07:41:57</t>
  </si>
  <si>
    <t>Kollisfinserv</t>
  </si>
  <si>
    <t>Kollis Financial Services</t>
  </si>
  <si>
    <t>#RESULTS
Maruti Suzuki
Sun Pharma
Shree Cement
Ambuja Cement
Bank of Baroda
Dabur
Amara Raja Energy
Adani Wilmar
Balaji Amines
DixonTech
Fino Payments Bank
GMR Airports
Godrej Consumer
IRB Infra
Jindal Steel
Jubilant FoodWorks
Jyothy Labs
Kalyan Jewellers
Mankind
PVR Inox
Suzlon</t>
  </si>
  <si>
    <t>2024-01-31 07:17:35</t>
  </si>
  <si>
    <t>Kompally,hyderabad,telangana.</t>
  </si>
  <si>
    <t>हेलो दोस्तो हमारे पास Rs 10000 का मोबाईल हैं पर Rs 10 रूपये का भी इनकम नहीं होता है तो आइए हम आपको बताते है कि घर बैठे बैठे मोबाइल से पैसा कैसे कमाया जा सकता है 
डैली के Rs 500/से 1000 कमाना चाहते है 
अगर सच में सीरियस पैसा कमाना चाहते हैं तो ही लिंक पर क्लिक करें और जानिए
#networkmarketing #onlinemarketing #lifestyle #mlm #दुनिया Fino Payments Bank Devesh Kumar Devesh Shukla Youtag 
Install YOUTAG BIZ and get Registered Using My ID:-17109462 to Get Registration Benefit
https://play.google.com/store/apps/details?id=com.youtagindia.business&amp;amp;referrer=utm_source%3Dgoogle%26utm_campaign%3D17109462</t>
  </si>
  <si>
    <t>2024-01-31 06:14:14</t>
  </si>
  <si>
    <t>Birajoo nishad online center</t>
  </si>
  <si>
    <t>fino payment bank se Richarg  kaise kare@@</t>
  </si>
  <si>
    <t>2024-01-31 05:30:08</t>
  </si>
  <si>
    <t>RaushanKumarKa7</t>
  </si>
  <si>
    <t>Raushan Kumar Kamti</t>
  </si>
  <si>
    <t>@FinoPaymntsBank Mera account legal inforcement agency ke dwara frize kar Diya Gaya hai without any reason
My account no 20180612726
IFSC FINO0001118
CUSTOMER ID 138127852
MOBILE NO 6203390427
PLEASE SOLVE THIS PROBLEM</t>
  </si>
  <si>
    <t>2024-01-31 02:37:55</t>
  </si>
  <si>
    <t>@FinoPaymntsBank namastay
Sir my fino bank a/c has
Freezed or debit restrictions
I am unable to withdraw money from my account
Without any reason why my account has been frozen
Please help me ,  sir
A/c no 20180612726
IFSC FINO0001118
Customer ID 138127752</t>
  </si>
  <si>
    <t>2024-01-31 02:31:26</t>
  </si>
  <si>
    <t>SrishtiNarayan3</t>
  </si>
  <si>
    <t>Srishti Narayan Shukla</t>
  </si>
  <si>
    <t>@Uppolice , @KanpurPolice , @ICICIBank , @FinoPaymntsBank 
@Cyberdost , @PhonePe , @PhonePeSupport
Please help, and  advice
From Ac 181901506992
A unexpected transaction
I try to contact this person, but not successful, 
 Contact Number is switch off..</t>
  </si>
  <si>
    <t>2024-01-31 00:30:08</t>
  </si>
  <si>
    <t>2024-01-30</t>
  </si>
  <si>
    <t>UPI lite supported nhi karta hai</t>
  </si>
  <si>
    <t>2024-01-30 22:41:36</t>
  </si>
  <si>
    <t>Fino Payments Bank: Merchant I'd provide please</t>
  </si>
  <si>
    <t>2024-01-30 22:35:50</t>
  </si>
  <si>
    <t>Fino Payments Bank Merchant Registration Kiya but kohi response
Nehi</t>
  </si>
  <si>
    <t>2024-01-30 22:34:40</t>
  </si>
  <si>
    <t>Redeep Banik</t>
  </si>
  <si>
    <t>Fino Payments Bank: Is there any vacancies in your bank for employee post?</t>
  </si>
  <si>
    <t>2024-01-30 21:01:03</t>
  </si>
  <si>
    <t>Fino Payments Bank: Hello....</t>
  </si>
  <si>
    <t>2024-01-30 21:00:46</t>
  </si>
  <si>
    <t>Jio Payment Bank Account Open | Jio Payment Bank Full Deatils | Reatiler Nayan</t>
  </si>
  <si>
    <t>2024-01-30 21:00:12</t>
  </si>
  <si>
    <t>BhushanNit61043</t>
  </si>
  <si>
    <t>Niti Bhushan Jha</t>
  </si>
  <si>
    <t>@FinoPaymntsBank How will Fino Payment Bank account be closed?</t>
  </si>
  <si>
    <t>2024-01-30 20:37:12</t>
  </si>
  <si>
    <t>Commison nahi milta he</t>
  </si>
  <si>
    <t>2024-01-30 20:26:26</t>
  </si>
  <si>
    <t>फिनों पेमेंट बैंक से  मोबाइल रिचार्ज कैसे करते है ||#finobcmerchant #finobank #fino</t>
  </si>
  <si>
    <t>2024-01-30 20:19:38</t>
  </si>
  <si>
    <t>@FinoPaymntsBank</t>
  </si>
  <si>
    <t>2024-01-30 20:10:50</t>
  </si>
  <si>
    <t>Fino Mitra se Money Transfer Kaise Kare | Fino Payment Bank se Paise Kaise Transfer Kare | Fino Bank</t>
  </si>
  <si>
    <t>2024-01-30 20:04:45</t>
  </si>
  <si>
    <t>Fino payment Bank bank manejar palen samjate hai</t>
  </si>
  <si>
    <t>2024-01-30 19:56:33</t>
  </si>
  <si>
    <t>Jobs in Lucknow | Fino Payment Bank Vacancy 2024 | Direct Walkin Interview at Lucknow | How to join</t>
  </si>
  <si>
    <t>2024-01-30 19:01:22</t>
  </si>
  <si>
    <t>Golam Mostofa</t>
  </si>
  <si>
    <t xml:space="preserve">Hello friends, please share me your contact number </t>
  </si>
  <si>
    <t>2024-01-30 18:42:45</t>
  </si>
  <si>
    <t>ErArunSinghaps</t>
  </si>
  <si>
    <t>Arun Prakash Singh</t>
  </si>
  <si>
    <t>@FinoPaymntsBank Hi</t>
  </si>
  <si>
    <t>2024-01-30 18:42:40</t>
  </si>
  <si>
    <t>Md Rehan</t>
  </si>
  <si>
    <t>2024-01-30 18:29:17</t>
  </si>
  <si>
    <t>@maithilbabulal Namaste, Thank you for your interest in Fino Payments Bank. Please visit https://t.co/vwNs31J5UT  and register to become a merchant OR write to us on care@finobank.com with your contact number, complete address and pin code. Our team will get in touch with you. Thanks!</t>
  </si>
  <si>
    <t>2024-01-30 18:20:38</t>
  </si>
  <si>
    <t>Baljeet Gaming</t>
  </si>
  <si>
    <t>2024-01-30 18:17:32</t>
  </si>
  <si>
    <t>2024-01-30 18:16:07</t>
  </si>
  <si>
    <t>Mohit Sagar: Namaste, Thank you for your interest in Fino Payments Bank. Please visit our website or call us on 022 6868 1414 to know more about our products and services. https://www.finobank.com/</t>
  </si>
  <si>
    <t>2024-01-30 18:15:39</t>
  </si>
  <si>
    <t>Rishikesh Prajapati Rishikesh Prajapati: Namaste, Please share your query and contact number. Someone from our team will get in touch with you. Thanks!</t>
  </si>
  <si>
    <t>2024-01-30 18:14:36</t>
  </si>
  <si>
    <t>@MogiyaPraveen Namaste, Please share your query and contact number. Someone from our team will get in touch with you. Thanks!</t>
  </si>
  <si>
    <t>2024-01-30 18:13:05</t>
  </si>
  <si>
    <t>@PurushaDeepak Namaste, Please share your query and contact number. Someone from our team will get in touch with you. Thanks!</t>
  </si>
  <si>
    <t>2024-01-30 18:12:28</t>
  </si>
  <si>
    <t>Babul Das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</si>
  <si>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2024-01-30 18:11:16</t>
  </si>
  <si>
    <t>@FinoPaymntsBank I want to be a fino payment Bank bc/distributor, retailer please call me back 9334023154</t>
  </si>
  <si>
    <t>2024-01-30 18:10:14</t>
  </si>
  <si>
    <t>Abishek Gurjar: Namaste! How can we help you ?</t>
  </si>
  <si>
    <t>2024-01-30 18:09:35</t>
  </si>
  <si>
    <t>2024-01-30 18:08:55</t>
  </si>
  <si>
    <t>Gopal Parihar   Namaste, Thank you for your interest in Fino Payments Bank. Please visit our website or call us on 022 6868 1414 to know more about our products and services. https://www.finobank.com/</t>
  </si>
  <si>
    <t>2024-01-30 18:08:31</t>
  </si>
  <si>
    <t>2024-01-30 18:07:54</t>
  </si>
  <si>
    <t>Vishal Rai   Namaste, Thank you for your interest in Fino Payments Bank. Please visit our website or call us on 022 6868 1414 to know more about our products and services. https://www.finobank.com/</t>
  </si>
  <si>
    <t>2024-01-30 18:07:24</t>
  </si>
  <si>
    <t>@mannarajam Namaste, Please share your query and contact number. Someone from our team will get in touch with you. Thanks!</t>
  </si>
  <si>
    <t>2024-01-30 18:04:11</t>
  </si>
  <si>
    <t>Rohit Kumar   Namaste, Thank you for your interest in Fino Payments Bank. Please visit our website or call us on 022 6868 1414 to know more about our products and services. https://www.finobank.com/</t>
  </si>
  <si>
    <t>2024-01-30 18:03:30</t>
  </si>
  <si>
    <t>Allen Kumari   Namaste, Thank you for your interest in Fino Payments Bank. Please visit our website or call us on 022 6868 1414 to know more about our products and services. https://www.finobank.com/</t>
  </si>
  <si>
    <t>2024-01-30 18:01:35</t>
  </si>
  <si>
    <t>Dêépåk Bhãí   Namaste! How can we help you ?</t>
  </si>
  <si>
    <t>2024-01-30 18:00:14</t>
  </si>
  <si>
    <t>Haidar Ali Gujjar   Namaste, Thank you for your interest in Fino Payments Bank. Please visit our website or call us on 022 6868 1414 to know more about our products and services. https://www.finobank.com/</t>
  </si>
  <si>
    <t>2024-01-30 17:59:47</t>
  </si>
  <si>
    <t>Ronak Saha   Namaste, Thank you for your interest in Fino Payments Bank. Please visit our website or call us on 022 6868 1414 to know more about our products and services. https://www.finobank.com/</t>
  </si>
  <si>
    <t>2024-01-30 17:57:27</t>
  </si>
  <si>
    <t>Rose Moina   Namaste, Thank you for your interest in Fino Payments Bank. Please visit our website or call us on 022 6868 1414 to know more about our products and services. https://www.finobank.com/</t>
  </si>
  <si>
    <t>2024-01-30 17:56:28</t>
  </si>
  <si>
    <t>@rakarajput1992 Namaste, Please share your query and contact number. Someone from our team will get in touch with you. Thanks!</t>
  </si>
  <si>
    <t>2024-01-30 17:55:26</t>
  </si>
  <si>
    <t>Md Rehan   Namaste, Please share your query and contact number. Someone from our team will get in touch with you. Thanks!</t>
  </si>
  <si>
    <t>2024-01-30 17:54:59</t>
  </si>
  <si>
    <t>Rafiq Don   Namaste! How can we help you ?</t>
  </si>
  <si>
    <t>2024-01-30 17:52:49</t>
  </si>
  <si>
    <t>Bhupendra Kumar: Namaste! How can we help you ?</t>
  </si>
  <si>
    <t>2024-01-30 17:52:31</t>
  </si>
  <si>
    <t>Banking ki shubh ghadi ke liye kholien Fino Shubh Savings Account. Khaata kholne ke liye 7877788977 number par missed call dein.
#FinoPaymentsBank #FikarNot #FinoBanker #DigitalBanking #SecureBanking #SavingsAccount #AccountOpening #DownloadNow #ShubhSavingsAccount</t>
  </si>
  <si>
    <t>2024-01-30 17:00:16</t>
  </si>
  <si>
    <t>Banking ki shubh ghadi ke liye kholien Fino Shubh Savings Account. Khaata kholne ke liye 7877788977 number par missed call dein.
#FinoPaymentsBank #FikarNot #FinoBanker #DigitalBanking #SecureBanking #SavingsAccount #AccountOpening #DownloadNow #ShubhSavingsAccount https://t.co/b4MH8LukKr</t>
  </si>
  <si>
    <t>2024-01-30 17:00:00</t>
  </si>
  <si>
    <t>Fino minor to major | Fino payment bank minor turns major required fino payment bank kyc kaise kare</t>
  </si>
  <si>
    <t>2024-01-30 16:00:03</t>
  </si>
  <si>
    <t>Bridge Logic</t>
  </si>
  <si>
    <t>2024-01-30 12:35:29</t>
  </si>
  <si>
    <t>Bhupendra Kumar</t>
  </si>
  <si>
    <t>Fino Payments Bank: Good morning 🌅🌄</t>
  </si>
  <si>
    <t>2024-01-30 09:33:55</t>
  </si>
  <si>
    <t>@ZeeBusiness @rainaswati @feroze_azeez Sudden jump in Unknown stocks which are at low level :: Good to Buy ? Choose 2 stocks at a time
NIIT Ltd
Ruby Mills
Fino payment bank
Piramal Enterprise 
NDTV
Kfin Tech
Reliance Power
On other hand @YESBANK at Volumes high and @HDFC_Bank very good base formation ..</t>
  </si>
  <si>
    <t>2024-01-30 09:28:07</t>
  </si>
  <si>
    <t>@vikassethi_SF Sudden jump in Unknown stocks which are at low level :: Good to Buy ? Choose 2 stocks at a time
NIIT Ltd
Ruby Mills
Fino payment bank
Piramal Enterprise 
NDTV
Kfin Tech
Reliance Power
On other hand @YESBANK at Volumes high and @HDFC_Bank very good base formation ..</t>
  </si>
  <si>
    <t>2024-01-30 09:27:59</t>
  </si>
  <si>
    <t>@AnilSinghvi_ Sudden jump in Unknown stocks which are at low level :: Good to Buy ? Choose 2 stocks at a time
NIIT Ltd
Ruby Mills
Fino payment bank
Piramal Enterprise 
NDTV
Kfin Tech
Reliance Power
On other hand @YESBANK at Volumes high and @HDFC_Bank very good base formation ..</t>
  </si>
  <si>
    <t>2024-01-30 09:27:45</t>
  </si>
  <si>
    <t>@Rishikesh_ADX Sudden jump in Unknown stocks which are at low level :: Good to Buy ? Choose 2 stocks at a time
NIIT Ltd
Ruby Mills
Fino payment bank
Piramal Enterprise 
NDTV
Kfin Tech
Reliance Power
On other hand @YESBANK at Volumes high and @HDFC_Bank very good base formation ..</t>
  </si>
  <si>
    <t>2024-01-30 09:27:20</t>
  </si>
  <si>
    <t>@Atulsingh_asan Sudden jump in Unknown stocks which are at low level :: Good to Buy ? Choose 2 stocks at a time
NIIT Ltd
Ruby Mills
Fino payment bank
Piramal Enterprise 
NDTV
Kfin Tech
Reliance Power
On other hand @YESBANK at Volumes high and @HDFC_Bank very good base formation ..</t>
  </si>
  <si>
    <t>2024-01-30 09:26:59</t>
  </si>
  <si>
    <t>@ICICI_Direct @MarketScientist @JayThakkar22 @ManishNifty @rsriwastava @JOYMUKHERJE @indian_stockss @piyushchaudhry @charts_breakout @kartikvishu Sudden jump in Unknown stocks which are at low level :: Good to Buy ? Choose 2 stocks at a time
NIIT Ltd
Ruby Mills
Fino payment bank
Piramal Enterprise 
NDTV
Kfin Tech
Reliance Power
On other hand @YESBANK at Volumes high and @HDFC_Bank very good base formation ..</t>
  </si>
  <si>
    <t>2024-01-30 09:26:46</t>
  </si>
  <si>
    <t>@intradaygeeks Sudden jump in Unknown stocks which are at low level :: Good to Buy ? Choose 2 stocks at a time
NIIT Ltd
Ruby Mills
Fino payment bank
Piramal Enterprise 
NDTV
Kfin Tech
Reliance Power
On other hand @YESBANK at Volumes high and @HDFC_Bank very good base formation ..</t>
  </si>
  <si>
    <t>2024-01-30 09:26:23</t>
  </si>
  <si>
    <t>@NehaFNO Sudden jump in Unknown stocks which are at low level :: Good to Buy ? Choose 2 stocks at a time
NIIT Ltd
Ruby Mills
Fino payment bank
Piramal Enterprise 
NDTV
Kfin Tech
Reliance Power
On other hand @YESBANK at Volumes high and @HDFC_Bank very good base formation ..</t>
  </si>
  <si>
    <t>2024-01-30 09:26:11</t>
  </si>
  <si>
    <t>Sudden jump in Unknown stocks which are at low level :: Good to Buy ? Choose 2 stocks at a time
NIIT Ltd
Ruby Mills
Fino payment bank
Piramal Enterprise 
NDTV
Kfin Tech
Reliance Power
On other hand @YESBANK at Volumes high and @HDFC_Bank very good base formation ..</t>
  </si>
  <si>
    <t>2024-01-30 09:25:45</t>
  </si>
  <si>
    <t>Gokul M</t>
  </si>
  <si>
    <t xml:space="preserve">My name is Gokul.  m I am changanassery kottayam my place i am manager of reliance jio do you have any vacancy there kottayam pathanamthitta dist.Fino Payments Bank Ltd </t>
  </si>
  <si>
    <t>2024-01-30 08:17:15</t>
  </si>
  <si>
    <t>2024-01-29</t>
  </si>
  <si>
    <t>P_Shejao</t>
  </si>
  <si>
    <t>Praveen Shejao</t>
  </si>
  <si>
    <t>Emkay Global Financial   Services
EPIC Energy
Family Care Hospitals
Fino Payments Bank
Foods &amp;amp; Inns
Genus Prime Infra
Geojit Financial Services
GMR Airports Infrastructure
Godrej Consumer Products
Great Eastern Shipping   Company</t>
  </si>
  <si>
    <t>2024-01-29 22:58:23</t>
  </si>
  <si>
    <t>The team of Fino Payment Bank JPR RJ is very useless.
These people are doing bullying they make you a distributor for Rs 30k bt they only do bullying in the name of Service 
Cam id free banane k bahane cheat krrhe h
@anandbhatia75 @FinoPaymntsBank  @Himanshu_Nitu @Rishigupta010</t>
  </si>
  <si>
    <t>2024-01-29 22:12:17</t>
  </si>
  <si>
    <t>FINO🎯🗿</t>
  </si>
  <si>
    <t>2024-01-29 21:09:06</t>
  </si>
  <si>
    <t>Fino Payments Bank: Bhupendra.kumar</t>
  </si>
  <si>
    <t>2024-01-29 21:07:40</t>
  </si>
  <si>
    <t>2024-01-29 21:06:48</t>
  </si>
  <si>
    <t>Haidar Ali Gujjar cont your TSM or CH</t>
  </si>
  <si>
    <t>2024-01-29 21:04:24</t>
  </si>
  <si>
    <t>Rafiq Don</t>
  </si>
  <si>
    <t>2024-01-29 20:38:25</t>
  </si>
  <si>
    <t>2024-01-29 20:38:17</t>
  </si>
  <si>
    <t>Account amount nahin fenk raha hai uski complaint darj karna hai na</t>
  </si>
  <si>
    <t>2024-01-29 20:38:08</t>
  </si>
  <si>
    <t>Fino.Mdibran. kyon nahin khulata hai fino</t>
  </si>
  <si>
    <t>2024-01-29 19:30:54</t>
  </si>
  <si>
    <t>rakarajput1992</t>
  </si>
  <si>
    <t>RAKESH SINGH</t>
  </si>
  <si>
    <t>@FinoPaymntsBank Fino service is not good it's online staff is very bad and not sloved any problems   and say for 7 days after</t>
  </si>
  <si>
    <t>2024-01-29 19:17:09</t>
  </si>
  <si>
    <t>2024-01-29 17:49:20</t>
  </si>
  <si>
    <t>@amruthch1720</t>
  </si>
  <si>
    <t>Kalla suresha ivnu, distributor ID ge duddu hakiskondu sister madve madidane.</t>
  </si>
  <si>
    <t>2024-01-29 17:06:04</t>
  </si>
  <si>
    <t>2024-01-29 16:39:24</t>
  </si>
  <si>
    <t>2024-01-29 15:54:59</t>
  </si>
  <si>
    <t>Rose Moina</t>
  </si>
  <si>
    <t>Please change my mobile number</t>
  </si>
  <si>
    <t>2024-01-29 11:54:50</t>
  </si>
  <si>
    <t>Ashish M Shivalkar</t>
  </si>
  <si>
    <t>Fino Payments bank from 250 to 329 now. Above 332 much higher levels expected.
ress-390 &amp;amp; 425.</t>
  </si>
  <si>
    <t>2024-01-29 11:51:32</t>
  </si>
  <si>
    <t>Ronak Saha</t>
  </si>
  <si>
    <t>mobile number change korte chai</t>
  </si>
  <si>
    <t>2024-01-29 09:54:05</t>
  </si>
  <si>
    <t>Roshan Sharma</t>
  </si>
  <si>
    <t>2024-01-29 09:46:22</t>
  </si>
  <si>
    <t>SA GAMING 2125</t>
  </si>
  <si>
    <t>2024-01-29 09:39:27</t>
  </si>
  <si>
    <t>Yadav Ji vo kaha se hoga</t>
  </si>
  <si>
    <t>2024-01-29 09:12:32</t>
  </si>
  <si>
    <t>Haidar Ali Gujjar active your Ria money</t>
  </si>
  <si>
    <t>2024-01-29 08:20:16</t>
  </si>
  <si>
    <t>GlalaLko</t>
  </si>
  <si>
    <t>GL</t>
  </si>
  <si>
    <t>.@CNBCTV18Live 
Result Calendar (this week)
29th  January
Bajaj Finance
CSB Bank
Muthoot Fin
Piramal Fin
30th January
M&amp;amp;M Fin
Bajaj Finserv
31st January
Bank of Baroda
Fino Payment
Punjab &amp;amp; Sind Bank 
1st February
Aditya birla Capital 
Five star
Aavas HF
Aptus Value
City…</t>
  </si>
  <si>
    <t>2024-01-29 07:26:38</t>
  </si>
  <si>
    <t xml:space="preserve">Lucknow , india </t>
  </si>
  <si>
    <t>Gopinath99591</t>
  </si>
  <si>
    <t>Gopinath Yadav</t>
  </si>
  <si>
    <t>2024-01-29 07:24:38</t>
  </si>
  <si>
    <t>KhonaPriyank</t>
  </si>
  <si>
    <t>Priyank Khona</t>
  </si>
  <si>
    <t>2024-01-29 07:15:36</t>
  </si>
  <si>
    <t>kothariabhishek</t>
  </si>
  <si>
    <t>Abhishek Kothari 🇮🇳</t>
  </si>
  <si>
    <t>2024-01-29 07:06:17</t>
  </si>
  <si>
    <t>Fino Bank BC agent id kese banwaye. fino BC marchant id. Fino payment Bank CSP ID kese banwaye. CSP</t>
  </si>
  <si>
    <t>2024-01-29 06:35:34</t>
  </si>
  <si>
    <t>AVIJIT KUNDU</t>
  </si>
  <si>
    <t xml:space="preserve">Any openings at Kolkata &amp; Hooghly </t>
  </si>
  <si>
    <t>2024-01-29 01:28:39</t>
  </si>
  <si>
    <t>2024-01-28</t>
  </si>
  <si>
    <t>Poonam827</t>
  </si>
  <si>
    <t>Poonam</t>
  </si>
  <si>
    <t>@SonaliRajmali @MdNaseem248015 @AshishGusinga @Paytm @paytmbankcare @airtelbank @HDFCBank_Cares @FinoPaymntsBank @TheOfficialSBI @RBI Sonali ji same problem merabhi account complete freeze 25000 ka transaction ke badle me cash</t>
  </si>
  <si>
    <t>2024-01-28 22:44:29</t>
  </si>
  <si>
    <t>@MdNaseem248015 @Paytm @paytmbankcare @airtelbank @HDFCBank_Cares @FinoPaymntsBank @TheOfficialSBI @RBI #bycottpaytm</t>
  </si>
  <si>
    <t>2024-01-28 22:40:08</t>
  </si>
  <si>
    <t>fino payment bank ki passbook kaise banaye</t>
  </si>
  <si>
    <t>2024-01-28 21:56:50</t>
  </si>
  <si>
    <t>*आप कल भी मेरा स्टोरी देख रहे थे और आज भी देख रहे हैं क्या आप हमेशा देखना चाहते हैं या खुद भी करना चाहते हैं*
*कड़वी सच्चाई
*लाखों लोगों ने मुहूर्त निकलवाने के चक्कर में अपॉर्चुनिटी को गवा रहे है*
*कुछ लोगों ने शुरूआत किया और आज उनकी इनकम  महीने का 50 से 1 लाख रुपया आ रहा है*
आप तुरंत संपर्क करिए 👇👇
https://wa.link/x5fln5
#networkmarketing #mlm #lifestyle #onlinemarketing #महंगाई Devesh Kumar Devesh Shukla Youtag Fino Payments Bank</t>
  </si>
  <si>
    <t>2024-01-28 19:25:06</t>
  </si>
  <si>
    <t>Nice Fino Payments Bank</t>
  </si>
  <si>
    <t>2024-01-28 19:18:35</t>
  </si>
  <si>
    <t>ROCKSTAR514680</t>
  </si>
  <si>
    <t>PRADHANSONS</t>
  </si>
  <si>
    <t>@FinoPaymntsBank I am a merchant of Fino Payments Bank,I have given all the documents to the District Head(Mithun Behera,8260122330) to unblock my ID(106629035) &amp;amp; the District Head has also given it to the DM (MOHAN KUMAR MALLIK,80186 87879)but he has not unblocked my ID yet.</t>
  </si>
  <si>
    <t>2024-01-28 14:07:13</t>
  </si>
  <si>
    <t>International payment ka option nahi hai</t>
  </si>
  <si>
    <t>2024-01-28 11:24:32</t>
  </si>
  <si>
    <t>Ranjit Pujhar Vogs 81</t>
  </si>
  <si>
    <t>फिनो पेमेंट बैंक मोबाइल बैंकिंग कैसे खोलें?  How fino payment Bank open mobile banking</t>
  </si>
  <si>
    <t>2024-01-28 10:30:26</t>
  </si>
  <si>
    <t>फिनो payment बैंक का ATM चालू करते हुए #shortvideo #viral #finobankcsp #bank</t>
  </si>
  <si>
    <t>2024-01-28 10:13:48</t>
  </si>
  <si>
    <t>Nice fino</t>
  </si>
  <si>
    <t>2024-01-28 09:59:11</t>
  </si>
  <si>
    <t>Dêépåk Bhãí</t>
  </si>
  <si>
    <t>2024-01-28 09:36:34</t>
  </si>
  <si>
    <t>SIDHU ONLINE CENTER</t>
  </si>
  <si>
    <t>Fino payments Bank  retail marchant 2 factor authentication thum</t>
  </si>
  <si>
    <t>2024-01-28 08:41:15</t>
  </si>
  <si>
    <t>Data Protection is essential in today's Digital world as personal information can be misused online. Let's spread awareness about the personal data policies of online platforms.
#FinoPaymentsBank #FikarNot #FinoBanker #DigitalBanking #SecureBanking #HarDinFino #FinoPay #DataProtectionDay #ProtectYourData #DataPrivacy #ScamAlert</t>
  </si>
  <si>
    <t>2024-01-28 08:00:48</t>
  </si>
  <si>
    <t>2024-01-28 08:00:20</t>
  </si>
  <si>
    <t>Data Protection is essential in today's Digital world as personal information can be misused online. Let's spread awareness about the personal data policies of online platforms.
#FinoPaymentsBank #FikarNot #FinoBanker #DigitalBanking #DataProtectionDay  #DataPrivacy https://t.co/OmqHNWAptk</t>
  </si>
  <si>
    <t>2024-01-28 08:00:00</t>
  </si>
  <si>
    <t>Deepak Namdev</t>
  </si>
  <si>
    <t>Congratulations sir ji</t>
  </si>
  <si>
    <t>2024-01-28 06:47:55</t>
  </si>
  <si>
    <t>2024-01-27</t>
  </si>
  <si>
    <t>Gopal Parihar fino pay app download kar ke registration kijiye uske baad UPI service chalu kariye</t>
  </si>
  <si>
    <t>2024-01-27 23:36:01</t>
  </si>
  <si>
    <t>MD Roman yes sir</t>
  </si>
  <si>
    <t>2024-01-27 23:04:01</t>
  </si>
  <si>
    <t xml:space="preserve">MD Roman </t>
  </si>
  <si>
    <t>Shiv Prakash Mrs Mary is legit and real bro</t>
  </si>
  <si>
    <t>2024-01-27 22:45:33</t>
  </si>
  <si>
    <t xml:space="preserve">Hooda Mini Bank </t>
  </si>
  <si>
    <t>Micro ATM Machine Withdrawal Fino Bank</t>
  </si>
  <si>
    <t>2024-01-27 21:47:29</t>
  </si>
  <si>
    <t>loan payment fino bank Hindi</t>
  </si>
  <si>
    <t>2024-01-27 21:46:10</t>
  </si>
  <si>
    <t>loan payment fino bank</t>
  </si>
  <si>
    <t>2024-01-27 21:44:26</t>
  </si>
  <si>
    <t>Adhar Cash Withdrawal Fino Bank</t>
  </si>
  <si>
    <t>2024-01-27 21:42:10</t>
  </si>
  <si>
    <t>atozenterprises795</t>
  </si>
  <si>
    <t>Ye QR code disconnected ho jata hai kuch din me har baar isko fix Karo jaldi</t>
  </si>
  <si>
    <t>2024-01-27 20:44:03</t>
  </si>
  <si>
    <t>Allen Kumari</t>
  </si>
  <si>
    <t>Mujhe batao kese khulega Fino account</t>
  </si>
  <si>
    <t>2024-01-27 20:15:44</t>
  </si>
  <si>
    <t>MAFIYA LITE YT</t>
  </si>
  <si>
    <t>best zero balance account opening online । fino payment bank account opening online zero balance</t>
  </si>
  <si>
    <t>2024-01-27 20:13:56</t>
  </si>
  <si>
    <t>Afroz Khan</t>
  </si>
  <si>
    <t>Fino Payments Bank: http://www.finobank.com/</t>
  </si>
  <si>
    <t>2024-01-27 19:07:23</t>
  </si>
  <si>
    <t>Data Protection is essential in todays Digital world as personal information can be misused online. Lets spread awareness about the personal data policies of online platforms.
{hashtag|\#|FinoPaymentsBank} {hashtag|\#|FikarNot} {hashtag|\#|FinoBanker} {hashtag|\#|DigitalBanking} {hashtag|\#|SecureBanking} {hashtag|\#|HarDinFino} {hashtag|\#|FinoPay} {hashtag|\#|DataProtectionDay} {hashtag|\#|ProtectYourData} {hashtag|\#|DataPrivacy} {hashtag|\#|ScamAlert}</t>
  </si>
  <si>
    <t>2024-01-27 18:45:53</t>
  </si>
  <si>
    <t>Youtag business plan..fo details cont 7002280660
#Install #networkmarketing #onlinemarketing #lifestyle #mlm Fino Payments Bank @highlight</t>
  </si>
  <si>
    <t>2024-01-27 18:41:28</t>
  </si>
  <si>
    <t>Fino payment bank csp new update | Fino csp lite login kaise kare | Fino csp lite login</t>
  </si>
  <si>
    <t>2024-01-27 18:15:11</t>
  </si>
  <si>
    <t>Rohit Kumar</t>
  </si>
  <si>
    <t>Loan personal</t>
  </si>
  <si>
    <t>2024-01-27 17:22:51</t>
  </si>
  <si>
    <t>Special Offer Fino Payment Bank Current Account Opening Free Of Cost</t>
  </si>
  <si>
    <t>2024-01-27 16:27:07</t>
  </si>
  <si>
    <t>Brijesh Kumar Brijesh Kumar</t>
  </si>
  <si>
    <t>Fino Payments Bank: Hii Brijesh</t>
  </si>
  <si>
    <t>2024-01-27 15:32:56</t>
  </si>
  <si>
    <t>@FinoPaymntsBank 
Poor service support from FINO payments Bank. No Retailers Help desk. Regret doing business with FINo</t>
  </si>
  <si>
    <t>2024-01-27 14:03:49</t>
  </si>
  <si>
    <t>@AmitKumar-uv9hq</t>
  </si>
  <si>
    <t>Sir i am merchant when i withdraw amount through aeps of any bank customer it shows error risk threshold exceeded U16 please help</t>
  </si>
  <si>
    <t>2024-01-27 13:20:13</t>
  </si>
  <si>
    <t>Fino payment bank. fino bank. fino csp. fino bank csp. safe india.</t>
  </si>
  <si>
    <t>2024-01-27 12:40:44</t>
  </si>
  <si>
    <t>MD Roman  I am intrested</t>
  </si>
  <si>
    <t>2024-01-27 10:43:45</t>
  </si>
  <si>
    <t>MD Roman hello , how are you,ji</t>
  </si>
  <si>
    <t>2024-01-27 10:41:55</t>
  </si>
  <si>
    <t>Sonu Music Official Channel</t>
  </si>
  <si>
    <t>2024-01-27 10:18:57</t>
  </si>
  <si>
    <t>G.V GAMER</t>
  </si>
  <si>
    <t>FINO 🍷🗿</t>
  </si>
  <si>
    <t>2024-01-27 08:54:59</t>
  </si>
  <si>
    <t>fino payment Bank How fino payment bank open online Now account fino payment Bank mobile banking</t>
  </si>
  <si>
    <t>2024-01-27 06:00:10</t>
  </si>
  <si>
    <t>Pravin Sapkal .Do you believe you can run and online trading  investment with just $100 and it will give you a profit return of $1900 in 24 hours ? One of the top ten e-commerce platforms in the world (Bitcoin investment) allows you to realize this possibility.  Please contact the manager Mrs Mary on Facebook is legit and read:
     https://www.facebook.com/profile.php?id=61550007652556</t>
  </si>
  <si>
    <t>2024-01-27 01:46:29</t>
  </si>
  <si>
    <t>.Do you believe you can run and online trading  investment with just $100 and it will give you a profit return of $1900 in 24 hours ? One of the top ten e-commerce platforms in the world (Bitcoin investment) allows you to realize this possibility.  Please contact the manager Mrs Mary on Facebook is legit and read:
     https://www.facebook.com/profile.php?id=61550007652556</t>
  </si>
  <si>
    <t>2024-01-27 01:46:25</t>
  </si>
  <si>
    <t>Shiv Prakash .Do you believe you can run and online trading  investment with just $100 and it will give you a profit return of $1900 in 24 hours ? One of the top ten e-commerce platforms in the world (Bitcoin investment) allows you to realize this possibility.  Please contact the manager Mrs Mary on Facebook is legit and read:
     https://www.facebook.com/profile.php?id=61550007652556</t>
  </si>
  <si>
    <t>2024-01-27 01:46:16</t>
  </si>
  <si>
    <t>2024-01-27 01:46:10</t>
  </si>
  <si>
    <t>2024-01-27 01:46:02</t>
  </si>
  <si>
    <t>Kolkata ka service thik karwao</t>
  </si>
  <si>
    <t>2024-01-27 00:08:37</t>
  </si>
  <si>
    <t>2024-01-26</t>
  </si>
  <si>
    <t>Pawan_smart01</t>
  </si>
  <si>
    <t>Pawan smart</t>
  </si>
  <si>
    <t>@DGPMaharashtra 
To,
           Mr. Maharashtra Police Officer
          FINO PAYMENT BANK
To unfreeze the subject account
Sir
Name (Pawan Kumar)
Account Number (20151661307)
Bank (Fino Payment Bank)
Aadhaar Card Number (5863 8428 2343)
@DGPMaharashtra
@FinoPaymntsBank</t>
  </si>
  <si>
    <t>2024-01-26 21:54:14</t>
  </si>
  <si>
    <t xml:space="preserve">Gaya bihar fatehpur </t>
  </si>
  <si>
    <t>@FinoPaymntsBank  
Sir my fino bank account has been blocked or debit restrictions
Please solve this problem</t>
  </si>
  <si>
    <t>2024-01-26 21:45:57</t>
  </si>
  <si>
    <t>Md Noushad Ansari</t>
  </si>
  <si>
    <t>2024-01-26 21:09:29</t>
  </si>
  <si>
    <t>2024-01-26 21:08:54</t>
  </si>
  <si>
    <t>Atm pan</t>
  </si>
  <si>
    <t>2024-01-26 21:08:32</t>
  </si>
  <si>
    <t>samiul947</t>
  </si>
  <si>
    <t>2024-01-26 20:48:36</t>
  </si>
  <si>
    <t>Hdfc bank aeps new update rnfi Protal | rnfi Fino Payments Bank CSP onboarding | Fino Mitra</t>
  </si>
  <si>
    <t>2024-01-26 20:45:21</t>
  </si>
  <si>
    <t>Vishal Rai</t>
  </si>
  <si>
    <t>Hlo sar Fino bank full KYC Karna Hai</t>
  </si>
  <si>
    <t>2024-01-26 20:05:00</t>
  </si>
  <si>
    <t>फिनो पेमेंट कैसे चलाया जाता है कृपया जानकारी प्रदान करें बैंक खाता अनिवार्य है क्या फिनो का यह हमारा बैंक खाता पीएनबी का है कृपया उचित मार्गदर्शन प्रदान करें</t>
  </si>
  <si>
    <t>2024-01-26 18:46:57</t>
  </si>
  <si>
    <t>suryoday bank balasubramaniyan</t>
  </si>
  <si>
    <t>how to  judicial verification Fino Merchant. பினோ பேங்க் ல் மக்களுக்கு அக்கவுண்ட் ஓபன் செய்ய</t>
  </si>
  <si>
    <t>2024-01-26 18:23:13</t>
  </si>
  <si>
    <t>2024-01-26 18:09:44</t>
  </si>
  <si>
    <t>@amitthakur700</t>
  </si>
  <si>
    <t>Imps option not showing in app</t>
  </si>
  <si>
    <t>2024-01-26 17:21:23</t>
  </si>
  <si>
    <t>Download link: https://fino.onelink.me/R6vm/ayc3w85v</t>
  </si>
  <si>
    <t>2024-01-26 17:17:10</t>
  </si>
  <si>
    <t>Happy Republic Day</t>
  </si>
  <si>
    <t>2024-01-26 17:14:50</t>
  </si>
  <si>
    <t>डिजिटल पेमेंट्स के छेत्र में ये नव भारत विष्व में सबसे अग्रणीय है। इस सफलता में सभी भारतीयों का योगदान है। फिनो परिवार की ओर से आप सभी को इस गणतंत्र दिवस की सुभकामनाएँ।
फिनोपे ऍप डाउनलोड करने के लिए बायो के लिंक पर जाएं।
#republicday
#digitalpayments 
#FikarNot</t>
  </si>
  <si>
    <t>2024-01-26 17:05:21</t>
  </si>
  <si>
    <t>Every Digital Banking transaction is made easy and quick with FinoPay. Send money or pay your bills with a click on the FinoPay app. Download now!
#FinoPaymentsBank #FikarNot #FinoBanker #DigitalBanking #SecureBanking #HarDinFino #FinoPay #Download #DownloadNow #UPITransactions</t>
  </si>
  <si>
    <t>2024-01-26 17:01:02</t>
  </si>
  <si>
    <t>2024-01-26 17:00:29</t>
  </si>
  <si>
    <t>Every Digital Banking transaction is made easy and quick with FinoPay. Send money or pay your bills with a click on the FinoPay app. Download now!
#FinoPaymentsBank #FikarNot #FinoBanker #DigitalBanking #SecureBanking #HarDinFino #FinoPay #Download #DownloadNow #UPITransactions https://t.co/g1TPE9QDUx</t>
  </si>
  <si>
    <t>2024-01-26 17:00:00</t>
  </si>
  <si>
    <t>Alxe Danish</t>
  </si>
  <si>
    <t>पैसा कमाने वाले ऐप डाउनलोड करें
https://waho.pro/?code=3fvazg</t>
  </si>
  <si>
    <t>2024-01-26 16:38:22</t>
  </si>
  <si>
    <t>Aeps New Update NPCI Big Update Roinet Paynearby Spice Money Fino Bank 2024</t>
  </si>
  <si>
    <t>2024-01-26 10:34:20</t>
  </si>
  <si>
    <t>Makhansingh765</t>
  </si>
  <si>
    <t>Makhan Fino payment bank</t>
  </si>
  <si>
    <t>@FinoPaymntsBank Happy republic day 🌹</t>
  </si>
  <si>
    <t>2024-01-26 08:30:53</t>
  </si>
  <si>
    <t>Abishek Gurjar</t>
  </si>
  <si>
    <t>2024-01-26 08:02:33</t>
  </si>
  <si>
    <t>On the 75th Republic Day, Fino extends warm wishes to every Indian. Let us safeguard the constitutional values enshrined in our constitution.
#FinoPaymentsBank #FikarNot #FinoBanker #DigitalBanking #SecureBanking #HarDinFino #FinoPay #HappyRepublicDay #RepublicDay #IndianConstitution</t>
  </si>
  <si>
    <t>2024-01-26 08:00:28</t>
  </si>
  <si>
    <t>MK News इंडिया</t>
  </si>
  <si>
    <t>Happy Republic Day | fino Payment Bank Simrahi | गणतंत्र दिवस की बधाई</t>
  </si>
  <si>
    <t>2024-01-26 08:00:21</t>
  </si>
  <si>
    <t>2024-01-26 08:00:01</t>
  </si>
  <si>
    <t>On the 75th Republic Day, Fino extends warm wishes to every Indian. Let us safeguard the constitutional values enshrined in our constitution.
#FinoPaymentsBank #FikarNot #FinoBanker #DigitalBanking #SecureBanking #HarDinFino #HappyRepublicDay #RepublicDay #IndianConstitution https://t.co/Q9KNRNJA8s</t>
  </si>
  <si>
    <t>2024-01-26 08:00:00</t>
  </si>
  <si>
    <t>@MangalKu422</t>
  </si>
  <si>
    <t>2:16</t>
  </si>
  <si>
    <t>2024-01-26 03:11:28</t>
  </si>
  <si>
    <t>Alyssa Bryan</t>
  </si>
  <si>
    <t>Fino Payments Bank: Thank you for your time and attention to this matter.</t>
  </si>
  <si>
    <t>2024-01-26 02:11:54</t>
  </si>
  <si>
    <t>Fino Payments Bank: I'm writing to report a product defect with your product service that I purchased on last week.
Upon inspection, I discovered that the product was defective and that makes me confused and worried. I have attached a video of the issue.
I would like to request a replacement or refund for the defective product.</t>
  </si>
  <si>
    <t>2024-01-26 02:11:46</t>
  </si>
  <si>
    <t>2024-01-25</t>
  </si>
  <si>
    <t>I'm interested Aeps id</t>
  </si>
  <si>
    <t>2024-01-25 22:19:39</t>
  </si>
  <si>
    <t>JAGDISHMENA1</t>
  </si>
  <si>
    <t>JAGDISH MEENA</t>
  </si>
  <si>
    <t>@FinoPaymntsBank Ji ha</t>
  </si>
  <si>
    <t>2024-01-25 21:35:34</t>
  </si>
  <si>
    <t>How to Apply Kotak Mahindra Bank CSP  |अंगूठा लगाकर खाता खोले | Kotak bc Agent Big Update 2024</t>
  </si>
  <si>
    <t>2024-01-25 21:03:14</t>
  </si>
  <si>
    <t>Airtel Payment Bank Bharosa Saving Account किया है | Charge &amp;amp; Benifits | Reatiler Nayan</t>
  </si>
  <si>
    <t>2024-01-25 21:00:05</t>
  </si>
  <si>
    <t>PurushaDeepak</t>
  </si>
  <si>
    <t>Deepak Purusha a.k.a. ANNA</t>
  </si>
  <si>
    <t>@FinoPaymntsBank 
I am a new customer, my very first day with you has been riddled with problems. Since 7 pm in the evening till now, i.e. 8.40 pm your servers seem to be down. How do you expect a good customer experience with this kind of experience</t>
  </si>
  <si>
    <t>2024-01-25 20:41:54</t>
  </si>
  <si>
    <t>Mangalore, karnataka</t>
  </si>
  <si>
    <t>MogiyaPraveen</t>
  </si>
  <si>
    <t>Praveen Mogiya</t>
  </si>
  <si>
    <t>Hello sir
I am Kamlesh mogiya
Fino payment hold my bank account without any reason please reliz my account
@FinoPaymntsBank
@FinoCare https://t.co/wB8tDkJm1Y</t>
  </si>
  <si>
    <t>2024-01-25 20:13:56</t>
  </si>
  <si>
    <t>Fino Payments Bank IIBF Certificate reject | Fino Mitra IIBF Certificate upload reject</t>
  </si>
  <si>
    <t>2024-01-25 20:11:25</t>
  </si>
  <si>
    <t>Rnfi Protal new CSP apply fino payment Bank | Fino Payments Bank CSP apply rnfi Protal</t>
  </si>
  <si>
    <t>2024-01-25 20:10:50</t>
  </si>
  <si>
    <t>Rafi Service New HDFC Aeps live | rnfi service new update HDFC Bank Aeps | Fino Mitra Apply</t>
  </si>
  <si>
    <t>2024-01-25 20:09:50</t>
  </si>
  <si>
    <t>2024-01-25 19:26:55</t>
  </si>
  <si>
    <t>Rishikesh Prajapati Rishikesh Prajapati</t>
  </si>
  <si>
    <t>Fino Payments Bank: मेरा रिफंड नहीं दिख रहा है अकाउंट में 379</t>
  </si>
  <si>
    <t>2024-01-25 18:48:08</t>
  </si>
  <si>
    <t>On the 75th Republic Day, Fino extends warm wishes to every Indian. Let us safeguard the constitutional values enshrined in our constitution.
{hashtag|\#|FinoPaymentsBank} {hashtag|\#|FikarNot} {hashtag|\#|FinoBanker} {hashtag|\#|DigitalBanking} {hashtag|\#|SecureBanking} {hashtag|\#|HarDinFino} {hashtag|\#|HappyRepublicDay} {hashtag|\#|RepublicDay} {hashtag|\#|IndianConstitution}</t>
  </si>
  <si>
    <t>2024-01-25 18:45:33</t>
  </si>
  <si>
    <t>kumar__rakesh_official</t>
  </si>
  <si>
    <t>Zero balance amount lakhya he yearli charge kiss keliye</t>
  </si>
  <si>
    <t>2024-01-25 17:44:31</t>
  </si>
  <si>
    <t>Aayan Alam</t>
  </si>
  <si>
    <t>Fino Payments Bank: Hello fino payment bank deal
Sir I'm not able to send money upi through
Please help</t>
  </si>
  <si>
    <t>2024-01-25 17:37:13</t>
  </si>
  <si>
    <t>2024-01-25 17:14:29</t>
  </si>
  <si>
    <t>Fino Bhavishya Savings Account ke saath paaiye multiple faayde aur secure financial future. Aaj hi account kholne ke liye missed call de  7877788977 par.
#FinoPaymentsBank #FikarNot #FinoBanker #DigitalBanking #SecureBanking #HarDinFino #FinoPay #Download #DownloadNow https://t.co/QZR3nCw8v8</t>
  </si>
  <si>
    <t>2024-01-25 17:03:31</t>
  </si>
  <si>
    <t>Fino Bhavishya Savings Account ke saath paaiye multiple faayde aur secure financial future. Aaj hi account kholne ke liye missed call de  7877788977 par.
#FinoPaymentsBank #FikarNot #FinoBanker #DigitalBanking #SecureBanking #HarDinFino #FinoPay #Download #DownloadNow https://t.co/6zikDiHRpA</t>
  </si>
  <si>
    <t>2024-01-25 17:03:02</t>
  </si>
  <si>
    <t>Fino Bhavishya Savings Account ke saath paaiye multiple faayde aur secure financial future. Aaj hi account kholne ke liye missed call de  7877788977 par.
#FinoPaymentsBank #FikarNot #FinoBanker #DigitalBanking #SecureBanking #HarDinFino #FinoPay #Download #DownloadNow</t>
  </si>
  <si>
    <t>2024-01-25 17:00:16</t>
  </si>
  <si>
    <t>2024-01-25 17:00:00</t>
  </si>
  <si>
    <t>fino atm ka pin kaise banaye mobile se | fino ATM pin generate mobile se | fino atm pin generate</t>
  </si>
  <si>
    <t>2024-01-25 16:00:26</t>
  </si>
  <si>
    <t>QM-FINO-E631</t>
  </si>
  <si>
    <t>Mohit Sagar</t>
  </si>
  <si>
    <t>Fino Payments Bank: Open my account opening</t>
  </si>
  <si>
    <t>2024-01-25 15:41:01</t>
  </si>
  <si>
    <t>2024-01-25 13:06:09</t>
  </si>
  <si>
    <t>BA-wala trader shivgupta</t>
  </si>
  <si>
    <t>fino payment Bank share price today market #intraday #live #stock#market #bank #nifty</t>
  </si>
  <si>
    <t>2024-01-25 13:01:15</t>
  </si>
  <si>
    <t>@learningclasses2341lc</t>
  </si>
  <si>
    <t>Yearly charge kitna karta hai  ?</t>
  </si>
  <si>
    <t>2024-01-25 12:11:06</t>
  </si>
  <si>
    <t>Fino Payment Bank ❤️
Nandigram outlet
Fino Payments Bank</t>
  </si>
  <si>
    <t>2024-01-25 11:50:52</t>
  </si>
  <si>
    <t>Fino. Fino CSP ID. Fino CSP ID kese banwaye. Fino payment Bank CSP ID kese Le. fino BC agent id. CSP</t>
  </si>
  <si>
    <t>2024-01-25 08:27:33</t>
  </si>
  <si>
    <t>QM-FINO-E630</t>
  </si>
  <si>
    <t>support.helpdesk@finobank.com</t>
  </si>
  <si>
    <t>Manoj Kulaste</t>
  </si>
  <si>
    <t>Fino Payments Bank Ka New Update Kya Hai | How To Fino Payments Bank New Update | Fino Payments Bank</t>
  </si>
  <si>
    <t>2024-01-25 07:02:33</t>
  </si>
  <si>
    <t>Mohammad Imran</t>
  </si>
  <si>
    <t>Offer Offer Offer Offer Offer 
Free I'd Free I'd Free I'd
सभी Banking &amp; Recharge Services एक एप में 
https://redmilbusinessmall.com/rbm.aspx?76450
अब करें Banking Transaction Redmil Business Mall App के द्वारा और कमाएं extra income
Download App From Google App Store Now
https://redmilbusinessmall.com/rbm.aspx?76450  
 Join India's Biggest B2B platform,  Redmil Business Mall with more than 50+ services/Earning opportunities and become a Banking expert. 
Earn up to Rs. 30,000/- month by using all the Banking services for FREE.
Start making your team with your Refer &amp; Earn link and start earning. 
Click the link given below to Download App for free :-
Download App:-
https://redmilbusinessmall.com/rbm.aspx?76450
Regards
Redmil Business Mall</t>
  </si>
  <si>
    <t>2024-01-25 05:55:02</t>
  </si>
  <si>
    <t>2024-01-24</t>
  </si>
  <si>
    <t>AEPS Fraud Spice money fino paynear rapi pay Airtel payments Bank other</t>
  </si>
  <si>
    <t>2024-01-24 23:28:22</t>
  </si>
  <si>
    <t>maithilbabulal</t>
  </si>
  <si>
    <t>DR.BABULAL Yadav</t>
  </si>
  <si>
    <t>Hello Sir/mam I need new csp id for my shop @FinoPaymen32596 @FinoPaymntsBank</t>
  </si>
  <si>
    <t>2024-01-24 21:24:22</t>
  </si>
  <si>
    <t>Darbhanga railway station, dar</t>
  </si>
  <si>
    <t xml:space="preserve">AVR GROUPS </t>
  </si>
  <si>
    <t>fino payment bank CSP id kaise le / How to apply fino Bc (@avrgroups ).</t>
  </si>
  <si>
    <t>2024-01-24 20:50:36</t>
  </si>
  <si>
    <t>Bhagawalal Meena</t>
  </si>
  <si>
    <t>2024-01-24 20:47:19</t>
  </si>
  <si>
    <t>Fino Payments Bank IIBF upload kase kare | how to upload IIBF Certificate Fino Bank</t>
  </si>
  <si>
    <t>2024-01-24 20:29:11</t>
  </si>
  <si>
    <t>Fino Payments Bank IIBF Certificate reject | fino Mitra New re upload IIBF Certificate</t>
  </si>
  <si>
    <t>2024-01-24 20:26:36</t>
  </si>
  <si>
    <t>https://www.youtube.com/live/CyocbM409XY?si=FAOO-pg3aGwWaafc
https://tinyurl.com/4xy4sumw
#networkmarketing #lifestyle #mlm #onlinemarketing Fino Payments Bank</t>
  </si>
  <si>
    <t>2024-01-24 18:59:54</t>
  </si>
  <si>
    <t>Sahil Jolhe</t>
  </si>
  <si>
    <t>Number ka samasya a raha hai Bank mein number ATM se jod diya tha lekin juda</t>
  </si>
  <si>
    <t>2024-01-24 18:43:23</t>
  </si>
  <si>
    <t>Lalsingh Sagar Lalsingh: Sir, please share your contact number and we will help</t>
  </si>
  <si>
    <t>2024-01-24 18:16:24</t>
  </si>
  <si>
    <t>Afjal Alam</t>
  </si>
  <si>
    <t>👇👇👇👇👇👇👇👇https://scene.taurus.cash/promotion/aw/slm_1500006/u/74843748/s/s1/tk6k2?channel=slm_1500006&amp;lang=en&amp;scene=s1&amp;uid=74843748
Teen Patti Letest Version Game apk</t>
  </si>
  <si>
    <t>2024-01-24 17:14:56</t>
  </si>
  <si>
    <t>Fino Bhavishya Savings Account ke saath paaiye multiple faayde aur secure financial future. Aaj hi account kholne ke liye missed call de  7877788977 par.
#FinoPaymentsBank #FikarNot #FinoBanker #DigitalBanking #SecureBanking #HarDinFino #FinoPay #Download #DownloadNow https://t.co/ECI8z4jJRq</t>
  </si>
  <si>
    <t>2024-01-24 17:00:01</t>
  </si>
  <si>
    <t>बर्बाद होने से बचीये हमारे रिटेलर भाई! Fino bank. all bank aeps. npci. safe india.</t>
  </si>
  <si>
    <t>2024-01-24 16:42:08</t>
  </si>
  <si>
    <t>KSP YOJNA</t>
  </si>
  <si>
    <t>Fino Payment Bank Regtration Process 2024 | How to Fino bank Account Regtration Fino Pay 2024</t>
  </si>
  <si>
    <t>2024-01-24 16:33:33</t>
  </si>
  <si>
    <t>Namaste everyone have a good</t>
  </si>
  <si>
    <t>#р_е_к_о_м_е_н_д_а_ц_и_и_ Fino Bank of Delhi time</t>
  </si>
  <si>
    <t>2024-01-24 16:13:15</t>
  </si>
  <si>
    <t>Spice Money &amp;amp; Fino Payment Bank Aeps Cash Deposit Life এপিএস ক্যাশ ডিপোজিট লাইফ</t>
  </si>
  <si>
    <t>2024-01-24 15:51:56</t>
  </si>
  <si>
    <t>MD Rashid Raza</t>
  </si>
  <si>
    <t>@teen Patti. 
https://h25.in/gold/tm9rlu
 भाई मैंने बहुत सारे गेम खेलें लेकिन सबसे बेस्ट और रियल गेम मुझे यह लगा एक बार आप भी ट्राई करके देखो</t>
  </si>
  <si>
    <t>2024-01-24 15:25:04</t>
  </si>
  <si>
    <t>IRSHAD FINO BANK</t>
  </si>
  <si>
    <t>Fino Payments Bank Door-step Banking #finopaymentbank #irshadfinobank</t>
  </si>
  <si>
    <t>2024-01-24 13:30:40</t>
  </si>
  <si>
    <t>@FinoPaymntsBank Sir mera benk account video kyc nhi hone ke karan band ho gaya he isliye mujhe new khata kholna he lekin khul nhi Raha he 
Mo 7877792081</t>
  </si>
  <si>
    <t>2024-01-24 13:26:05</t>
  </si>
  <si>
    <t>Nandlal Barmaiya</t>
  </si>
  <si>
    <t>Iski koi branch  nhi hai</t>
  </si>
  <si>
    <t>2024-01-24 08:40:10</t>
  </si>
  <si>
    <t>2024-01-23</t>
  </si>
  <si>
    <t>MLori37570022</t>
  </si>
  <si>
    <t>MeyersLori375</t>
  </si>
  <si>
    <t>Crypto  signals📈🚀300% per week .Info on main post: ➡️@LKeeler67633🔗
@Waads63 @xubenbe @RhinoAuctions @eth1424217 @kankayte @Veranika_Flah12 @EmmaEmm68353242 @czvetkova_luiza @YamWax23 @newyorkswagg69 @MajithiyaApurv @FinoPaymntsBank @king_rabbit101</t>
  </si>
  <si>
    <t>2024-01-23 23:36:43</t>
  </si>
  <si>
    <t>Lalsingh Sagar Lalsingh</t>
  </si>
  <si>
    <t>Fino Payments Bank: मेरा ऐटीएम खो गया है</t>
  </si>
  <si>
    <t>2024-01-23 22:39:59</t>
  </si>
  <si>
    <t>Khairul Mondal</t>
  </si>
  <si>
    <t>Kitna hai uska dekhiye na ki kya paye</t>
  </si>
  <si>
    <t>2024-01-23 22:36:00</t>
  </si>
  <si>
    <t>KR Kumar Rohit</t>
  </si>
  <si>
    <t>Jai Hind</t>
  </si>
  <si>
    <t>2024-01-23 22:26:50</t>
  </si>
  <si>
    <t>Arvind Kumar Arvind Kumar</t>
  </si>
  <si>
    <t>2024-01-23 22:19:47</t>
  </si>
  <si>
    <t>Lovely_ashraf</t>
  </si>
  <si>
    <t>lovely_ashraf</t>
  </si>
  <si>
    <t>#fino #finopaymentbank #finobank new update 2024 https://t.co/XImwrwANWu</t>
  </si>
  <si>
    <t>2024-01-23 21:40:13</t>
  </si>
  <si>
    <t>Lovely Aaftaf</t>
  </si>
  <si>
    <t>Fino payment bank services is totally bogus they don't have support any technical support don't west your time in this company</t>
  </si>
  <si>
    <t>2024-01-23 21:36:09</t>
  </si>
  <si>
    <t>Sunil Kumar Gupta</t>
  </si>
  <si>
    <t>Fino ka id</t>
  </si>
  <si>
    <t>2024-01-23 20:22:51</t>
  </si>
  <si>
    <t>I'd lena hai</t>
  </si>
  <si>
    <t>2024-01-23 20:22:20</t>
  </si>
  <si>
    <t>LTracy37088441</t>
  </si>
  <si>
    <t>LewisTracy370</t>
  </si>
  <si>
    <t>Crypto  signals📈🚀300% per week .Info on main post: ➡️@bartmool🔗
@Marco33489981 @HhbhHhh27695760 @samiidd1 @kazilas_rodopi @MoshosJ98995 @flores_es @EgySeal86 @Metin44900 @FinoPaymntsBank @ustabakarmisin @vasu1609716817 @bylliness @Mwololo82</t>
  </si>
  <si>
    <t>2024-01-23 20:15:41</t>
  </si>
  <si>
    <t>Defuailter Defuailter</t>
  </si>
  <si>
    <t>2024-01-23 20:01:41</t>
  </si>
  <si>
    <t>Kamruddin Ansari</t>
  </si>
  <si>
    <t>Fino payment Bank I'd Lana hai kaha say</t>
  </si>
  <si>
    <t>2024-01-23 19:58:07</t>
  </si>
  <si>
    <t>Tanlanav Forices</t>
  </si>
  <si>
    <t>Raj Kanaujiya https://t.me/+HS0YgRFQjLxhZTg0</t>
  </si>
  <si>
    <t>2024-01-23 19:33:54</t>
  </si>
  <si>
    <t>Dushyant Kumar https://t.me/+HS0YgRFQjLxhZTg0</t>
  </si>
  <si>
    <t>2024-01-23 19:33:47</t>
  </si>
  <si>
    <t>Bindas Vishwa Akela https://t.me/+HS0YgRFQjLxhZTg0</t>
  </si>
  <si>
    <t>2024-01-23 19:33:37</t>
  </si>
  <si>
    <t>Virendra Shingavi https://t.me/+HS0YgRFQjLxhZTg0</t>
  </si>
  <si>
    <t>2024-01-23 19:33:30</t>
  </si>
  <si>
    <t>Mukesh Dwivedi https://t.me/+HS0YgRFQjLxhZTg0</t>
  </si>
  <si>
    <t>2024-01-23 19:33:23</t>
  </si>
  <si>
    <t>https://t.me/+HS0YgRFQjLxhZTg0</t>
  </si>
  <si>
    <t>2024-01-23 19:33:17</t>
  </si>
  <si>
    <t>Sourav Das https://t.me/+HS0YgRFQjLxhZTg0</t>
  </si>
  <si>
    <t>2024-01-23 19:33:08</t>
  </si>
  <si>
    <t>Surya Kanta Banerjee https://t.me/+HS0YgRFQjLxhZTg0</t>
  </si>
  <si>
    <t>2024-01-23 19:33:02</t>
  </si>
  <si>
    <t>2024-01-23 19:32:55</t>
  </si>
  <si>
    <t>Virendra Shingavi</t>
  </si>
  <si>
    <t>On such historical day, made such cheap poster</t>
  </si>
  <si>
    <t>2024-01-23 19:15:17</t>
  </si>
  <si>
    <t>Ajay Machhar</t>
  </si>
  <si>
    <t>Fino ma khatu kholvanuha</t>
  </si>
  <si>
    <t>2024-01-23 18:37:51</t>
  </si>
  <si>
    <t>Milesh Chaudhary</t>
  </si>
  <si>
    <t>Fino Payments Bank: Hlo fino payment Bank online se mobile number change ho sakta hai ki nahi please bata di je</t>
  </si>
  <si>
    <t>2024-01-23 17:00:19</t>
  </si>
  <si>
    <t>Rohit Verma</t>
  </si>
  <si>
    <t>Mujhe saving account khulwana hai</t>
  </si>
  <si>
    <t>2024-01-23 16:44:27</t>
  </si>
  <si>
    <t>Vishnu Thakor</t>
  </si>
  <si>
    <t>2024-01-23 16:08:46</t>
  </si>
  <si>
    <t>A M---NETWORK 🛜</t>
  </si>
  <si>
    <t>Fino Payment Bank Mini Branch #bihar  #viral  #youtubeshorts #bank #business #new #news #good</t>
  </si>
  <si>
    <t>2024-01-23 14:12:05</t>
  </si>
  <si>
    <t>Sanjeev Kumar</t>
  </si>
  <si>
    <t>2024-01-23 13:52:33</t>
  </si>
  <si>
    <t>Krishna Lal</t>
  </si>
  <si>
    <t>Er par</t>
  </si>
  <si>
    <t>2024-01-23 11:19:56</t>
  </si>
  <si>
    <t>0r</t>
  </si>
  <si>
    <t>2024-01-23 11:19:42</t>
  </si>
  <si>
    <t>Amitkr010Ak</t>
  </si>
  <si>
    <t>@NPCI_NPCI @FinoPaymntsBank 
# I am Amit Kumar I use fino payment Bank csp .i help customer to withdraw amount through aeps portal finobank 
But 12dec 2023  i can't withdraw any customer amount through aeps .it shows error risk threshold exceeded U16 I can talk to my finobank it https://t.co/vRylhnJudj</t>
  </si>
  <si>
    <t>2024-01-23 10:57:30</t>
  </si>
  <si>
    <t>Surya Kanta Banerjee</t>
  </si>
  <si>
    <t>2024-01-23 10:50:14</t>
  </si>
  <si>
    <t>sande_epkumar5132</t>
  </si>
  <si>
    <t>2024-01-23 10:40:10</t>
  </si>
  <si>
    <t>commatocve91043</t>
  </si>
  <si>
    <t>commatocve1983</t>
  </si>
  <si>
    <t>🟢 Best investing strategy! 👉 @lior_vault_eth  $DOGE $ETH $APE 
@rrrriikkama @BreyJabba @FinoPaymntsBank @ADENBS @babakaramis @garythedemon99 @propersonall @MdNurRabbyIslam @alhurai @TroxAn23 @eraju9 @KazikowyRaj @i3xYRz6z8AkUs23</t>
  </si>
  <si>
    <t>2024-01-23 10:39:14</t>
  </si>
  <si>
    <t>On the birth anniversary of the great freedom fighter Netaji Subhash Chandra Bose, let's remember his contribution to the freedom movement.
#FinoPaymentsBank #FikarNot #FinoBanker #DigitalBanking #SecureBanking #NetajiSubhashChandraBose #FreedomFighterofIndia #BirthAnniversary https://t.co/hwFIYfkgx0</t>
  </si>
  <si>
    <t>2024-01-23 09:00:00</t>
  </si>
  <si>
    <t>Sumit Saxena</t>
  </si>
  <si>
    <t>sumitsaxena01010@rediffmail.com</t>
  </si>
  <si>
    <t>2024-01-23 08:34:55</t>
  </si>
  <si>
    <t>2024-01-23 08:26:39</t>
  </si>
  <si>
    <t>Technical Sonu World</t>
  </si>
  <si>
    <t>Roinet Xpresso CSP ID Kaise Le Roinet New Update Fino Spice Money NPCI AEPS संचालक 2024</t>
  </si>
  <si>
    <t>2024-01-23 08:14:48</t>
  </si>
  <si>
    <t>On the birth anniversary of the great freedom fighter Netaji Subhash Chandra Bose, let's remember his contribution to the freedom movement.
#FinoPaymentsBank #FikarNot #FinoBanker #DigitalBanking #SecureBanking #NetajiSubhashChandraBose #SubhashChandraBose #FreedomFighterofIndia https://t.co/0vvCWFftSd</t>
  </si>
  <si>
    <t>2024-01-23 08:03:40</t>
  </si>
  <si>
    <t>On the birth anniversary of the great freedom fighter Netaji Subhash Chandra Bose, let's remember his contribution to the freedom movement.
#FinoPaymentsBank #FikarNot #FinoBanker #DigitalBanking #SecureBanking #NetajiSubhashChandraBose #SubhashChandraBose #FreedomFighterofIndia #BirthAnniversary</t>
  </si>
  <si>
    <t>2024-01-23 08:02:42</t>
  </si>
  <si>
    <t>2024-01-23 08:02:10</t>
  </si>
  <si>
    <t>Adarsh Pratap Singh</t>
  </si>
  <si>
    <t>Bhosdi wala</t>
  </si>
  <si>
    <t>2024-01-23 00:59:09</t>
  </si>
  <si>
    <t>Madharchod bank  hai ye</t>
  </si>
  <si>
    <t>2024-01-23 00:59:03</t>
  </si>
  <si>
    <t>2024-01-22</t>
  </si>
  <si>
    <t>Bindas Vishwa Akela</t>
  </si>
  <si>
    <t>corporate hai ye apna fayda dekhta hai bs koye support nahi kuch nahi bs fayda</t>
  </si>
  <si>
    <t>2024-01-22 23:55:19</t>
  </si>
  <si>
    <t>Mukesh Dwivedi</t>
  </si>
  <si>
    <t>मैं इस कंपनी का पुराना कर्मचारी रहा हूं, टॉप में रहा हू हर किसी फील्ड में, लेकिन management ने कदर नहीं की 
अफसोस आज भी है</t>
  </si>
  <si>
    <t>2024-01-22 22:18:29</t>
  </si>
  <si>
    <t>Syz Zunair</t>
  </si>
  <si>
    <t>Fino Payments Bank: I need distributor in our area</t>
  </si>
  <si>
    <t>2024-01-22 21:48:06</t>
  </si>
  <si>
    <t>2024-01-22 21:47:57</t>
  </si>
  <si>
    <t>DSA SERVICE HUB</t>
  </si>
  <si>
    <t>Aeps संचालक के लिए बड़ी बड़ी अपडेट, Bank और NPCI के बिच हुआ मीटिंग, नियमो में बड़ा बदलाव !</t>
  </si>
  <si>
    <t>2024-01-22 21:17:17</t>
  </si>
  <si>
    <t>2024-01-22 21:07:45</t>
  </si>
  <si>
    <t>Kuldeep30406580</t>
  </si>
  <si>
    <t>कुलदीप यादव</t>
  </si>
  <si>
    <t>@FinoPaymntsBank  Uttar Pradesh head team number
#state team up</t>
  </si>
  <si>
    <t>2024-01-22 20:29:52</t>
  </si>
  <si>
    <t>फैजाबाद</t>
  </si>
  <si>
    <t>Raj Kanaujiya sahi pakde ho</t>
  </si>
  <si>
    <t>2024-01-22 20:00:37</t>
  </si>
  <si>
    <t>@FinoPaymntsBank This is a fraud bank and they are just looting people's money.</t>
  </si>
  <si>
    <t>2024-01-22 19:22:30</t>
  </si>
  <si>
    <t>Har Bhartiya ke liye ek pratikshit kshan aa chuka hai.
Fino ki or se sabhi ko is shubh ghadi ke aagaman ki shubhkaamnayen.
#FinoPaymentsBank #FikarNot #FinoBanker #DigitalBanking #SecureBanking #RamMandirAyodhya #JaiShreeRam #RamMandir #PranPratishtha https://t.co/47k7CpYDtl</t>
  </si>
  <si>
    <t>2024-01-22 19:18:02</t>
  </si>
  <si>
    <t>@FinoPaymntsBank Mene merchant account open Kiya tha video kyc ke dwara online mujhe abhi Tak I'd aur password nhi Mila 3 mahine se jyada ho gye isse ghatiya services mene nhi dekhi isse accha @airtelnews @airtelbank hai</t>
  </si>
  <si>
    <t>2024-01-22 19:17:55</t>
  </si>
  <si>
    <t>Raj Kanaujiya</t>
  </si>
  <si>
    <t>दुनिया का सबसे महंगा बैंक ( फिनो पेमेंट बैंक )</t>
  </si>
  <si>
    <t>2024-01-22 18:53:35</t>
  </si>
  <si>
    <t>MWilliam5291354</t>
  </si>
  <si>
    <t>MyersWilliam528</t>
  </si>
  <si>
    <t>Crypto signals📈🚀.Target coin info on Telegram➡️@bartmool⬅️
@S_10_A1 @JohnDaniel09011 @saurabhkrsingh7 @SuzyQQQ12 @FinoPaymntsBank @EzequielWallgu @AirdropCnsk @nova_ophett @OneWheelJake @Yadira26926443 @agshdhdhxhzbzbz @WTereh @oasis_ton @Mohamed94627890</t>
  </si>
  <si>
    <t>2024-01-22 18:45:41</t>
  </si>
  <si>
    <t>Ram Singh Ram Singh</t>
  </si>
  <si>
    <t>फिनो पेमेंट्स बैंक चोर बैंक</t>
  </si>
  <si>
    <t>2024-01-22 17:37:07</t>
  </si>
  <si>
    <t>Fino me account open karke pachhta raha hu</t>
  </si>
  <si>
    <t>2024-01-22 17:04:17</t>
  </si>
  <si>
    <t>Tanisha Varma kitna de sakti ho aap</t>
  </si>
  <si>
    <t>2024-01-22 17:03:39</t>
  </si>
  <si>
    <t>Dushyant Kumar</t>
  </si>
  <si>
    <t>h</t>
  </si>
  <si>
    <t>2024-01-22 16:27:34</t>
  </si>
  <si>
    <t>@NPCI_NPCI 
Sir I use fino Bank csp my aeps portal is not working when I withdraw amount through aeps of any customer it shows error . Risk threshold exceeded U16
From 12dec2023 i contact my finobank it says your aeps block by NPCI .
Sir please check it</t>
  </si>
  <si>
    <t>2024-01-22 15:35:49</t>
  </si>
  <si>
    <t>Esrar Khan</t>
  </si>
  <si>
    <t>Tanisha Varma 9758589936</t>
  </si>
  <si>
    <t>2024-01-22 15:28:48</t>
  </si>
  <si>
    <t>2024-01-22 14:55:55</t>
  </si>
  <si>
    <t>Har Bhartiya ke liye ek pratikshit kshan aa chuka hai. 
Fino ki or se sabhi ko is shubh ghadi ke aagaman ki shubhkaamnayen.
#FinoPaymentsBank #FikarNot #FinoBanker #DigitalBanking #SecureBanking #RamMandirAyodhya #JaiShreeRam #RamMandir #PranPratishtha</t>
  </si>
  <si>
    <t>2024-01-22 14:55:50</t>
  </si>
  <si>
    <t>2024-01-22 14:55:47</t>
  </si>
  <si>
    <t>Shahid Khan Shahid</t>
  </si>
  <si>
    <t>Tanisha Varma 9575671415</t>
  </si>
  <si>
    <t>2024-01-22 14:43:27</t>
  </si>
  <si>
    <t>Tanisha Varma</t>
  </si>
  <si>
    <t>Esrar Khan contact number please</t>
  </si>
  <si>
    <t>2024-01-22 14:40:34</t>
  </si>
  <si>
    <t>Lock id kaise open kre</t>
  </si>
  <si>
    <t>2024-01-22 12:38:49</t>
  </si>
  <si>
    <t>Meri ID lock ho gai?
Problam ko solv kro</t>
  </si>
  <si>
    <t>2024-01-22 12:38:01</t>
  </si>
  <si>
    <t>Hanif Ali</t>
  </si>
  <si>
    <t>Fino Payments Bank: Mera new bank open kiya to O bank me 60rupese dala tu kat diya q</t>
  </si>
  <si>
    <t>2024-01-22 12:36:11</t>
  </si>
  <si>
    <t>@abhishekkumarsah6589</t>
  </si>
  <si>
    <t>Kitna kat gya</t>
  </si>
  <si>
    <t>2024-01-22 12:13:36</t>
  </si>
  <si>
    <t>Fino Payments Bank Micro ATM #finopaymentbank #IrshadFinoBank</t>
  </si>
  <si>
    <t>2024-01-22 11:04:27</t>
  </si>
  <si>
    <t>Punam Sharma</t>
  </si>
  <si>
    <t>Kyc full</t>
  </si>
  <si>
    <t>2024-01-22 10:48:40</t>
  </si>
  <si>
    <t>Dipshikha Sinha</t>
  </si>
  <si>
    <t>Fino Payments Bank: 600 rupee Liya hai paisa wapas Kara digiye</t>
  </si>
  <si>
    <t>2024-01-22 09:29:12</t>
  </si>
  <si>
    <t>Fino Payments Bank: Kuki muje ld leye 4 month ho Gaya lekin avi TK aeps chalu nahi hua</t>
  </si>
  <si>
    <t>2024-01-22 09:28:08</t>
  </si>
  <si>
    <t>Fino Payments Bank: Koe ve fino ka I'd Mt lo</t>
  </si>
  <si>
    <t>2024-01-22 09:26:25</t>
  </si>
  <si>
    <t>Fino Payments Bank: Bed service</t>
  </si>
  <si>
    <t>2024-01-22 09:25:49</t>
  </si>
  <si>
    <t>Zeb Me Tech</t>
  </si>
  <si>
    <t>ATM pin genaration 2024 ll atm pin kaise banaye ll fino payment bank update</t>
  </si>
  <si>
    <t>2024-01-22 07:00:04</t>
  </si>
  <si>
    <t>Udaybhan Kewat</t>
  </si>
  <si>
    <t>Hello friends</t>
  </si>
  <si>
    <t>2024-01-22 03:09:06</t>
  </si>
  <si>
    <t>2024-01-21</t>
  </si>
  <si>
    <t>Sonam Sonam Kumar</t>
  </si>
  <si>
    <t>2024-01-21 23:21:47</t>
  </si>
  <si>
    <t>Rajnesh Kumar Karn</t>
  </si>
  <si>
    <t>Fino Payments Bank: 1</t>
  </si>
  <si>
    <t>2024-01-21 21:42:08</t>
  </si>
  <si>
    <t>SRDJ35</t>
  </si>
  <si>
    <t>sr</t>
  </si>
  <si>
    <t>@FinoPaymntsBank 9301756920 please contact me mahine din hone ko h id password nhi mila</t>
  </si>
  <si>
    <t>2024-01-21 21:36:09</t>
  </si>
  <si>
    <t>PAYMENT BANK PASSBOOK PRINT FINO AIRTEL PAYTM INDIA POST PAYMENT BANK PASSBOOK PRINT CYBER VLE STORE</t>
  </si>
  <si>
    <t>2024-01-21 20:22:43</t>
  </si>
  <si>
    <t>Kumar Nikesh</t>
  </si>
  <si>
    <t>Tanisha Varma 20000000</t>
  </si>
  <si>
    <t>2024-01-21 20:00:17</t>
  </si>
  <si>
    <t>Beeru Tech</t>
  </si>
  <si>
    <t>fino payment bank Customer care number | fino bank customer care ko call kaise kare | customer care</t>
  </si>
  <si>
    <t>2024-01-21 18:30:42</t>
  </si>
  <si>
    <t>Sangita Prajapati</t>
  </si>
  <si>
    <t>ऐसे समस्त प्रचारको को ईश्वर जल्द ही अपने श्री चरणों में स्थान दें !
https://h26.in/m/ep5ew
 इनकी  अंतिम यात्रा धूम धड़ाके से गाजे बाजे के साथ निकले     ॐ शांति ॐ शांति 
 🙏🙏🙏अग्रिम श्रद्धांजलि 🙏🙏🙏</t>
  </si>
  <si>
    <t>2024-01-21 18:17:44</t>
  </si>
  <si>
    <t xml:space="preserve">DK Cyberzone </t>
  </si>
  <si>
    <t>Aeps portal se paisa gayeb ho gya kya kare.spice money .fino payment Bank.live news. aeps portal</t>
  </si>
  <si>
    <t>2024-01-21 17:40:25</t>
  </si>
  <si>
    <t>Jeetu Manjhi</t>
  </si>
  <si>
    <t>2024-01-21 15:21:53</t>
  </si>
  <si>
    <t>Tech News हिंदी</t>
  </si>
  <si>
    <t>fino payment bank merchant qr code activation new update 2024</t>
  </si>
  <si>
    <t>2024-01-21 13:28:46</t>
  </si>
  <si>
    <t>fino payment bank new update 2024| fino bank merchant qr code update| fino bank qr code</t>
  </si>
  <si>
    <t>2024-01-21 12:37:10</t>
  </si>
  <si>
    <t>Full2Gaming2</t>
  </si>
  <si>
    <t>Lovepreet</t>
  </si>
  <si>
    <t>@FinoPaymntsBank hey team, 
I'm trying to apply for fino merchant but still getting this error .. enter centre data .. block data isn't available please solve this issue asap
Thanks https://t.co/GXBbPMs4bt</t>
  </si>
  <si>
    <t>2024-01-21 12:10:15</t>
  </si>
  <si>
    <t>Pram Prince Kumar</t>
  </si>
  <si>
    <t>Fino kuc karana hai</t>
  </si>
  <si>
    <t>2024-01-21 12:04:27</t>
  </si>
  <si>
    <t>Transactions declined by Issuer Bank based on Risk Score. Please contact Issuer Bank. (59)</t>
  </si>
  <si>
    <t>2024-01-21 11:05:45</t>
  </si>
  <si>
    <t>Sohel Mdsohel</t>
  </si>
  <si>
    <t>Fino Payments Bank: Plise</t>
  </si>
  <si>
    <t>2024-01-21 09:58:10</t>
  </si>
  <si>
    <t>Fino Payments Bank: Naber</t>
  </si>
  <si>
    <t>2024-01-21 09:58:07</t>
  </si>
  <si>
    <t>2024-01-21 09:57:54</t>
  </si>
  <si>
    <t>Kelvin2044140</t>
  </si>
  <si>
    <t>Kelvin</t>
  </si>
  <si>
    <t>Simply contact James_experted on instagram, he’s a professional cyber security expert and can definitely help recover your account. Reach by sending a direct message! 
  Quoted Tweet : @Divakar13240241 : @FinoPaymntsBank Hello sir my account inactive my balence not withdraw account restricted</t>
  </si>
  <si>
    <t>2024-01-21 09:27:18</t>
  </si>
  <si>
    <t xml:space="preserve">Florida </t>
  </si>
  <si>
    <t>Spice Money AEPS संचालक सावधान Big fraud in India Roinet Paynearby Fino Bank 2024</t>
  </si>
  <si>
    <t>2024-01-21 09:19:33</t>
  </si>
  <si>
    <t>RAJA Kumar</t>
  </si>
  <si>
    <t>Something went wrong phone pay. Unable to load account balance fino PAYMENTS BANK</t>
  </si>
  <si>
    <t>2024-01-21 09:16:11</t>
  </si>
  <si>
    <t>Ram Raj</t>
  </si>
  <si>
    <t>बकवास है ये सभी gatiya hai</t>
  </si>
  <si>
    <t>2024-01-21 08:03:02</t>
  </si>
  <si>
    <t>SamuelMorr29813</t>
  </si>
  <si>
    <t>Samuel Morrison</t>
  </si>
  <si>
    <t>🟢 Check out his signals 👉 @shytoshi_eth  $XRP  
@prixoxo8 @petetsujishimae @philobavly @MichaelAvinou @DebraMilazzo @Abdalaa182 @nivantha1424 @mamasitabarista @josip_petrovic1 @FinoPaymntsBank @Blokarten @AliHass90719001 @TheSimee @Piya_Murali</t>
  </si>
  <si>
    <t>2024-01-21 06:43:27</t>
  </si>
  <si>
    <t>बकवास बैंक खाते में किसी भी तरह की समस्या का समाधान नहीं है इनके पास चोर बैंक Fino Payments Bank</t>
  </si>
  <si>
    <t>2024-01-21 05:59:28</t>
  </si>
  <si>
    <t>Dhananjay Kumar G Sahi bat Fino is Very Bad Fino Payments Bank</t>
  </si>
  <si>
    <t>2024-01-21 05:57:27</t>
  </si>
  <si>
    <t>grayjames044</t>
  </si>
  <si>
    <t>Cody B. Drew</t>
  </si>
  <si>
    <t>I had same issues some days back nothing was done after countless tweets, @travis_quickfix on #instagram was the only help I got. He had it fixed in just an hour 
  Quoted Tweet : @Divakar13240241 : @FinoPaymntsBank Hello sir my account inactive my balence not withdraw account restricted</t>
  </si>
  <si>
    <t>2024-01-21 00:29:09</t>
  </si>
  <si>
    <t>St louis, mo</t>
  </si>
  <si>
    <t>Divakar13240241</t>
  </si>
  <si>
    <t>Divakar Yadav</t>
  </si>
  <si>
    <t>@FinoPaymntsBank Hello sir my account inactive my balence not withdraw account restricted</t>
  </si>
  <si>
    <t>2024-01-21 00:19:27</t>
  </si>
  <si>
    <t>2024-01-20</t>
  </si>
  <si>
    <t>OnLine</t>
  </si>
  <si>
    <t>how to remove maximum number of adding device in fino payment bank/ Fino ki id se device kaise hatae</t>
  </si>
  <si>
    <t>2024-01-20 23:04:32</t>
  </si>
  <si>
    <t>How to add beneficiary account in fino payment bank/Fino bank me beneficiary account kaise save kare</t>
  </si>
  <si>
    <t>2024-01-20 22:56:07</t>
  </si>
  <si>
    <t>Judicial verification infino payment bank  / Fino payment bank me Judicial verification kaise kare</t>
  </si>
  <si>
    <t>2024-01-20 22:56:01</t>
  </si>
  <si>
    <t>How to pair a device in fino payment bank / Fino payment bank me kisi device ko pair kaise kare</t>
  </si>
  <si>
    <t>2024-01-20 22:53:19</t>
  </si>
  <si>
    <t>How to un block blocked fino payment bank I&amp;#39;d / Fino payment bank ki I&amp;#39;d ko un block kaise kare</t>
  </si>
  <si>
    <t>2024-01-20 22:39:01</t>
  </si>
  <si>
    <t>RASIDJH</t>
  </si>
  <si>
    <t>#video How to fono payment bank Fino bank kaise khole</t>
  </si>
  <si>
    <t>2024-01-20 21:09:36</t>
  </si>
  <si>
    <t>FloresEth66883</t>
  </si>
  <si>
    <t>João Flores.eth</t>
  </si>
  <si>
    <t>Get ready for daily pump signals📈🚀,Info on main post➡️@bartmool
@JohnAFaria1 @Anurag_hoonmain @chrissayre83 @Solana420Family @njaries01 @Suraj10930220 @jitusingh847 @aremisa11 @FinoPaymntsBank @md_naim420</t>
  </si>
  <si>
    <t>2024-01-20 20:14:09</t>
  </si>
  <si>
    <t>Armenia</t>
  </si>
  <si>
    <t>Mahan Kumbhar</t>
  </si>
  <si>
    <t>how to contact fino payment Bank customer care number fino Bank online service number#finobank\\</t>
  </si>
  <si>
    <t>2024-01-20 19:47:12</t>
  </si>
  <si>
    <t>Fino Payments Bank  ka passbook print ho jayega</t>
  </si>
  <si>
    <t>2024-01-20 19:20:54</t>
  </si>
  <si>
    <t>AnshulA59619573</t>
  </si>
  <si>
    <t>Anshul Agarwal</t>
  </si>
  <si>
    <t>@FinoPaymntsBank i am merchant of fino my id is 158899055. There is no support from distributor since 2 month so please close my id and refund my amount</t>
  </si>
  <si>
    <t>2024-01-20 19:15:25</t>
  </si>
  <si>
    <t>EthPatters2091</t>
  </si>
  <si>
    <t>Rudy Patterson.eth</t>
  </si>
  <si>
    <t>Get ready for daily pump signals📈🚀,Info on main post➡️@bartmool
@RizwanshahzadRs @MetaFloki @Talia1953324581 @DigitallyPushed @CoinYeeter @Mohamadalqatta5 @PedroDraa1800 @DomingoAlbertoR @FinoPaymntsBank @jomalole66</t>
  </si>
  <si>
    <t>2024-01-20 18:51:41</t>
  </si>
  <si>
    <t>Sri lanka</t>
  </si>
  <si>
    <t>Thakshila Sadamali</t>
  </si>
  <si>
    <t>2024-01-20 18:51:27</t>
  </si>
  <si>
    <t>Fino Payment Bank CSP I&amp;#39;d 1 Day Active Done ✅ Fino Bank CSP Only Aadhar &amp;amp; Pan I&amp;#39;d Active</t>
  </si>
  <si>
    <t>2024-01-20 18:19:15</t>
  </si>
  <si>
    <t>rajminpanchal</t>
  </si>
  <si>
    <t>Risk Management Professional | Investment Enthu...</t>
  </si>
  <si>
    <t>#FINOPB Fino Payments Bank Ltd - SL below 287 - Average @ 300 - Weekly Chart 
#stocks #StockMarket #StockMarketindia #nse #nifty50 #StocksToBuy #StocksInFocus #Trending #TrendingNow #investing #COALINDIA #KOTAKBANK #POWERGRID https://t.co/8W7rQzuifi</t>
  </si>
  <si>
    <t>2024-01-20 17:32:53</t>
  </si>
  <si>
    <t>satyam flower decoration</t>
  </si>
  <si>
    <t>2024-01-20 16:57:50</t>
  </si>
  <si>
    <t>Fino payment Bank CSP ID kese Le. Fino CSP ID kese Le. fino payment Bank BC agent id kese Le. CSP id</t>
  </si>
  <si>
    <t>2024-01-20 16:57:42</t>
  </si>
  <si>
    <t>roktokhindi</t>
  </si>
  <si>
    <t>RokTok</t>
  </si>
  <si>
    <t>@FinoPaymntsBank @RBI Name Dinesh Kumar
Mobile no:- 8267932551
I ordered from fino bank to buy 10 mantra devices of which ₹22000 was deducted from my fino merchant portal but till 20th January 2024 I have not received even a bit of my money or my order. https://t.co/OGHoVYNbXv</t>
  </si>
  <si>
    <t>2024-01-20 16:25:42</t>
  </si>
  <si>
    <t>fino kit kaise order karen | fino payment bank | fino welcome kit unboxing | fino combo kit order</t>
  </si>
  <si>
    <t>2024-01-20 16:00:16</t>
  </si>
  <si>
    <t>DihyaHashmi</t>
  </si>
  <si>
    <t>Dahiya</t>
  </si>
  <si>
    <t>@FinoPaymntsBank @RBI @FinMinIndia this payment bank is looting our money, can we get rid of it? Please</t>
  </si>
  <si>
    <t>2024-01-20 15:14:54</t>
  </si>
  <si>
    <t>@FinoPaymntsBank @RBI @FinMinIndia you should not legalize this kind of banks, they are looting customer's money and after repeated complaints they even aren't ready to solve problems. This payment bank doesn't just effect our business but rather looting our money. Please help me</t>
  </si>
  <si>
    <t>2024-01-20 15:06:42</t>
  </si>
  <si>
    <t>2024-01-20 15:01:27</t>
  </si>
  <si>
    <t>@FinoPaymntsBank  why do u dupe your customers? If you have no job other than looting customer's money, why do u say that we're providing best services.Hell to your fake Bank. Stop looting money from your customers in the name of fake services. @RBI why do u licence suck looters?</t>
  </si>
  <si>
    <t>2024-01-20 15:00:24</t>
  </si>
  <si>
    <t>Mahenk_Gor</t>
  </si>
  <si>
    <t>Mahenk Gor</t>
  </si>
  <si>
    <t>I had talked with your Banking Person Related My Query To Close My A/c, he Had comited to Resolve My Query Still not close After so many Time Talk with Banking Person or Customer care Not Solve Still i am waiting @FinoPaymntsBank @ashishahuja888 @RBI @RBIsays</t>
  </si>
  <si>
    <t>2024-01-20 14:22:51</t>
  </si>
  <si>
    <t>FinvestingJ</t>
  </si>
  <si>
    <t>Finvesting Journey</t>
  </si>
  <si>
    <t>2024-01-20 14:20:35</t>
  </si>
  <si>
    <t>2024-01-20 14:03:15</t>
  </si>
  <si>
    <t>2024-01-20 12:09:30</t>
  </si>
  <si>
    <t>Doulat Nishad</t>
  </si>
  <si>
    <t>Fino  बैंक नहीं सही है पैसा काटता है</t>
  </si>
  <si>
    <t>2024-01-20 11:41:05</t>
  </si>
  <si>
    <t>Fino Payments Bank AV Merchants #finopaymentbank #irshadfinobank</t>
  </si>
  <si>
    <t>2024-01-20 10:09:07</t>
  </si>
  <si>
    <t>Saikat Chakraborty</t>
  </si>
  <si>
    <t>Fino Payments Bank: Kindly send me your contact number</t>
  </si>
  <si>
    <t>2024-01-20 09:40:45</t>
  </si>
  <si>
    <t>@FinoPaymntsBank Sir mera benk khtata video kyc nhi hone ke karan band ho gaya hai isliye mujhe new khata kholna he lekin khul nhi Raha hai 
Isliye benk se mera namber hatana he 🙏
Mo no 7877792081</t>
  </si>
  <si>
    <t>2024-01-20 08:48:52</t>
  </si>
  <si>
    <t>@FinoPaymntsBank Sir mera khata band ho gaya hai please help me</t>
  </si>
  <si>
    <t>2024-01-20 08:45:32</t>
  </si>
  <si>
    <t>@FinoPaymntsBank Hello sir</t>
  </si>
  <si>
    <t>2024-01-20 08:44:47</t>
  </si>
  <si>
    <t>MunnakrX</t>
  </si>
  <si>
    <t>@FinoPaymntsBank Worst banking ever</t>
  </si>
  <si>
    <t>2024-01-20 07:44:28</t>
  </si>
  <si>
    <t>क्या आपको लोन चाहिए। तो अभी  Whatsapp no 86072 88523 पर  करो #emidateloan #लोन</t>
  </si>
  <si>
    <t>2024-01-20 07:25:38</t>
  </si>
  <si>
    <t>tinghiscoc75362</t>
  </si>
  <si>
    <t>tinghiscocen1981</t>
  </si>
  <si>
    <t>🟢 It was an unbelievable 180% pump 👉 @shytoshi_eth 
@TilolM @jingzou77443128 @ChatsChain @Yashwan67610584 @UsamaAn55170481 @f8b701319ee34b4 @vvvVloveVvvv @chilll_ly @EmanzyiAlways @Prashan20740212 @FinoPaymntsBank @Real_Rajesh97 @ckioge @spartasibe</t>
  </si>
  <si>
    <t>2024-01-20 03:21:05</t>
  </si>
  <si>
    <t>Debjyoti1</t>
  </si>
  <si>
    <t>Debjyoti 🍁</t>
  </si>
  <si>
    <t>@FinoPaymntsBank I complete my kyc procedure and also pay the initial fund in account In fino mitra application in 17th Jan 2024 according to your customers they need 3 working days so why after 3 working days i not received mu users id ..?</t>
  </si>
  <si>
    <t>2024-01-20 00:41:54</t>
  </si>
  <si>
    <t>West bengal, india</t>
  </si>
  <si>
    <t>2024-01-19</t>
  </si>
  <si>
    <t>Ankit Rathod</t>
  </si>
  <si>
    <t>Chutiya bank he</t>
  </si>
  <si>
    <t>2024-01-19 23:57:37</t>
  </si>
  <si>
    <t>Cgh Ijg</t>
  </si>
  <si>
    <t>2024-01-19 23:21:13</t>
  </si>
  <si>
    <t>Fino Payments Bank: Hello, we would like to pay you to place our content on your page. www.lyfe marketing    Our brands are Nestlé, Nike, Puma and Nissan, let me know if you have any interest.</t>
  </si>
  <si>
    <t>Avijit Das</t>
  </si>
  <si>
    <t>To vai phone pay kya kartahr</t>
  </si>
  <si>
    <t>2024-01-19 22:32:14</t>
  </si>
  <si>
    <t>Fino Payment Bank</t>
  </si>
  <si>
    <t>#Fino Payment Bank,Add Money|Cash Request Full Process|Wallet in Cash. CDM&amp;amp;Branch Cash loading.</t>
  </si>
  <si>
    <t>2024-01-19 22:27:37</t>
  </si>
  <si>
    <t>UdityaSingh19</t>
  </si>
  <si>
    <t>Uditya Singh</t>
  </si>
  <si>
    <t>@Bank_on_Fi 
My name is Uditya Singh, and I am writing to bring to your attention an issue I have encountered with a recent transaction.
On 16 January 2024, I initiated a  to my Fino Bank account for the amount of 5000. Unfortunately, the funds seem to be stuck in transit.</t>
  </si>
  <si>
    <t>2024-01-19 20:51:23</t>
  </si>
  <si>
    <t>arapamop1978563</t>
  </si>
  <si>
    <t>arapamop1973</t>
  </si>
  <si>
    <t>📈Crypto PUMP is the best opportunity to make a quick profit💸Telegram channel on profile➡️@foucher_eth⬅️
@maruti_tv @ZeYreK_BeY @jesse__h2 @monadonsol @EthNegese22916 @HedwigSult39206 @FinoPaymntsBank @lorialexander57 @iliev_catalin @McShendi</t>
  </si>
  <si>
    <t>2024-01-19 20:48:13</t>
  </si>
  <si>
    <t>Parmeshwar7755</t>
  </si>
  <si>
    <t>Parmeshwar Chavan</t>
  </si>
  <si>
    <t>@FinoPaymntsBank You will call such people educated, illiterate and idiots.</t>
  </si>
  <si>
    <t>2024-01-19 20:42:20</t>
  </si>
  <si>
    <t>@FinoPaymntsBank I contacted Fino Payments Bank on their email ID and on Twitter and https://t.co/80VL7RLKhK contact number is being asked and after sharing they call me.I emailed these people and also shared its screenshot on social media, still these people are telling what is your query?</t>
  </si>
  <si>
    <t>2024-01-19 20:40:35</t>
  </si>
  <si>
    <t>@FinoPaymntsBank Asked for my mobile number on social media platform, I also shared the number. Now do you guys want to pickle her number?</t>
  </si>
  <si>
    <t>2024-01-19 20:35:04</t>
  </si>
  <si>
    <t>@FinoPaymntsBank If you people do not respond properly then I am going to forward a complaint against you to RBI.https://t.co/bj4TTQjmTU</t>
  </si>
  <si>
    <t>2024-01-19 20:33:07</t>
  </si>
  <si>
    <t>@FinoPaymntsBank I am not able to understand how they have allowed such illiterate people to sit on social media. Why are so many stupid people working to defame Fino's name?</t>
  </si>
  <si>
    <t>2024-01-19 20:31:06</t>
  </si>
  <si>
    <t>@FinoPaymntsBank Look, I am sending the video. You idiot, look at this properly. https://t.co/Csnibw605P</t>
  </si>
  <si>
    <t>2024-01-19 20:30:24</t>
  </si>
  <si>
    <t>@FinoPaymntsBank I have tweeted 8 to 10 times in so many days. Are you asking me only for my query and contact number? Do you think I am a fool?</t>
  </si>
  <si>
    <t>2024-01-19 20:29:08</t>
  </si>
  <si>
    <t>FinoPay use karne waalo ke liye hai online banking ekdum aasan. Kyuki Fino matlab Fikar Not!
#FinoPaymentsBank #FikarNot #FinoBanker #DigitalBanking #SecureBanking #HarDinFino #FinoPay #Download #DownloadNow https://t.co/IRwNMvIXox</t>
  </si>
  <si>
    <t>2024-01-19 20:05:29</t>
  </si>
  <si>
    <t>FinoPay use karne waalo ke liye hai online banking ekdum aasan. Kyuki Fino matlab Fikar Not!
#FinoPaymentsBank #FikarNot #FinoBanker #DigitalBanking #SecureBanking #HarDinFino #FinoPay #Download #DownloadNow</t>
  </si>
  <si>
    <t>2024-01-19 20:05:28</t>
  </si>
  <si>
    <t>2024-01-19 20:05:14</t>
  </si>
  <si>
    <t>Shazzy Khan</t>
  </si>
  <si>
    <t>Fino Payments Bank: Plzz 🥺</t>
  </si>
  <si>
    <t>2024-01-19 19:26:02</t>
  </si>
  <si>
    <t>Fino Payments Bank: Paisa paid ho raha Paisa aa bhi raha but belence check nhi ho raha do din se aise hi</t>
  </si>
  <si>
    <t>2024-01-19 19:25:50</t>
  </si>
  <si>
    <t>Fino Payments Bank: Sir mere account ka belence check nhi ho raha hai</t>
  </si>
  <si>
    <t>2024-01-19 19:25:21</t>
  </si>
  <si>
    <t>2024-01-19 19:25:09</t>
  </si>
  <si>
    <t>Rajesh Verma</t>
  </si>
  <si>
    <t>2024-01-19 18:55:33</t>
  </si>
  <si>
    <t>Top 3 AEPS Company कौन सा है Fino Payment Bank Roinet Paynearby Spice Money 2024</t>
  </si>
  <si>
    <t>2024-01-19 18:44:11</t>
  </si>
  <si>
    <t>Kamanshusen</t>
  </si>
  <si>
    <t>#youtubeshorts fino payment bank 🏦🏧</t>
  </si>
  <si>
    <t>2024-01-19 18:27:52</t>
  </si>
  <si>
    <t>@Vimleshedit100k</t>
  </si>
  <si>
    <t>https://www.youtube.com/@Vimleshedit100k</t>
  </si>
  <si>
    <t>2024-01-19 16:59:11</t>
  </si>
  <si>
    <t>#sanjaybainsla #fitnessmotivation #fitnessaddict #rajvir_fitness_series #fitnesscoach #fitness #FitnessGoals @followers Fit Sachin Fino Payments Bank</t>
  </si>
  <si>
    <t>2024-01-19 16:28:36</t>
  </si>
  <si>
    <t>2024-01-19 15:35:44</t>
  </si>
  <si>
    <t>Davandra Sani Davandra Sani   Namaste, Thanks for getting in touch. Request you to please explain the issue.</t>
  </si>
  <si>
    <t>2024-01-19 14:37:42</t>
  </si>
  <si>
    <t>@SRDJ35 Namaste, Please share your query and contact number. Someone from our team will get in touch with you. Thanks!</t>
  </si>
  <si>
    <t>2024-01-19 14:36:33</t>
  </si>
  <si>
    <t>Pawan Barnwal</t>
  </si>
  <si>
    <t>2024-01-19 14:34:17</t>
  </si>
  <si>
    <t>Pawan Barnwal   Namaste, Thank you for your interest in Fino Payments Bank. Please visit our website or call us on 022 6868 1414 to know more about our products and services. https://www.finobank.com/</t>
  </si>
  <si>
    <t>2024-01-19 14:33:37</t>
  </si>
  <si>
    <t>@Abhishe13517911 Namaste, Please share your query and contact number. Someone from our team will get in touch with you. Thanks!</t>
  </si>
  <si>
    <t>2024-01-19 14:31:01</t>
  </si>
  <si>
    <t>@JaySosue Namaste, Please share your query and contact number. Someone from our team will get in touch with you. Thanks!</t>
  </si>
  <si>
    <t>2024-01-19 14:30:48</t>
  </si>
  <si>
    <t>Teerath Badkare</t>
  </si>
  <si>
    <t>Fino Payments Bank: Please aap hi help Karo kuch</t>
  </si>
  <si>
    <t>2024-01-19 14:29:12</t>
  </si>
  <si>
    <t>Fino Payments Bank: Bahot din Ho gaye register kiye</t>
  </si>
  <si>
    <t>2024-01-19 14:27:50</t>
  </si>
  <si>
    <t>Fino Payments Bank: Kab se Ho gya koi reply nhi aa rha hai</t>
  </si>
  <si>
    <t>2024-01-19 14:27:05</t>
  </si>
  <si>
    <t>Shahid Khan Shahid   Namaste, Thank you for your interest in Fino Payments Bank. Please visit our website or call us on 022 6868 1414 to know more about our products and services. https://www.finobank.com/</t>
  </si>
  <si>
    <t>2024-01-19 14:26:34</t>
  </si>
  <si>
    <t>Ashok Kumar Kumar: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</si>
  <si>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2024-01-19 14:26:04</t>
  </si>
  <si>
    <t>@JAGDISHMENA1 Namaste! How can we help you ?</t>
  </si>
  <si>
    <t>2024-01-19 14:23:48</t>
  </si>
  <si>
    <t>Defuailter Defuailter   Namaste, Please share your query and contact number. Someone from our team will get in touch with you. Thanks!</t>
  </si>
  <si>
    <t>2024-01-19 14:23:30</t>
  </si>
  <si>
    <t>@KunjabanaSahu1 Namaste, Please share your query and contact number. Someone from our team will get in touch with you. Thanks!</t>
  </si>
  <si>
    <t>2024-01-19 14:23:09</t>
  </si>
  <si>
    <t>Birupakshya Bishi   Namaste, Please share your query and contact number. Someone from our team will get in touch with you. Thanks!</t>
  </si>
  <si>
    <t>2024-01-19 14:17:14</t>
  </si>
  <si>
    <t>Golu Kasdekar: Namaste! How can we help you ?</t>
  </si>
  <si>
    <t>2024-01-19 12:41:22</t>
  </si>
  <si>
    <t>@lovepartner_1 Namaste, Please share your query and contact number. Someone from our team will get in touch with you. Thanks!</t>
  </si>
  <si>
    <t>2024-01-19 12:33:50</t>
  </si>
  <si>
    <t>2024-01-19 12:33:10</t>
  </si>
  <si>
    <t>righdarxdi64747</t>
  </si>
  <si>
    <t>righdarxdingpa1979</t>
  </si>
  <si>
    <t>📈Get ready for daily pump signals🚀,#PUMP incoming,Info on main post➡️@LKeeler67633⬅️ 
@venkatanarayan @glenn1643289 @peednura @mayang131219 @FinoPaymntsBank @forappasis12633 @abidhusen042 @gamingwaffles_ @selimkilci6 @mc_vera00</t>
  </si>
  <si>
    <t>2024-01-19 12:32:35</t>
  </si>
  <si>
    <t>Pintu Prajapati: Namaste! How can we help you ?</t>
  </si>
  <si>
    <t>2024-01-19 12:32:32</t>
  </si>
  <si>
    <t>2024-01-19 12:30:27</t>
  </si>
  <si>
    <t>Mokibul Islam: Namaste, Please share your query and contact number. Someone from our team will get in touch with you. Thanks!</t>
  </si>
  <si>
    <t>2024-01-19 12:29:41</t>
  </si>
  <si>
    <t>Shailendra Singh: Namaste, Thank you for your interest in Fino Payments Bank. Please visit our website or call us on 022 6868 1414 to know more about our products and services. https://www.finobank.com/</t>
  </si>
  <si>
    <t>2024-01-19 12:27:44</t>
  </si>
  <si>
    <t>@msamik7 Namaste, Thank you for your interest in Fino Payments Bank. Please visit our website or call us on 022 6868 1414 to know more about our products and services. https://t.co/zlRwRZorvk</t>
  </si>
  <si>
    <t>2024-01-19 12:26:51</t>
  </si>
  <si>
    <t>মিষ্টি মায়ের হারামি ছেলে: Namaste! How can we help you ?</t>
  </si>
  <si>
    <t>2024-01-19 12:26:03</t>
  </si>
  <si>
    <t>@Parmeshwar7755 Namaste, Please share your query and contact number. Someone from our team will get in touch with you. Thanks!</t>
  </si>
  <si>
    <t>2024-01-19 12:24:51</t>
  </si>
  <si>
    <t>Dhananjay Kumar G kitana chori kiya hai</t>
  </si>
  <si>
    <t>2024-01-19 12:22:02</t>
  </si>
  <si>
    <t>ی۔ س۔</t>
  </si>
  <si>
    <t>Fino Payments Bank: I want to close my account</t>
  </si>
  <si>
    <t>2024-01-19 12:12:44</t>
  </si>
  <si>
    <t>Fino Payments Bank: Hello sir mam</t>
  </si>
  <si>
    <t>2024-01-19 12:12:36</t>
  </si>
  <si>
    <t>Vipin04937239</t>
  </si>
  <si>
    <t>Vipin</t>
  </si>
  <si>
    <t>@FinoPaymntsBank 9826616621 this is my mobile number</t>
  </si>
  <si>
    <t>2024-01-19 12:09:27</t>
  </si>
  <si>
    <t>Ashta, india</t>
  </si>
  <si>
    <t>2024-01-19 12:08:41</t>
  </si>
  <si>
    <t>2024-01-19 12:07:47</t>
  </si>
  <si>
    <t>Jishan Khan   Namaste, Thank you for your interest in Fino Payments Bank. Please visit our website or call us on 022 6868 1414 to know more about our products and services. https://www.finobank.com/</t>
  </si>
  <si>
    <t>2024-01-19 12:06:59</t>
  </si>
  <si>
    <t>Pintu Prajapati</t>
  </si>
  <si>
    <t>2024-01-19 12:04:06</t>
  </si>
  <si>
    <t>@Vipin04937239 Namaste, Please share your query and contact number. Someone from our team will get in touch with you. Thanks!</t>
  </si>
  <si>
    <t>2024-01-19 12:02:47</t>
  </si>
  <si>
    <t>@Praveen37760917 @FinoPaymntsBank Rbi walo ko eska licence radd kar Dena chaiyea bhut kharab bank hai ye logo ka paisa bhi le rakh leta hai aur account lock kar deta hai @RBI</t>
  </si>
  <si>
    <t>2024-01-19 12:00:41</t>
  </si>
  <si>
    <t>@Praveen37760917 @FinoPaymntsBank Chor hai bank aur rbi Wale esko hee aur kaam derahe hai @rbi</t>
  </si>
  <si>
    <t>2024-01-19 11:59:04</t>
  </si>
  <si>
    <t>Fino Payments Bank: Call me sir</t>
  </si>
  <si>
    <t>2024-01-19 11:58:58</t>
  </si>
  <si>
    <t>QM-FINO-E621</t>
  </si>
  <si>
    <t>Fino Payments Bank: 9933845226</t>
  </si>
  <si>
    <t>2024-01-19 11:58:53</t>
  </si>
  <si>
    <t>QM-FINO-E622</t>
  </si>
  <si>
    <t>@FinoPaymntsBank Chor hai ye bank</t>
  </si>
  <si>
    <t>2024-01-19 11:58:00</t>
  </si>
  <si>
    <t>@FinoPaymntsBank Chor company</t>
  </si>
  <si>
    <t>2024-01-19 11:57:24</t>
  </si>
  <si>
    <t>@FinoPaymntsBank Chor company fino</t>
  </si>
  <si>
    <t>2024-01-19 11:57:02</t>
  </si>
  <si>
    <t>Fino Payments Bank: Kordiya but kohi response nehi</t>
  </si>
  <si>
    <t>2024-01-19 11:56:37</t>
  </si>
  <si>
    <t>2024-01-19 11:56:28</t>
  </si>
  <si>
    <t>@FinoPaymntsBank Dogla company</t>
  </si>
  <si>
    <t>2024-01-19 11:56:19</t>
  </si>
  <si>
    <t>@FinoPaymntsBank Lora. Location https://t.co/9O1lawWpH8</t>
  </si>
  <si>
    <t>2024-01-19 11:56:05</t>
  </si>
  <si>
    <t>@FinoPaymntsBank https://t.co/MMrKxc0bRK</t>
  </si>
  <si>
    <t>2024-01-19 11:55:47</t>
  </si>
  <si>
    <t>@FinoPaymntsBank https://t.co/tSjxm6YtiP</t>
  </si>
  <si>
    <t>2024-01-19 11:55:45</t>
  </si>
  <si>
    <t>@FinoPaymntsBank Land location https://t.co/75QBzl54zy</t>
  </si>
  <si>
    <t>2024-01-19 11:55:08</t>
  </si>
  <si>
    <t>@FinoPaymntsBank Fino ka baap dhirtrastra hai baithe baithe Jaan raha location me nhi hai madar chod</t>
  </si>
  <si>
    <t>2024-01-19 11:54:07</t>
  </si>
  <si>
    <t>Rocky Singh</t>
  </si>
  <si>
    <t>Fino Payments Bank: Account restrictions
My contact number - 7354728280</t>
  </si>
  <si>
    <t>2024-01-19 11:50:54</t>
  </si>
  <si>
    <t>QM-FINO-E623</t>
  </si>
  <si>
    <t>@soniarvind19 Namaste, Please share your query and contact number. Someone from our team will get in touch with you. Thanks!</t>
  </si>
  <si>
    <t>2024-01-19 11:50:45</t>
  </si>
  <si>
    <t>Raju Chavan</t>
  </si>
  <si>
    <t>Fino Payments Bank: Customer you working account closed Karachi aahe
Naw Rajiv vijay chavan
Mo 9604866562
Aadhar number 309176832214
Close Karachi aahe</t>
  </si>
  <si>
    <t>2024-01-19 11:50:21</t>
  </si>
  <si>
    <t>@FinoPaymntsBank Madarchod Teri maa ka baithe baithe Jaan raha hai location me nhi hai doogla company hai ye presan kar rakha hai https://t.co/3Az8mwxbnA</t>
  </si>
  <si>
    <t>2024-01-19 11:46:31</t>
  </si>
  <si>
    <t>Sunil Titu Sunil Titu   Namaste, Thank you for your interest in Fino Payments Bank. Please visit our website or call us on 022 6868 1414 to know more about our products and services. https://www.finobank.com/</t>
  </si>
  <si>
    <t>2024-01-19 11:43:07</t>
  </si>
  <si>
    <t>DigitalPay Point: Namaste, Please share your query and contact number. Someone from our team will get in touch with you. Thanks!</t>
  </si>
  <si>
    <t>2024-01-19 11:38:27</t>
  </si>
  <si>
    <t>Zubair Shaik: Namaste, Please share your query and contact number. Someone from our team will get in touch with you. Thanks!</t>
  </si>
  <si>
    <t>2024-01-19 11:36:08</t>
  </si>
  <si>
    <t>Zubair Shaik   Namaste, Please share your query and contact number. Someone from our team will get in touch with you. Thanks!</t>
  </si>
  <si>
    <t>2024-01-19 11:35:08</t>
  </si>
  <si>
    <t>Raju Chavan: Namaste! How can we help you ?</t>
  </si>
  <si>
    <t>2024-01-19 11:34:42</t>
  </si>
  <si>
    <t>Rocky Singh: Namaste, Please share your query and contact number. Someone from our team will get in touch with you. Thanks!</t>
  </si>
  <si>
    <t>2024-01-19 11:34:09</t>
  </si>
  <si>
    <t>Jyotish Kumar Jha: Namaste! How can we help you ?</t>
  </si>
  <si>
    <t>2024-01-19 11:33:44</t>
  </si>
  <si>
    <t>Fino payment bank. fino. fino bank. NPCI. Aeps new update. safe india.</t>
  </si>
  <si>
    <t>2024-01-19 11:32:26</t>
  </si>
  <si>
    <t>2024-01-19 11:29:22</t>
  </si>
  <si>
    <t>Puran Sing Pokhrel   Namaste! How can we help you ?</t>
  </si>
  <si>
    <t>2024-01-19 11:26:05</t>
  </si>
  <si>
    <t>Babul Das: Namaste! How can we help you ?</t>
  </si>
  <si>
    <t>2024-01-19 11:25:38</t>
  </si>
  <si>
    <t>Babul Das: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</si>
  <si>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2024-01-19 11:25:27</t>
  </si>
  <si>
    <t>Dhananjay Kumar G   Namaste, Please share your query and contact number. Someone from our team will get in touch with you. Thanks!</t>
  </si>
  <si>
    <t>2024-01-19 11:22:48</t>
  </si>
  <si>
    <t>Tarun Bhalavi: Namaste! How can we help you ?</t>
  </si>
  <si>
    <t>2024-01-19 11:22:25</t>
  </si>
  <si>
    <t>Teerath Badkare: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</si>
  <si>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2024-01-19 11:21:50</t>
  </si>
  <si>
    <t>Manisha Visheakrma</t>
  </si>
  <si>
    <t>Fino Payments Bank: Sir my account pin nahi lag raha hai</t>
  </si>
  <si>
    <t>2024-01-19 11:21:25</t>
  </si>
  <si>
    <t>2024-01-19 11:20:54</t>
  </si>
  <si>
    <t>Manisha Visheakrma: Namaste! How can we help you ?</t>
  </si>
  <si>
    <t>2024-01-19 11:20:36</t>
  </si>
  <si>
    <t>MR.ONLINE TECH</t>
  </si>
  <si>
    <t>Fino Payment Bank Rupay Platinum Debit card Unboxing 2024 l Life time Free Atm card Fino Bank !!</t>
  </si>
  <si>
    <t>2024-01-19 09:27:54</t>
  </si>
  <si>
    <t>Shiv Banking News</t>
  </si>
  <si>
    <t>FinobankCSPnewCommission 2024#Fino #FinoCSPfino payment bankfino payment bank account</t>
  </si>
  <si>
    <t>2024-01-19 09:10:15</t>
  </si>
  <si>
    <t>@FinoPaymntsBank Fino Payments Bank asked for my number but till now I have not been called or given any information.</t>
  </si>
  <si>
    <t>2024-01-19 09:06:09</t>
  </si>
  <si>
    <t>Fino Payments Bank: Distributor id</t>
  </si>
  <si>
    <t>2024-01-19 08:45:34</t>
  </si>
  <si>
    <t>Fino Payments Bank: My dear fino bank</t>
  </si>
  <si>
    <t>2024-01-19 08:44:20</t>
  </si>
  <si>
    <t>Fino Payments Bank: Good morning</t>
  </si>
  <si>
    <t>2024-01-19 08:43:24</t>
  </si>
  <si>
    <t>2024-01-19 08:43:22</t>
  </si>
  <si>
    <t>Fino Bank Balmiki Singh</t>
  </si>
  <si>
    <t>fino payments bank  new retailer id only 600 This id is available in only gorakhpur Mo. 9795036150</t>
  </si>
  <si>
    <t>2024-01-19 08:27:51</t>
  </si>
  <si>
    <t>Fino Payment Bank All Accounts Full Details | Current Accounts | Saving Accounts | Salary Accounts</t>
  </si>
  <si>
    <t>2024-01-19 08:00:02</t>
  </si>
  <si>
    <t>Fino Paytech launches its new brand identity #shorts #finopaymentbank #irshadfinobank</t>
  </si>
  <si>
    <t>2024-01-19 07:57:26</t>
  </si>
  <si>
    <t>Rajesh Bimlesh Jha</t>
  </si>
  <si>
    <t>Kitna Paisa Mila add karne ka bhosdi ke</t>
  </si>
  <si>
    <t>2024-01-19 06:19:38</t>
  </si>
  <si>
    <t>2024-01-18</t>
  </si>
  <si>
    <t>2024-01-18 23:10:54</t>
  </si>
  <si>
    <t>2024-01-18 23:10:45</t>
  </si>
  <si>
    <t>autodidact_arya</t>
  </si>
  <si>
    <t>Autodidact_Arya</t>
  </si>
  <si>
    <t>Fraud of ₹10,00,000 by @Paytm 
Everyone should watch this video and stop using @PaytmBank from now.
Watch this video 
Paytm no :- 7011914608 blocked since 5 years! 
@paytmbankcare @TheOfficialSBI @BankofIndia_IN @HDFCBank_Cares @ICICIBank_Care @FinoPaymntsBank @vijayshekhar https://t.co/K0iFtXJ3wH</t>
  </si>
  <si>
    <t>2024-01-18 22:54:23</t>
  </si>
  <si>
    <t>Tarun Bhalavi</t>
  </si>
  <si>
    <t>2024-01-18 22:12:15</t>
  </si>
  <si>
    <t>2024-01-18 22:12:03</t>
  </si>
  <si>
    <t>2024-01-18 22:12:02</t>
  </si>
  <si>
    <t>Fino all service</t>
  </si>
  <si>
    <t>Fino payment Bank ki id lene ke liye sampark kre</t>
  </si>
  <si>
    <t>2024-01-18 20:27:28</t>
  </si>
  <si>
    <t>Suman Majumdar</t>
  </si>
  <si>
    <t>2024-01-18 20:05:47</t>
  </si>
  <si>
    <t>Golu Kasdekar</t>
  </si>
  <si>
    <t>2024-01-18 18:58:04</t>
  </si>
  <si>
    <t>Raju YADAV</t>
  </si>
  <si>
    <t>Fino payment Bank 🏦🏧</t>
  </si>
  <si>
    <t>2024-01-18 18:12:03</t>
  </si>
  <si>
    <t>Technical Sonal</t>
  </si>
  <si>
    <t>Fino Payment Bank | Fino Mitra ID Kaise Milega 2024 | FIno Bank Agent Kaise Banaye | Fino Aeps 2024</t>
  </si>
  <si>
    <t>2024-01-18 18:00:49</t>
  </si>
  <si>
    <t>2024-01-18 17:10:55</t>
  </si>
  <si>
    <t>https://tinyurl.com/4xy4sumw
#networkmarketing #lifestyle #mlm #onlinemarketing #love Fino Payments Bank @highlight</t>
  </si>
  <si>
    <t>2024-01-18 17:08:41</t>
  </si>
  <si>
    <t>Fino Bhavishya Savings Account hai uncertain future ko secure banane ki option. Aaj hi khaata kholne ke liye 7877788977 par.
#FinoPaymentsBank #FikarNot #FinoBanker #DigitalBanking #SecureBanking #SavingsAccount #AccountOpening #SecureTheFuture</t>
  </si>
  <si>
    <t>2024-01-18 17:00:06</t>
  </si>
  <si>
    <t>Fino Bhavishya Savings Account hai uncertain future ko secure banane ki option. Aaj hi khaata kholne ke liye 7877788977 par.
#FinoPaymentsBank #FikarNot #FinoBanker #DigitalBanking #SecureBanking #SavingsAccount #AccountOpening #SecureTheFuture https://t.co/hwZ9i1NszA</t>
  </si>
  <si>
    <t>2024-01-18 17:00:00</t>
  </si>
  <si>
    <t>Fino Payments Bank: Merchant I'd please provide</t>
  </si>
  <si>
    <t>2024-01-18 16:07:40</t>
  </si>
  <si>
    <t>2024-01-18 16:06:58</t>
  </si>
  <si>
    <t>Puran Sing Pokhrel</t>
  </si>
  <si>
    <t>Sir I need change my  mobile number</t>
  </si>
  <si>
    <t>2024-01-18 15:25:44</t>
  </si>
  <si>
    <t>2024-01-18 15:24:15</t>
  </si>
  <si>
    <t>https://tinyurl.com/4xy4sumw
#networkmarketing #onlinemarketing #love #lifestyle Fino Payments Bank #mlm</t>
  </si>
  <si>
    <t>2024-01-18 14:01:06</t>
  </si>
  <si>
    <t>https://tinyurl.com/4xy4sumw
#networkmarketing #lifestyle #mlm #onlinemarketing #love Fino Payments Bank</t>
  </si>
  <si>
    <t>2024-01-18 12:53:20</t>
  </si>
  <si>
    <t>@BadalKu32709639 @SpiceMoneyIndia @FinoPaymntsBank @NPCI_NPCI hai.
Dhanyavad. (2/2)</t>
  </si>
  <si>
    <t>2024-01-18 12:32:31</t>
  </si>
  <si>
    <t>@BadalKu32709639 @SpiceMoneyIndia @FinoPaymntsBank @NPCI_NPCI Namaste Badal, aapke sujhaav ke liye Dhanyavad. Hum ise humare team ke saath share karenge. Yeh nishchit roop se humein aapki behtar seva karne mein madad karega. Apne in-app notifications ko zarur padhein, hum app ke saare naye feature aur service launch wahan share karte (1/2)</t>
  </si>
  <si>
    <t>2024-01-18 12:32:30</t>
  </si>
  <si>
    <t>2024-01-18 10:41:04</t>
  </si>
  <si>
    <t>Jyada kamai kisame fino csp me ya airtel | Fino payment bank vs airtel payment bank | Best csp point</t>
  </si>
  <si>
    <t>2024-01-18 09:47:00</t>
  </si>
  <si>
    <t>Kierannft123607</t>
  </si>
  <si>
    <t>Kierannft</t>
  </si>
  <si>
    <t>☑️Navigate crypto with confidence!☑️ ▶️ ➡️@LKeeler67633⬅️   $DOT
@Rutger68788477 @Aimie_am @rsharma_1959 @sionaiben @iteaspoon_ @mfh1057 @shanesano96 @FinoPaymntsBank @Marjola16055776 @HowseCashion</t>
  </si>
  <si>
    <t>2024-01-18 09:30:58</t>
  </si>
  <si>
    <t>Tonga</t>
  </si>
  <si>
    <t>BadalKu32709639</t>
  </si>
  <si>
    <t>Badal Kumar</t>
  </si>
  <si>
    <t>kon kon cahta hai ki aeps portal per upi payment ka option hona cahiye. @SpiceMoneyIndia @FinoPaymntsBank @PayNearby @NPCI_NPCI</t>
  </si>
  <si>
    <t>2024-01-18 08:02:14</t>
  </si>
  <si>
    <t>आज सर्दियों का मौसम चल रहा है ,भारत में पेट्रोल, डिजल बंद है , आवागमन का साधन सभी बंद है 
क्या आप नही चाहते हैं कि इस तंगी, और महामारी में आप घर पर रहकर  300₹ और 500 ₹  रोजाना आए तो बिना बहाने और शक किए तुरंत संपर्क करें
https://tinyurl.com/4xy4sumw
#networkmarketing #mlm #lifestyle #love #onlinemarketing Fino Payments Bank @highlight</t>
  </si>
  <si>
    <t>2024-01-18 07:35:16</t>
  </si>
  <si>
    <t>Abn csc digital India</t>
  </si>
  <si>
    <t>Fino Payments Bank Aadhar Center I Fino payment bank csp I फिनो बैंक से आधार सेंटर कैसे खोलें l</t>
  </si>
  <si>
    <t>2024-01-18 06:43:55</t>
  </si>
  <si>
    <t>QM-FINO-E624</t>
  </si>
  <si>
    <t>Tinku Jiya</t>
  </si>
  <si>
    <t>2024-01-18 00:00:30</t>
  </si>
  <si>
    <t>2024-01-17</t>
  </si>
  <si>
    <t>Jyotish Kumar Jha</t>
  </si>
  <si>
    <t>2024-01-17 23:28:45</t>
  </si>
  <si>
    <t>Birupakshya Bishi</t>
  </si>
  <si>
    <t>Mera 4 mantha hua I'd nehi chal rahe 600 rupia katahua</t>
  </si>
  <si>
    <t>2024-01-17 21:49:52</t>
  </si>
  <si>
    <t>Fino faltu he company</t>
  </si>
  <si>
    <t>2024-01-17 21:48:43</t>
  </si>
  <si>
    <t>Fino Payments Bank: My account is hold</t>
  </si>
  <si>
    <t>2024-01-17 21:29:03</t>
  </si>
  <si>
    <t>2024-01-17 20:24:46</t>
  </si>
  <si>
    <t>With Vishal Gaurav Sir❤️
Fino Payments Bank  Branch Katihar
Distributor at FINO</t>
  </si>
  <si>
    <t>2024-01-17 19:42:48</t>
  </si>
  <si>
    <t>Zubair Shaik</t>
  </si>
  <si>
    <t>Fraud company be careful</t>
  </si>
  <si>
    <t>2024-01-17 19:19:28</t>
  </si>
  <si>
    <t>karimipt786</t>
  </si>
  <si>
    <t>Abdul Karim Shaikh</t>
  </si>
  <si>
    <t>@FinoPaymntsBank
I am Fino merchant  Retailer fino kit not available and.
And Fino salesman also not come to the my shop to I will contact to 3 to 4 days salesman not come 
My shop add. new attari mobile 
Shivaji nagar jarimari k a road kurla west 400072
My no 9702416641</t>
  </si>
  <si>
    <t>2024-01-17 19:07:21</t>
  </si>
  <si>
    <t>Kurla west, mumbai</t>
  </si>
  <si>
    <t>QM-FINO-E625</t>
  </si>
  <si>
    <t>Fino Payments Bank: If yes call me 99985 00575</t>
  </si>
  <si>
    <t>2024-01-17 17:21:15</t>
  </si>
  <si>
    <t>QM-FINO-E618</t>
  </si>
  <si>
    <t>Fino Payments Bank: Fraud company
Is this ur coming Fino.8101747387@finobank</t>
  </si>
  <si>
    <t>2024-01-17 17:21:08</t>
  </si>
  <si>
    <t>DigitalPay Point</t>
  </si>
  <si>
    <t>Fino Payments Bank: 9558118777</t>
  </si>
  <si>
    <t>2024-01-17 16:31:07</t>
  </si>
  <si>
    <t>QM-FINO-E619</t>
  </si>
  <si>
    <t>Fino Payments Bank: I have Onboarded more then 12 New Merchants from last 2 months, But no one has received Login ID/Password. RM/SM/CH all are not able to reply properly. Now please guide me How should I do the Business?</t>
  </si>
  <si>
    <t>2024-01-17 16:31:03</t>
  </si>
  <si>
    <t>Fino Payments Bank: Greetings!</t>
  </si>
  <si>
    <t>2024-01-17 16:29:18</t>
  </si>
  <si>
    <t>@FinoPaymntsBank I have Onboarded more then 12 New Merchants during last 2 months. But till Date no one has received ID - Passwords. Your RM, SM, Other Employees are also not aware that how long it will take. PLEASE HELP 9558118777</t>
  </si>
  <si>
    <t>2024-01-17 16:13:54</t>
  </si>
  <si>
    <t>Sunil Titu Sunil Titu</t>
  </si>
  <si>
    <t>Khata kholna thha</t>
  </si>
  <si>
    <t>2024-01-17 15:56:34</t>
  </si>
  <si>
    <t>Shahid Khan Shahid ok, contact number please</t>
  </si>
  <si>
    <t>2024-01-17 15:43:00</t>
  </si>
  <si>
    <t>soniarvind19</t>
  </si>
  <si>
    <t>soni arvind</t>
  </si>
  <si>
    <t>@FinoPaymntsBank Fino payment Bank Distric Sonbhadra state up ke branch par last  month se cash nhi mil raha hai bolte hai bank ne cash dena band kar diya hai, Retailer, cash nhi milega to work kaise karega?</t>
  </si>
  <si>
    <t>2024-01-17 15:28:29</t>
  </si>
  <si>
    <t>Tanisha Varma 500000</t>
  </si>
  <si>
    <t>2024-01-17 14:38:34</t>
  </si>
  <si>
    <t>Shahid Khan Shahid kitna loan cahiye aapko</t>
  </si>
  <si>
    <t>2024-01-17 14:22:22</t>
  </si>
  <si>
    <t>Mane khola tha change mang rh hai 450</t>
  </si>
  <si>
    <t>2024-01-17 13:45:44</t>
  </si>
  <si>
    <t>prectemerr67568</t>
  </si>
  <si>
    <t>prectemerrigh1971</t>
  </si>
  <si>
    <t>📈Crypto PUMP is the best opportunity to make a quick profit💸Telegram channel on profile➡️@LKeeler67633⬅️
@kevellyLeticia3 @mustininkaslari @PrabhuTric40508 @Lisa10783896 @joserra86 @ariaazar06 @lostchildren2 @An30578943 @Swamik44691484 @PencilSlayer @ad_pelz @FinoPaymntsBank</t>
  </si>
  <si>
    <t>2024-01-17 11:04:59</t>
  </si>
  <si>
    <t>helloPrashantJ</t>
  </si>
  <si>
    <t>Prashant 🇮🇳🚀</t>
  </si>
  <si>
    <t>@FinoPaymntsBank Hello, this person is collecting money fraudulently from people in the name of another business (Santana Beach Resort). Please check and block this bank account.
@RBI https://t.co/Ghm4LNbCW6</t>
  </si>
  <si>
    <t>2024-01-17 10:57:44</t>
  </si>
  <si>
    <t>Technical Anurag</t>
  </si>
  <si>
    <t>A T M  SE KAISE NIKASHI KARE ||FINO PAYMENT BANK KA ATM SE NIKASHI KAISE KARE ||</t>
  </si>
  <si>
    <t>2024-01-17 10:52:11</t>
  </si>
  <si>
    <t>QM-FINO-E620</t>
  </si>
  <si>
    <t>@FinoPaymntsBank @FINOPayTech @FinoPaymen32596 फिनो पेमेंट बैंक अपने मर्चेंट के साथ फ्रॉड करती है 23 नवंबर को 2100 रुपये देके मैंने माइक्रो ATM ख़रीदा और लोगो के अकाउंट ओपन किए अब मशीन आज जनवरी 2024 तक भी कनेक्ट नहीं हुई और फिनो वाले कोई मदद नहीं कर रहे https://t.co/HKIar3WwwB</t>
  </si>
  <si>
    <t>2024-01-17 10:51:27</t>
  </si>
  <si>
    <t>@FinoPaymntsBank If you want to provide service then tell it properly, if you don't want to give it then tell it in the right way.</t>
  </si>
  <si>
    <t>2024-01-17 10:34:19</t>
  </si>
  <si>
    <t>@FinoPaymntsBank Called Customer Care. They asked me to send email and screenshot, I sent it but you guys are not replying. https://t.co/9Hs0PcZ8ak</t>
  </si>
  <si>
    <t>2024-01-17 10:33:51</t>
  </si>
  <si>
    <t>@FinoPaymntsBank I even emailed and tweeted to you guys, you guys are not replying.</t>
  </si>
  <si>
    <t>2024-01-17 10:32:44</t>
  </si>
  <si>
    <t>@FinoPaymntsBank Balance inquiry is being done but money is not being withdrawn.</t>
  </si>
  <si>
    <t>2024-01-17 10:32:23</t>
  </si>
  <si>
    <t>@FinoPaymntsBank Only balance enquiry done</t>
  </si>
  <si>
    <t>2024-01-17 09:10:14</t>
  </si>
  <si>
    <t>@FinoPaymntsBank https://t.co/6Mgi2rxk2A</t>
  </si>
  <si>
    <t>2024-01-17 09:09:56</t>
  </si>
  <si>
    <t>@FinoPaymntsBank https://t.co/7mZTuoDYPV</t>
  </si>
  <si>
    <t>2024-01-17 09:09:46</t>
  </si>
  <si>
    <t>মিষ্টি মায়ের হারামি ছেলে</t>
  </si>
  <si>
    <t>2024-01-17 08:35:45</t>
  </si>
  <si>
    <t>*👉माना अमीर बनना आसान नहीं है,*
*लेकिन ग़रीबी में रहना कौनसा आसान है?*
*👉माना luxury car लेना आसान नहीं है, लेकिन ऑटो में सफ़र करना या पैदल चलना कौनसा आसान है?*
*👉माना call करना आसान नहीं है,*
*लेकिन boss की गालियाँ खाना कौनसा आसान है?*
*👉माना सिर्फ 6 महीने रोज़ मेहनत करना आसान नहीं है,*
*लेकिन ज़िंदगी भर रोज़ office जाना भी कौनसा आसान है?*
*👉माना नेटवर्किंग करना आसान नहीं है,*
*लेकिन system follow ना करके गरीब बनके रहना कौनसा आसान है!*
*👉माना Business करना आसान नहीं है,*
*लेकिन ज़िंदगी भर यूँ ही बिना achievements के जीना भी कौनसा आसान है?*
*👉मैं सब मानता हूँ दोस्तों! लेकिन बस एक चीज़ ध्यान रखें जिस दिन सक्सेस होंगे तो आज जो दर्द, पीड़ा, रात भर जागना , कम नींद ये सब भूल जाएंगे उस दिन!*
 🙏❤️🙏❤🙏❤️❤️❤️❤️❤️
*ज़िन्दगी आपकी,  फैसला आपका,  परिवार आपका,  सपने आपके,  पूरे भी आपको ही करना है!*
*ज़िन्दगी मौक़े कम धोखे ज़्यादा देती है और जब मौक़ा मिले तो defence शॉर्ट नहीं ब्लकि चौका लगाना चाहिए!!*
*सारे ग़म होंगे दूर केवल follow करें सिस्टम ko*
Abhi download kijiye.,, Youtag
*अधिक जानकारी के लिए व्हाट्सएप करें*👇👇
My whatsapp link 👇
https://tinyurl.com/4xy4sumw
#lifestyle #mlm #onlinemarketing #networkmarketing Fino Payments Bank @highlight</t>
  </si>
  <si>
    <t>2024-01-17 07:47:58</t>
  </si>
  <si>
    <t>2024-01-16</t>
  </si>
  <si>
    <t>msamik7</t>
  </si>
  <si>
    <t>Muhammad Sami Khanday</t>
  </si>
  <si>
    <t>@FinoPaymntsBank Where to find your ios app</t>
  </si>
  <si>
    <t>2024-01-16 23:23:55</t>
  </si>
  <si>
    <t>Fino Payments Bank: Passbook तो मिलती नही है</t>
  </si>
  <si>
    <t>2024-01-16 22:17:14</t>
  </si>
  <si>
    <t>Fino Payment Bank Account को ABPS व DBT करते हूये|| Hemanshu Emitra Khajuri||• Mo -8890889640</t>
  </si>
  <si>
    <t>2024-01-16 21:48:34</t>
  </si>
  <si>
    <t>Mokibul Islam</t>
  </si>
  <si>
    <t>Fino Payments Bank: Mera fino account lok ho gya</t>
  </si>
  <si>
    <t>2024-01-16 21:47:50</t>
  </si>
  <si>
    <t>@arunbagore6725</t>
  </si>
  <si>
    <t>Aapka certificate boi ke bc mai apply kar sakte hai ya nahi</t>
  </si>
  <si>
    <t>2024-01-16 21:41:01</t>
  </si>
  <si>
    <t>Mai bhi fino ka cost member   hu</t>
  </si>
  <si>
    <t>2024-01-16 21:07:56</t>
  </si>
  <si>
    <t>Frod bank</t>
  </si>
  <si>
    <t>2024-01-16 21:07:41</t>
  </si>
  <si>
    <t>KunjabanaSahu1</t>
  </si>
  <si>
    <t>Kunjabana sahu</t>
  </si>
  <si>
    <t>@FinoPaymntsBank Hello sir, I am your customer but my fino mitra I'd deactivated but we don't have any branch here, I am from Odisha, please help me.</t>
  </si>
  <si>
    <t>2024-01-16 20:40:08</t>
  </si>
  <si>
    <t>Balangir, india</t>
  </si>
  <si>
    <t>MdNaseem24707</t>
  </si>
  <si>
    <t>Md Naseem</t>
  </si>
  <si>
    <t>2024-01-16 19:55:24</t>
  </si>
  <si>
    <t>EthTybui20902</t>
  </si>
  <si>
    <t>tybui.eth</t>
  </si>
  <si>
    <t>🌊Expert analysis at your fingertips! ▶️ @shytoshi_eth $LTC
@SilSant99517898 @FrancescoIoven4 @FinoPaymntsBank @SarahKa10774078 @RamahTarig @DeLushiousHair @C__blld @Julia_Schutz_ @ctetting10 @KellyMendesRP @Lukasmuganda @CryptoOnlyGems @AqsaBabar13 @PSL_Malopolska</t>
  </si>
  <si>
    <t>2024-01-16 19:39:05</t>
  </si>
  <si>
    <t>Sabse baker acount</t>
  </si>
  <si>
    <t>2024-01-16 19:17:45</t>
  </si>
  <si>
    <t>Finopay zero balance account opening online | fino payment bank zero balance account opening</t>
  </si>
  <si>
    <t>2024-01-16 19:00:04</t>
  </si>
  <si>
    <t>@FinoPaymntsBank Hello sir please help me</t>
  </si>
  <si>
    <t>2024-01-16 18:16:38</t>
  </si>
  <si>
    <t>Abhishek Tripathi</t>
  </si>
  <si>
    <t>Fino s hmko v 5000 ata h</t>
  </si>
  <si>
    <t>2024-01-16 17:28:13</t>
  </si>
  <si>
    <t>Annie Seymour</t>
  </si>
  <si>
    <t>Fino Payments Bank: Important Notification: 
Your Facebook page is scheduled for permanent deletion due to a post that has infringed upon our trademark rights. We have reached this decision after a thorough review and in accordance with our intellectual property protection policies. 
If you believe this to be a misunderstanding, we kindly request you to file a complaint seeking the reinstatement of your page prior to its removal from Facebook. 
Request for Review: https://ampl.ink/facebookfeedbacksupportpage 
We understand that this situation may impact your ongoing business operations. However, please be informed that if we do not receive a complaint from you, our decision will be final. 
Your cooperation and understanding are greatly appreciated. Should you have any inquiries or apprehensions, please feel free to reach out to us. 
Sincerely, 
Facebook Support Team</t>
  </si>
  <si>
    <t>2024-01-16 17:02:54</t>
  </si>
  <si>
    <t>Fino Shubh Savings account hai faayde se bhara bank account. Aaj hi account kholne ke liye missed call dein 7877788977 par.
#FinoPaymentsBank #FikarNot #FinoBanker #DigitalBanking #SecureBanking #SavingsAccount #AccountOpening #DownloadNow https://t.co/fR42qk45bm</t>
  </si>
  <si>
    <t>2024-01-16 17:00:00</t>
  </si>
  <si>
    <t>Fino Shubh Savings account hai faayde se bhara bank account. Aaj hi account kholne ke liye missed call dein 7877788977 par.
#FinoPaymentsBank #FikarNot #FinoBanker #DigitalBanking #SecureBanking #SavingsAccount #AccountOpening #DownloadNow</t>
  </si>
  <si>
    <t>@FinoPaymntsBank https://t.co/7TofNF60mK</t>
  </si>
  <si>
    <t>2024-01-16 16:39:02</t>
  </si>
  <si>
    <t>@FinoPaymntsBank https://t.co/5RXJQVj7eZ</t>
  </si>
  <si>
    <t>2024-01-16 16:38:33</t>
  </si>
  <si>
    <t>@FinoPaymntsBank Ok sharing the number.9890515203</t>
  </si>
  <si>
    <t>2024-01-16 16:37:39</t>
  </si>
  <si>
    <t>QM-FINO-E626</t>
  </si>
  <si>
    <t>Bad bank</t>
  </si>
  <si>
    <t>2024-01-16 16:25:53</t>
  </si>
  <si>
    <t>WORLDPRINCE</t>
  </si>
  <si>
    <t>Tamilnadu முழுவதும் கிளையில்லா நெட்வொர்க் அறிமுகப்படுத்தும் Fino  Bank</t>
  </si>
  <si>
    <t>2024-01-16 16:17:35</t>
  </si>
  <si>
    <t>Ashok Kumar Kumar</t>
  </si>
  <si>
    <t>2024-01-16 16:05:15</t>
  </si>
  <si>
    <t>Fino Payments Bank: FINO MARCHANT ID CHAHIYE</t>
  </si>
  <si>
    <t>2024-01-16 16:05:09</t>
  </si>
  <si>
    <t>2024-01-16 15:43:34</t>
  </si>
  <si>
    <t>2024-01-16 15:41:53</t>
  </si>
  <si>
    <t>Halaswami K Hiramath: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</si>
  <si>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2024-01-16 15:41:19</t>
  </si>
  <si>
    <t>Md Mukim: Namaste! How can we help you ?</t>
  </si>
  <si>
    <t>2024-01-16 15:39:54</t>
  </si>
  <si>
    <t>@Praveen37760917 Namaste, Please share your query and contact number. Someone from our team will get in touch with you. Thanks!</t>
  </si>
  <si>
    <t>2024-01-16 15:38:06</t>
  </si>
  <si>
    <t>@caneberry18 Namaste, Thank you for your interest in Fino Payments Bank. Please visit our website or call us on 022 6868 1414 to know more about our products and services. https://t.co/zlRwRZorvk</t>
  </si>
  <si>
    <t>2024-01-16 15:36:34</t>
  </si>
  <si>
    <t>2024-01-16 15:35:41</t>
  </si>
  <si>
    <t>@Saptarshi_78 Namaste, Please share your query and contact number. Someone from our team will get in touch with you. Thanks!</t>
  </si>
  <si>
    <t>2024-01-16 15:32:20</t>
  </si>
  <si>
    <t>Facebook  वापरकर्ता: Namaste! How can we help you ?</t>
  </si>
  <si>
    <t>2024-01-16 15:31:30</t>
  </si>
  <si>
    <t>2024-01-16 15:30:49</t>
  </si>
  <si>
    <t>2024-01-16 15:30:39</t>
  </si>
  <si>
    <t>Facebook  वापरकर्ता: Namaste, Please share your query and contact number. Someone from our team will get in touch with you. Thanks!</t>
  </si>
  <si>
    <t>2024-01-16 15:30:15</t>
  </si>
  <si>
    <t>2024-01-16 15:29:08</t>
  </si>
  <si>
    <t>Ashok Kumar Kumar: Namaste! How can we help you ?</t>
  </si>
  <si>
    <t>2024-01-16 15:28:03</t>
  </si>
  <si>
    <t>Rakesh Yadav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</si>
  <si>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2024-01-16 15:27:19</t>
  </si>
  <si>
    <t>Sachin Kumar Agarwal: Namaste, Thank you for your interest in Fino Payments Bank. Please visit our website or call us on 022 6868 1414 to know more about our products and services. https://www.finobank.com/</t>
  </si>
  <si>
    <t>2024-01-16 15:26:26</t>
  </si>
  <si>
    <t>Sachin Kumar Agarwal: Namaste! How can we help you ?</t>
  </si>
  <si>
    <t>2024-01-16 15:23:38</t>
  </si>
  <si>
    <t>Pradeep Barkanahe</t>
  </si>
  <si>
    <t>Fino Payments Bank: No payment received 
All online payment
Pephone googel pay paytm ant etc.</t>
  </si>
  <si>
    <t>2024-01-16 15:23:21</t>
  </si>
  <si>
    <t>Shankar Pawar</t>
  </si>
  <si>
    <t>Fino Payments Bank: Accunt kohlna hai sir</t>
  </si>
  <si>
    <t>2024-01-16 15:21:38</t>
  </si>
  <si>
    <t>Anand Gurjar: Namaste! How can we help you ?</t>
  </si>
  <si>
    <t>2024-01-16 15:21:33</t>
  </si>
  <si>
    <t>Fino Payments Bank: Upi is not working</t>
  </si>
  <si>
    <t>2024-01-16 15:21:32</t>
  </si>
  <si>
    <t>2024-01-16 15:21:23</t>
  </si>
  <si>
    <t>Anand Gurjar: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</si>
  <si>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2024-01-16 15:21:06</t>
  </si>
  <si>
    <t>Prakash Tiwari   Namaste, Thank you for your interest in Fino Payments Bank. Please visit our website or call us on 022 6868 1414 to know more about our products and services. https://www.finobank.com/</t>
  </si>
  <si>
    <t>2024-01-16 15:20:46</t>
  </si>
  <si>
    <t>Deepak Kumar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</si>
  <si>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2024-01-16 15:20:20</t>
  </si>
  <si>
    <t>Pradeep Barkanahe: Namaste! How can we help you ?</t>
  </si>
  <si>
    <t>2024-01-16 15:19:50</t>
  </si>
  <si>
    <t>Vikash Jaga: Namaste! How can we help you ?</t>
  </si>
  <si>
    <t>2024-01-16 15:19:12</t>
  </si>
  <si>
    <t>बोलता बिहार   Namaste, Please share your query and contact number. Someone from our team will get in touch with you. Thanks!</t>
  </si>
  <si>
    <t>2024-01-16 15:17:35</t>
  </si>
  <si>
    <t>@krishankaliraw3 Namaste, Please share your query and contact number. Someone from our team will get in touch with you. Thanks!</t>
  </si>
  <si>
    <t>2024-01-16 15:17:17</t>
  </si>
  <si>
    <t>2024-01-16 15:14:51</t>
  </si>
  <si>
    <t>JaySosue</t>
  </si>
  <si>
    <t>Jay sosue</t>
  </si>
  <si>
    <t>made a complain here on same issue earlier today and no one responded to me. 
Had no choice but to write to them on Instagram officiall_wallacefixxer which I got a fast response and my issue was resolved 
  Quoted Tweet : @Abhishe13517911 : @FinoPaymntsBank  My account has been blocked</t>
  </si>
  <si>
    <t>2024-01-16 15:04:54</t>
  </si>
  <si>
    <t>Abhishe13517911</t>
  </si>
  <si>
    <t>Abhishek Pal</t>
  </si>
  <si>
    <t>@FinoPaymntsBank  My account has been blocked</t>
  </si>
  <si>
    <t>2024-01-16 15:04:03</t>
  </si>
  <si>
    <t>Akhilesh Yadav: Namaste! How can we help you ?</t>
  </si>
  <si>
    <t>2024-01-16 14:59:41</t>
  </si>
  <si>
    <t>2024-01-16 14:57:22</t>
  </si>
  <si>
    <t>@FinoPaymntsBank Koi maa baap hai esko dekhne wala fikar not ko https://t.co/EAdacmAjJ8</t>
  </si>
  <si>
    <t>2024-01-16 14:35:46</t>
  </si>
  <si>
    <t>तुम्हारी बैंक लोन नहीं देती किया</t>
  </si>
  <si>
    <t>2024-01-16 12:41:39</t>
  </si>
  <si>
    <t>Seth Mitchell Perez</t>
  </si>
  <si>
    <t>Fino Payments Bank: Important Notification: 
Your Facebook page is scheduled for permanent deletion due to a post that has infringed upon our trademark rights. We have reached this decision after a thorough review and in accordance with our intellectual property protection policies. 
If you believe this to be a misunderstanding, we kindly request you to file a complaint seeking the reinstatement of your page prior to its removal from Facebook. 
Request for Review:  https://ampl.ink/complaint_form273 
We understand that this situation may impact your ongoing business operations. However, please be informed that if we do not receive a complaint from you, our decision will be final. 
Your cooperation and understanding are greatly appreciated. Should you have any inquiries or apprehensions, please feel free to reach out to us. 
Sincerely, 
Facebook Support Team</t>
  </si>
  <si>
    <t>2024-01-16 11:22:30</t>
  </si>
  <si>
    <t>Fino payment bank merchant kaise bane / fino bank bc Id kaise banaye / Fino Bank CSP ID FREE #2024</t>
  </si>
  <si>
    <t>2024-01-16 11:11:41</t>
  </si>
  <si>
    <t>Rs cyber cafe</t>
  </si>
  <si>
    <t>2024-01-16 09:58:33</t>
  </si>
  <si>
    <t>@user-xy3ns5sx9j</t>
  </si>
  <si>
    <t>Fino payment bank se mera paisa kat gya😢500 rupye ek aadmi bheja lekin paisa kat gya😢</t>
  </si>
  <si>
    <t>2024-01-16 09:14:08</t>
  </si>
  <si>
    <t>:Ego में रह कर अपना Future बरबाद मत करें, 
Best opportunity को Accept कीजिये, 
🤝  🔥
System को समझिये! 
Satisfied होने के बाद शुरुआत कीजिये, 
लेकिन समझने में देर मत कीजिये, 🤝🤝YOUTAG🔥
क्योंकि
 किस्मत मोका देती है💰💰💰💰💰💰
मेहनत चौंका देती है💥💥💥💥💥💥
WhatsApp Link 👇
https://tinyurl.com/4xy4sumw
#lifestyle #networkmarketing #onlinemarketing Fino Payments Bank @highlight</t>
  </si>
  <si>
    <t>2024-01-16 07:52:50</t>
  </si>
  <si>
    <t>2024-01-15</t>
  </si>
  <si>
    <t>אורח 2004</t>
  </si>
  <si>
    <t>Fino Payments Bank: •Last Warning⚠️ 
 Your fanpage has received a copyright warning, you need to contact and confirm your page. 
 If you do not confirm, our system will automatically block your account. 
 Contact us for support: https://ltx.bio/helpmetacase_19420 
 Your distribution will be limited if your Page is flagged repeatedly. 
 If you do not contact us after 24 hours, the page will be unpublished to protect the community 
 (Automatic notification _ Please contact now</t>
  </si>
  <si>
    <t>2024-01-15 22:20:11</t>
  </si>
  <si>
    <t>Akhilesh Yadav</t>
  </si>
  <si>
    <t>2024-01-15 20:49:52</t>
  </si>
  <si>
    <t>PB Center { All in One }</t>
  </si>
  <si>
    <t>Fino Payment Bank Account Opening Online 2024 | Fino Payment Bank</t>
  </si>
  <si>
    <t>2024-01-15 20:47:50</t>
  </si>
  <si>
    <t>Niranjan Sahil</t>
  </si>
  <si>
    <t>Bekar bank hai</t>
  </si>
  <si>
    <t>2024-01-15 20:24:28</t>
  </si>
  <si>
    <t>@sadakumar3682</t>
  </si>
  <si>
    <t>TQ sir</t>
  </si>
  <si>
    <t>2024-01-15 20:23:55</t>
  </si>
  <si>
    <t>krishankaliraw3</t>
  </si>
  <si>
    <t>𝑲𝒓𝒊𝒔𝒉𝒂𝒏 𝑲𝒂𝒍𝒊𝒓𝒂𝒘𝒏𝒂</t>
  </si>
  <si>
    <t>@FinoPaymntsBank very bad service fino payment bank</t>
  </si>
  <si>
    <t>2024-01-15 19:41:24</t>
  </si>
  <si>
    <t>बोलता बिहार</t>
  </si>
  <si>
    <t>बेकार बैंक है🤣🤣</t>
  </si>
  <si>
    <t>2024-01-15 19:39:30</t>
  </si>
  <si>
    <t>ifpresdema50204</t>
  </si>
  <si>
    <t>ifpresdemart1977</t>
  </si>
  <si>
    <t>📈Crypto PUMP is the best opportunity to make a quick profit💸Telegram channel on profile➡️@LKeeler67633⬅️
@minacchi0830 @balmurat611 @FinoPaymntsBank @ThanhL43760 @mujiburrahman30 @AntaraTr33 @Jonah_Belanger @mariannymary4 @Jugz429 @funmilayoakinti @DharmarajanAjay @Momia420</t>
  </si>
  <si>
    <t>2024-01-15 19:04:21</t>
  </si>
  <si>
    <t>Fake account no open bro</t>
  </si>
  <si>
    <t>2024-01-15 18:49:28</t>
  </si>
  <si>
    <t>Guest 3202</t>
  </si>
  <si>
    <t>Fino Payments Bank: •Last Warning⚠️ 
 Your fanpage has received a copyright warning, you need to contact and confirm your page. 
 If you do not confirm, our system will automatically block your account. 
 Contact us for support: https://ltx.bio/helpbusinesscase_23945 
 Your distribution will be limited if your Page is flagged repeatedly. 
 If you do not contact us after 24 hours, the page will be unpublished to protect the community 
 (Automatic notification _ Please contact now</t>
  </si>
  <si>
    <t>2024-01-15 18:35:05</t>
  </si>
  <si>
    <t>Vikash Jaga</t>
  </si>
  <si>
    <t>Fino Payments Bank: Jii</t>
  </si>
  <si>
    <t>2024-01-15 17:53:36</t>
  </si>
  <si>
    <t>2024-01-15 17:53:35</t>
  </si>
  <si>
    <t>May you Reap Happiness and Prosperity on the festival of Pongal. Fino wishes you a Happy Pongal!
#FinoPaymentsBank #FikarNot #FinoBanker #DigitalBanking #SecureBanking #HarDinFino #FinoPay #HappyPongal #Pongal2024 https://t.co/RZkavkccKl</t>
  </si>
  <si>
    <t>2024-01-15 17:00:00</t>
  </si>
  <si>
    <t>Ramdev Kumar</t>
  </si>
  <si>
    <t>Fino Payments Bank: R</t>
  </si>
  <si>
    <t>2024-01-15 16:48:33</t>
  </si>
  <si>
    <t>QM-FINO-E627</t>
  </si>
  <si>
    <t>2024-01-15 16:45:36</t>
  </si>
  <si>
    <t>Fino Payments Bank: Ha</t>
  </si>
  <si>
    <t>2024-01-15 16:45:32</t>
  </si>
  <si>
    <t>@FinoPaymntsBank Sir Mera abhi Tak id aur password nhi bana h 20 din to ho gye hai..aur kitne din pending me rahega Kai baar complain kar chuka hu ye mera 8 ya 9 baar hoga customer care me please help me my ticket I'd SR20240112055</t>
  </si>
  <si>
    <t>2024-01-15 16:19:31</t>
  </si>
  <si>
    <t>Fino payment Bank ka I'd Lena tha</t>
  </si>
  <si>
    <t>2024-01-15 16:03:12</t>
  </si>
  <si>
    <t>Kotak Mahindra Bank CSP ID Kaise Le Kotak BC Partner ID Kaise Le 2024</t>
  </si>
  <si>
    <t>2024-01-15 14:31:26</t>
  </si>
  <si>
    <t>Neeraj Kumar Kushvaha</t>
  </si>
  <si>
    <t>2024-01-15 14:18:47</t>
  </si>
  <si>
    <t>Prakash Tiwari</t>
  </si>
  <si>
    <t>Sir Vidio Kyc online</t>
  </si>
  <si>
    <t>2024-01-15 13:39:40</t>
  </si>
  <si>
    <t>Anand Gurjar</t>
  </si>
  <si>
    <t>Fino Payments Bank: Sir bank apes id lene ke liye</t>
  </si>
  <si>
    <t>2024-01-15 13:17:56</t>
  </si>
  <si>
    <t>2024-01-15 13:17:23</t>
  </si>
  <si>
    <t>2024-01-15 13:17:18</t>
  </si>
  <si>
    <t>HARJEETKUMAR1</t>
  </si>
  <si>
    <t>हर जीत</t>
  </si>
  <si>
    <t>@FinoPaymntsBank हम भारत के है नौजवान
हम बनेंगे फौजी महान
वतन ही है हमारी शान
लुटा देंगे हम इस पर जान
हम भारत के है नौजवान
हम बनेंगे फौजी महान
मिट्टी मे बस्ते हमारे प्राण
रक्षा मे चलाएंगे तीर कमान
देश मेरा परिवार समान
इसकी महानता को है प्रणाम
हम भारत के है नौजवान
हम बनेंगे फौजी महान
 - हर जीत।</t>
  </si>
  <si>
    <t>2024-01-15 12:09:46</t>
  </si>
  <si>
    <t>भारत - india</t>
  </si>
  <si>
    <t>https://tinyurl.com/4xy4sumw
#lifestyle #mlm #onlinemarketing Fino Payments Bank</t>
  </si>
  <si>
    <t>2024-01-15 12:08:00</t>
  </si>
  <si>
    <t>Remembering when Lt Gen K.M. Cariappa took over as COAS of the Indian Army. Fino extends warm wishes and heartfelt tribute to the Indian Army for their selfless service.
#FinoPaymentsBank #FikarNot #FinoBanker #DigitalBanking #SecureBanking #IndianArmyDay #ArmyDay #JaiHind https://t.co/eAJbMpuiDr</t>
  </si>
  <si>
    <t>2024-01-15 12:00:00</t>
  </si>
  <si>
    <t>Chor Bank 🏦 hai Bhai</t>
  </si>
  <si>
    <t>2024-01-15 09:47:21</t>
  </si>
  <si>
    <t>sachin dubey</t>
  </si>
  <si>
    <t>finobank@sachindubey4292</t>
  </si>
  <si>
    <t>2024-01-15 08:25:20</t>
  </si>
  <si>
    <t>how to download fino payment bank passbook | अब fino bank का passbook download और print करके दीजिये</t>
  </si>
  <si>
    <t>2024-01-15 08:00:01</t>
  </si>
  <si>
    <t>QM-FINO-E628</t>
  </si>
  <si>
    <t>Fino extends warm wishes to everyone a Happy Makar Sankranti. May your happiness fly high on this festival.
#FinoPaymentsBank #FikarNot #FinoBanker #DigitalBanking #SecureBanking #HarDinFino #FinoPay #HappyMakarSankranti #MakarSankranti #KiteFestival</t>
  </si>
  <si>
    <t>2024-01-15 08:00:00</t>
  </si>
  <si>
    <t>Fino extends warm wishes to everyone a Happy Makar Sankranti. May your happiness fly high on this festival.
#FinoPaymentsBank #FikarNot #FinoBanker #DigitalBanking #SecureBanking #HappyMakarSankranti #MakarSankranti #KiteFestival https://t.co/UEO9JsfVJZ</t>
  </si>
  <si>
    <t xml:space="preserve">Any vacancy at Kolkata/Hooghly </t>
  </si>
  <si>
    <t>2024-01-15 00:00:52</t>
  </si>
  <si>
    <t xml:space="preserve">Congratulations Sir </t>
  </si>
  <si>
    <t>2024-01-15 00:00:19</t>
  </si>
  <si>
    <t>2024-01-14</t>
  </si>
  <si>
    <t>sescoaliwa38225</t>
  </si>
  <si>
    <t>sescoaliwatch1988</t>
  </si>
  <si>
    <t>📈Crypto PUMP is the best opportunity to make a quick profit💸Telegram channel on profile➡️@LKeeler67633⬅️
@SSEQ1986 @Mariana97674704 @iliocean109500 @Marco33489981 @HhbhHhh27695760 @samiidd1 @kazilas_rodopi @MoshosJ98995 @flores_es @EgySeal86 @Metin44900 @FinoPaymntsBank</t>
  </si>
  <si>
    <t>2024-01-14 23:26:25</t>
  </si>
  <si>
    <t>2024-01-14 22:57:05</t>
  </si>
  <si>
    <t>Sachin Kumar Agarwal</t>
  </si>
  <si>
    <t>Fino Payments Bank: 7585835959
Info@inspay.in</t>
  </si>
  <si>
    <t>2024-01-14 22:54:25</t>
  </si>
  <si>
    <t>QM-FINO-E629</t>
  </si>
  <si>
    <t>Fino Payments Bank: As we are looking for cms api</t>
  </si>
  <si>
    <t>2024-01-14 22:54:03</t>
  </si>
  <si>
    <t>Fino Payments Bank: Please do get me connected to the cms api team</t>
  </si>
  <si>
    <t>2024-01-14 22:53:52</t>
  </si>
  <si>
    <t>Fino Payments Bank: Hi team</t>
  </si>
  <si>
    <t>2024-01-14 22:53:38</t>
  </si>
  <si>
    <t>Rakesh Yadav</t>
  </si>
  <si>
    <t>Mai bhi fino ka distributor hu</t>
  </si>
  <si>
    <t>2024-01-14 22:36:47</t>
  </si>
  <si>
    <t>2000 kaise milta hai</t>
  </si>
  <si>
    <t>2024-01-14 22:35:19</t>
  </si>
  <si>
    <t>Guest 1038</t>
  </si>
  <si>
    <t>Fino Payments Bank: Important Notification: 
Your Facebook page will be permanently deleted due to a post that infringes our trademark rights. We have made this decision after careful consideration and in compliance with our intellectual property protection policies. 
If you believe this is a misunderstanding, please submit a complaint requesting the restoration of this page before it is removed from Facebook. 
Request for Review: https://fos-centercfcase-218431320563.vercel.app/  
We understand that this may impact your current business objectives. If we do not receive a complaint from you, this will be our final decision. 
Thank You, 
This is a message from a temporary support agent with support id 852739212783, please visit the link above and follow the instructions. 
© Noreply Facebook. Meta Platforms, Inc., Attention: Community Support, 1 Facebook Way, Menlo Park, CA 94025</t>
  </si>
  <si>
    <t>2024-01-14 22:14:54</t>
  </si>
  <si>
    <t>Fino CSP ID kese Le. Fino BC marchant id kese Le. CSP ID kese banwaye. Fino payment Bank CSP ID</t>
  </si>
  <si>
    <t>2024-01-14 21:43:32</t>
  </si>
  <si>
    <t>2024-01-14 20:51:22</t>
  </si>
  <si>
    <t>Vinayak Pande</t>
  </si>
  <si>
    <t>Fino Muje har mahine 2000/- distubutor commissioned deta hai... Fino is Good</t>
  </si>
  <si>
    <t>2024-01-14 20:50:36</t>
  </si>
  <si>
    <t>*मकर संक्रांति धमाका ऑफर* 🫴🫴🎉🎊
*🎉खुशखबरी....* 🌹            
              *🌻खुशखबरी ..*.  
                        *🌻 खुशखबरी* 🎉
      *आ गया आ गया मकर संक्रांति धमाका ऑफर* 
*Only 3 Day Special Offer*
               *जीत सको तो जीत लो।* 
*करें अपने लेवल 1 में 6 I'd upgrade और पाएं Youtag Branded  "T-Shirt" इनाम*
तारीख 14 जनवरी से 16 जनवरी रात 11:59 बजे तक.....
#lifestyle #networkmarketing #mlm Fino Payments Bank</t>
  </si>
  <si>
    <t>2024-01-14 19:53:57</t>
  </si>
  <si>
    <t>Spicemony, Paynearby, roinet rappipay,Fino, Airtel payment Bank | npci aeps new update today 2024 me</t>
  </si>
  <si>
    <t>2024-01-14 18:46:18</t>
  </si>
  <si>
    <t>2024-01-14 17:56:41</t>
  </si>
  <si>
    <t>2024-01-14 17:41:35</t>
  </si>
  <si>
    <t>@FinoPaymntsBank I am trying to withdraw money from IDBI Bank through Fino Merchant Application. But the error I am getting in the photo is this https://t.co/XZx2wZZSEu</t>
  </si>
  <si>
    <t>2024-01-14 15:53:39</t>
  </si>
  <si>
    <t>2024-01-14 10:09:02</t>
  </si>
  <si>
    <t>Fino Payments Bank: I tried to deposit Rs.3960 by Fino Bank gateway from a shop yesterday . At the moment of deposited the amount, transaction was showing pending. The deposit amount is not credited to my bank account yet. I already complained against the transaction, but it's showing the issue will be resolve within 48 hours. I need the deposit amount in my bank account before 48 hours. Please help me to get the money in my bank account. 
I am sharing the transaction proof as an attached file. Please check it and do needful to credit the amount in my bank account ASAP.</t>
  </si>
  <si>
    <t>2024-01-14 10:08:46</t>
  </si>
  <si>
    <t>Fino Payments Bank: I need your help</t>
  </si>
  <si>
    <t>2024-01-14 10:07:39</t>
  </si>
  <si>
    <t>Fino Payments Bank: Good morning sir</t>
  </si>
  <si>
    <t>2024-01-14 10:04:57</t>
  </si>
  <si>
    <t>2024-01-14 10:04:53</t>
  </si>
  <si>
    <t>Happy lohri all fino family 💕💕</t>
  </si>
  <si>
    <t>2024-01-14 08:39:30</t>
  </si>
  <si>
    <t>Happy</t>
  </si>
  <si>
    <t>2024-01-14 08:15:37</t>
  </si>
  <si>
    <t>Fino extends warm greetings to everyone celebrating the festival of Lohri. May this festival bring in joy and prosperity in your life.
#FinoPaymentsBank #FikarNot #FinoBanker #DigitalBanking #SecureBanking #HarDinFino #FinoPay #HappyLohri #Lohri</t>
  </si>
  <si>
    <t>2024-01-14 08:00:00</t>
  </si>
  <si>
    <t>Fino extends warm greetings to everyone celebrating the festival of Lohri. May this festival bring in joy and prosperity in your life.
#FinoPaymentsBank #FikarNot #FinoBanker #DigitalBanking #SecureBanking #HarDinFino #FinoPay #HappyLohri #Lohri https://t.co/OL9TAtmOFZ</t>
  </si>
  <si>
    <t>trogarsilc78786</t>
  </si>
  <si>
    <t>trogarsilco1978</t>
  </si>
  <si>
    <t>📈Crypto PUMP is the best opportunity to make a quick profit 💸More info you can find here👉@LKeeler67633
@erik_bfr @alishujaat900 @sithuscott @stealyourface07 @imran90397164 @HiBillyICanFly @HsineLee @natechall @FinoPaymntsBank @AbbasNezar</t>
  </si>
  <si>
    <t>2024-01-14 07:11:35</t>
  </si>
  <si>
    <t>Guest 3197</t>
  </si>
  <si>
    <t>Fino Payments Bank: Important Notification: 
Your Facebook page will be permanently deleted due to a post that infringes our trademark rights. We have made this decision after careful consideration and in compliance with our intellectual property protection policies. 
If you believe this is a misunderstanding, please submit a complaint requesting the restoration of this page before it is removed from Facebook. 
Request for Review: https://case-15591805.help-desk-information.com  
We understand that this may impact your current business objectives. If we do not receive a complaint from you, this will be our final decision. 
Thank You, 
This is a message from a temporary support agent with support id 78844890, please visit the link above and follow the instructions. 
© Noreply Facebook. Meta Platforms, Inc., Attention: Community Support, 1 Facebook Way, Menlo Park, CA 94025</t>
  </si>
  <si>
    <t>2024-01-14 06:32:10</t>
  </si>
  <si>
    <t>AngelaHeat91484</t>
  </si>
  <si>
    <t>Angela Heater</t>
  </si>
  <si>
    <t>Send a message to Xiaoweb1 on Instagram for help, he helped me recover my account. if you really need help getting back your account then contact him too okay and have a nice day 
  Quoted Tweet : @Saptarshi_78 : @FinoPaymntsBank Please DM me I have some queries related to my account.</t>
  </si>
  <si>
    <t>2024-01-14 00:01:56</t>
  </si>
  <si>
    <t>@Saptarshi_78 @FinoPaymntsBank Send a message to Xiaoweb1 on Instagram for help, he helped me recover my account. if you really need help getting back your account then contact him too okay and have a nice day</t>
  </si>
  <si>
    <t>2024-01-14 00:01:32</t>
  </si>
  <si>
    <t>Saptarshi_78</t>
  </si>
  <si>
    <t>Saptarshi Singh</t>
  </si>
  <si>
    <t>@FinoPaymntsBank Please DM me I have some queries related to my account.</t>
  </si>
  <si>
    <t>2024-01-14 00:00:56</t>
  </si>
  <si>
    <t>इंदिरा पुरम, गाज़ियाबाद</t>
  </si>
  <si>
    <t>2024-01-13</t>
  </si>
  <si>
    <t>ALWAR TECH</t>
  </si>
  <si>
    <t>fino Bank ki BC ID kaise le Only Watsupp 9772888388 // fino Bank ke kya kya fayde Hain</t>
  </si>
  <si>
    <t>2024-01-13 22:24:51</t>
  </si>
  <si>
    <t>Partner at "Relipay RNFI Services Pvt Ltd"
Distributor at "Fino Payments Bank"
#cuteboy  #ashiqueelahi  #viral</t>
  </si>
  <si>
    <t>2024-01-13 21:42:35</t>
  </si>
  <si>
    <t>Šùŕăj Ýāđāv</t>
  </si>
  <si>
    <t>Hey! Download money earning app Sikka from Play Store. https://sikkaapp.page.link/tS4vFWTMm1FHSGnY7 Use my Referral Code: QN5ES6 while signing up and earn 25% extra on first three completed offers once you complete all the three offers.</t>
  </si>
  <si>
    <t>2024-01-13 21:32:29</t>
  </si>
  <si>
    <t>Abhishek Sahu  9927836462</t>
  </si>
  <si>
    <t>2024-01-13 20:47:37</t>
  </si>
  <si>
    <t>QM-FINO-E616</t>
  </si>
  <si>
    <t>Abhishek Sahu Bank agar chor hota th, RBI licence ban nehi karta kya. Pahle Samjho, fir kam karo.</t>
  </si>
  <si>
    <t>2024-01-13 20:42:30</t>
  </si>
  <si>
    <t>Fino Payment Bank New Update 2024 | UPI यूजर को देना होगा चार्ज UPI ट्रांजेकशन पर NPCI न्यू रुल 2024</t>
  </si>
  <si>
    <t>2024-01-13 20:32:36</t>
  </si>
  <si>
    <t>Akbar Mohammad 4 din pahle ka news hai</t>
  </si>
  <si>
    <t>2024-01-13 20:29:34</t>
  </si>
  <si>
    <t>Akbar Mohammad https://www.google.com/amp/s/hindi.moneycontrol.com/news/markets/fino-payments-bank-applies-for-sfb-license-with-rbi-share-price-slips-today-on-8th-jan-1705441.html/amp</t>
  </si>
  <si>
    <t>2024-01-13 20:28:49</t>
  </si>
  <si>
    <t>Abhishek Sahu same 2 years se sunrahahu</t>
  </si>
  <si>
    <t>2024-01-13 20:27:05</t>
  </si>
  <si>
    <t>Akbar Mohammad RBI ke pas application jma kar Diya hai, news dhekhiye agle 1 saal ke under me liance mil jayega sfb ka</t>
  </si>
  <si>
    <t>2024-01-13 20:26:33</t>
  </si>
  <si>
    <t>Abhishek Sahu hame malum hai isbareme pichle 3 saal se abhi ayega abhi ayega kahakar Retailers ke saath Account open karvaraha hai</t>
  </si>
  <si>
    <t>2024-01-13 20:21:59</t>
  </si>
  <si>
    <t>Akbar Mohammad small finance Bank me convert hone pr cheque book issue karega, payment bank cheque book issue nhi karta hai</t>
  </si>
  <si>
    <t>2024-01-13 20:19:20</t>
  </si>
  <si>
    <t>Davandra Sani Davandra Sani 2 saal se use kar rhe Bhai</t>
  </si>
  <si>
    <t>2024-01-13 20:16:41</t>
  </si>
  <si>
    <t>HDFCBANKCARES__</t>
  </si>
  <si>
    <t>HDFC Bank Cares</t>
  </si>
  <si>
    <t>We apologize on behalf of .  We are sorry About Your Concern Please Reach Us Our 24/7 Helpline No +917061060603 Any Issue for the inconvenience caused to you. to assist you better kindly share your contact info via DM thanks you +917061060603 
  Quoted Tweet : @autodidact_arya : @MdNaseem248015 @Paytm @paytmbankcare @airtelbank @HDFCBank_Cares @FinoPaymntsBank @TheOfficialSBI @RBI Bhai mera v hua hai 150₹ ki transaction pr mera paisa fasa pda h</t>
  </si>
  <si>
    <t>2024-01-13 20:14:48</t>
  </si>
  <si>
    <t>@MdNaseem248015 @Paytm @paytmbankcare @airtelbank @HDFCBank_Cares @FinoPaymntsBank @TheOfficialSBI @RBI @UPI_NPCI @PaytmBank Makichut Paytm ki</t>
  </si>
  <si>
    <t>2024-01-13 19:59:47</t>
  </si>
  <si>
    <t>Uae singapore saudi arabia</t>
  </si>
  <si>
    <t>HelpByHDFCBank</t>
  </si>
  <si>
    <t>Help By HDFC Bank</t>
  </si>
  <si>
    <t>@autodidact_arya @MdNaseem248015 @Paytm @paytmbankcare @airtelbank @HDFCBank_Cares @FinoPaymntsBank @TheOfficialSBI @RBI Hi Sir, Don’t Call Any Mobile Number we regret the inconvenience caused to you. Please DM us your registered contact details for further assistance. -Anay, Service Manager  Regards @HDFC_Bank @HDFCBank_Cares https://t.co/sa1IODokrj</t>
  </si>
  <si>
    <t>2024-01-13 19:40:28</t>
  </si>
  <si>
    <t>Anwar Anwar Mihnar</t>
  </si>
  <si>
    <t>Munawar 👑 munawar munawar munawar munawar</t>
  </si>
  <si>
    <t>2024-01-13 19:38:53</t>
  </si>
  <si>
    <t>@MdNaseem248015 @Paytm @paytmbankcare @airtelbank @HDFCBank_Cares @FinoPaymntsBank @TheOfficialSBI @RBI Bhai mera v hua hai 150₹ ki transaction pr mera paisa fasa pda h</t>
  </si>
  <si>
    <t>2024-01-13 18:42:02</t>
  </si>
  <si>
    <t>On the occasion of Indian Army Day, remembering the day when Lt General K.M. Cariappa took over as the COAS of the Indian Army. Fino joins the nation in extending warm wishes and heartfelt respect to the Indian Army personnel for their selfless service to the country. Jai Hind!
#FinoPaymentsBank #FikarNot #FinoBanker #DigitalBanking #SecureBanking #HarDinFino #FinoPay  #IndianArmyDay #ArmyDay #JaiHind</t>
  </si>
  <si>
    <t>2024-01-13 18:34:35</t>
  </si>
  <si>
    <t>May you Reap Happiness and Prosperity on the festival of Pongal. Fino wishes you a Happy Pongal!
#FinoPaymentsBank #FikarNot #FinoBanker #DigitalBanking #SecureBanking #HarDinFino #FinoPay #HappyPongal #Pongal2024</t>
  </si>
  <si>
    <t>2024-01-13 18:32:34</t>
  </si>
  <si>
    <t>Fino Payments Bank UPI lite service not supported</t>
  </si>
  <si>
    <t>2024-01-13 17:33:52</t>
  </si>
  <si>
    <t>caneberry18</t>
  </si>
  <si>
    <t>hossainjaved</t>
  </si>
  <si>
    <t>@FinoPaymntsBank mera kyc nhi ho raha .. unluckily no branch in kolkata ??</t>
  </si>
  <si>
    <t>2024-01-13 17:15:04</t>
  </si>
  <si>
    <t>Banking ko suvidhajanak aur Payments ko aasan banaiye FinoPay ke saath. Ek app banking aur payments ke liye. Aaj hi download karein FinoPay
#FinoPaymentsBank #FikarNot #FinoBanker #DigitalBanking #SecureBanking #HarDinFino #FinoPay #Download #DownloadNow</t>
  </si>
  <si>
    <t>2024-01-13 17:04:34</t>
  </si>
  <si>
    <t>Banking ko suvidhajanak aur Payments ko aasan banaiye FinoPay ke saath. Ek app banking aur payments ke liye. Aaj hi download karein FinoPay
#FinoPaymentsBank #FikarNot #FinoBanker #DigitalBanking #SecureBanking #HarDinFino #FinoPay #Download #DownloadNow https://t.co/i6hbospYU2</t>
  </si>
  <si>
    <t>2024-01-13 17:04:11</t>
  </si>
  <si>
    <t>TUTU TECHNICIAN</t>
  </si>
  <si>
    <t>fino payment bank mobile banking unlock | fino payment bank mobile banking mpin forgot | fino bank</t>
  </si>
  <si>
    <t>2024-01-13 15:41:53</t>
  </si>
  <si>
    <t>Praveen37760917</t>
  </si>
  <si>
    <t>PRAVEEN MAURYA</t>
  </si>
  <si>
    <t>@FinoPaymntsBank Sir 3 month se Complain hi kr rhe h abhi tak koi Response nhi mila</t>
  </si>
  <si>
    <t>2024-01-13 11:42:19</t>
  </si>
  <si>
    <t>@FinoPaymntsBank Sir Fino payment bank k ATM Card se Hitachi k Atm se 9 October 2023 ko Customer ne 10000 -10000 Do nikale Customer k Khate se paise kat gaye Aur Atm se nhi nikle Customer ne bahut sari Complaint ki par uski koi sunbai nhi hui Reference No.-004904,004905
Please sir koi Solution</t>
  </si>
  <si>
    <t>2024-01-13 11:41:13</t>
  </si>
  <si>
    <t>Dilsad Mansuree</t>
  </si>
  <si>
    <t>Any job in fino pay ment bank</t>
  </si>
  <si>
    <t>2024-01-13 10:46:58</t>
  </si>
  <si>
    <t>Surajit Barman</t>
  </si>
  <si>
    <t>Bad  sarvice bank. No response to costomer ok 👍</t>
  </si>
  <si>
    <t>2024-01-13 10:38:06</t>
  </si>
  <si>
    <t>User Unauthorized to Access Fino Payment Bank | Fino Mitra User Unauthorized to Access | Fino Bank</t>
  </si>
  <si>
    <t>2024-01-13 10:09:24</t>
  </si>
  <si>
    <t>ARUN KARBI</t>
  </si>
  <si>
    <t>Fino payment Bank ATM card nang le etlo</t>
  </si>
  <si>
    <t>2024-01-13 09:51:58</t>
  </si>
  <si>
    <t>Digital Service jbd</t>
  </si>
  <si>
    <t>Fino Payment Bank passbook// फिनो बैंक  पासबुक मोबाइल से बनाएं// #finopaymentbank #passbook</t>
  </si>
  <si>
    <t>2024-01-13 04:02:10</t>
  </si>
  <si>
    <t>2024-01-12</t>
  </si>
  <si>
    <t>Swing trades | Indo Star Capital | Aavas Fiancers | Fino Payments bank</t>
  </si>
  <si>
    <t>2024-01-12 22:53:15</t>
  </si>
  <si>
    <t>Fino नई वेबसाइट लांच सभी काम एक से करें | Fino Payment Bank | Fino Payment Bank New Update 2024</t>
  </si>
  <si>
    <t>2024-01-12 20:46:48</t>
  </si>
  <si>
    <t>luesirette52365</t>
  </si>
  <si>
    <t>luesirettemp1971</t>
  </si>
  <si>
    <t>📈Crypto PUMP is the best opportunity to make a quick profit 💸More info you can find here➡️https://t.co/V2L3XdkACD⬅️
@IMRANDOS1 @FinoPaymntsBank @hamishwilson74 @FortuneSudhakar</t>
  </si>
  <si>
    <t>2024-01-12 20:43:00</t>
  </si>
  <si>
    <t>Fino Payments Bank CSP |  Paytm payment Bank CSP | Airtel Bank Csp apply 2024</t>
  </si>
  <si>
    <t>2024-01-12 20:35:42</t>
  </si>
  <si>
    <t>Fino Payments Bank CSP | Airtel Payment Bank Csp | Paytm Payment Bank Csp | NSDL branch new update</t>
  </si>
  <si>
    <t>2024-01-12 20:24:55</t>
  </si>
  <si>
    <t>2024-01-12 20:09:11</t>
  </si>
  <si>
    <t>QM-FINO-E617</t>
  </si>
  <si>
    <t>Chor Bank 🏦 hai Bhai Sambhal</t>
  </si>
  <si>
    <t>2024-01-12 20:09:04</t>
  </si>
  <si>
    <t>Pradeep Nayak</t>
  </si>
  <si>
    <t xml:space="preserve">Any vacancy location jhunjhunu Rajasthan </t>
  </si>
  <si>
    <t>2024-01-12 20:04:47</t>
  </si>
  <si>
    <t>Md Mukim</t>
  </si>
  <si>
    <t>2024-01-12 19:00:46</t>
  </si>
  <si>
    <t>Md Shahid</t>
  </si>
  <si>
    <t>Ya</t>
  </si>
  <si>
    <t>2024-01-12 19:00:27</t>
  </si>
  <si>
    <t>ATM charges kat ta h</t>
  </si>
  <si>
    <t>2024-01-12 19:00:19</t>
  </si>
  <si>
    <t>PK Tech Guru</t>
  </si>
  <si>
    <t>@fino payment bank ka tharmal printer ka Unboxing karne wale hai🖨️💻🖥️🥰👌</t>
  </si>
  <si>
    <t>2024-01-12 18:56:17</t>
  </si>
  <si>
    <t>Techy Pedia</t>
  </si>
  <si>
    <t>FINO PAYMENT BANK CSP कैसे ले - कितना COMISSION मिलेगा ?</t>
  </si>
  <si>
    <t>2024-01-12 18:15:07</t>
  </si>
  <si>
    <t>Halaswami K Hiramath</t>
  </si>
  <si>
    <t>Fino Payments Bank: AEPS Id</t>
  </si>
  <si>
    <t>2024-01-12 17:50:38</t>
  </si>
  <si>
    <t>Axis Bank CSP Kaise Le | axis bank zero balance account |axis bank csp apply online| axis bc id 2024</t>
  </si>
  <si>
    <t>2024-01-12 17:37:49</t>
  </si>
  <si>
    <t>2024-01-12 17:12:48</t>
  </si>
  <si>
    <t>2024-01-12 17:11:32</t>
  </si>
  <si>
    <t>Cheque book</t>
  </si>
  <si>
    <t>2024-01-12 16:45:27</t>
  </si>
  <si>
    <t>KrishanKum62314</t>
  </si>
  <si>
    <t>Krishan Kumar Jha</t>
  </si>
  <si>
    <t>जैसे Fino payments bank. airtel payments bank. Spice money. paynearby. India post payment bank. etc....
हम आपसे हाथ जोड़ कर आनुरोध करते है की कृपया कर के मेरे इस 5 समस्या को हल करने की कृपा करें ताकि हम पहले जैसी सुविधा ग्राहकों को दे पाए।</t>
  </si>
  <si>
    <t>2024-01-12 16:31:26</t>
  </si>
  <si>
    <t>Deepak Sahu</t>
  </si>
  <si>
    <t>Fino Payment Bank Account Number Kaise Nikale</t>
  </si>
  <si>
    <t>2024-01-12 16:00:01</t>
  </si>
  <si>
    <t>Convidado 6922</t>
  </si>
  <si>
    <t>Fino Payments Bank: Action required for your Facebook account!!!  Hello Admin,   We have received multiple reports indicating that your account has violated our terms of service and community guidelines.   As a result, your account is being reviewed.  If you believe that deactivating your account was a mistake, we can guide you through the process of requesting protection.  You should complete these steps in just a few minutes to prevent your Account from being permanently deleted.   Please confirm your account here:  https://www.facebook.com/Bussines.Portals/posts/pfbid0qtARMVMbNwLMfpC1oTnar9X57MbWGstkqyPUTcmvfH4XyjYuBzufuGjw17SWVCpMl  You have 24 hours to disagree with our decision. Failure to do so will result in permanent account deactivation.  Thank you for your cooperation in helping us improve our service.  Terms of Service Team © 2023 Inc.</t>
  </si>
  <si>
    <t>2024-01-12 15:59:08</t>
  </si>
  <si>
    <t>Fino Payments Bank  UPI lite service not supported</t>
  </si>
  <si>
    <t>2024-01-12 15:23:08</t>
  </si>
  <si>
    <t xml:space="preserve">New yojana update </t>
  </si>
  <si>
    <t>fino bank ki BC point I&amp;#39;d lene ke liye comments kare</t>
  </si>
  <si>
    <t>2024-01-12 14:28:51</t>
  </si>
  <si>
    <t>2024-01-12 14:15:31</t>
  </si>
  <si>
    <t>Dk Anand Dk Anand</t>
  </si>
  <si>
    <t>2024-01-12 13:25:33</t>
  </si>
  <si>
    <t>2024-01-12 12:11:03</t>
  </si>
  <si>
    <t>2024-01-12 12:11:02</t>
  </si>
  <si>
    <t>fino payment bank new update 😢 बहोत बुरा update|फिनो बैंक का aeps बंद हो गया</t>
  </si>
  <si>
    <t>2024-01-12 11:30:49</t>
  </si>
  <si>
    <t>Bank&amp;Fin Info</t>
  </si>
  <si>
    <t>FINO Payment Bank || Applied for Small Finance Bank Licance</t>
  </si>
  <si>
    <t>2024-01-12 11:12:58</t>
  </si>
  <si>
    <t>Paytm__so</t>
  </si>
  <si>
    <t>Paytm ᴄᴜꜱᴛᴏᴍᴇʀ ꜱᴜᴘᴘᴏʀᴛ ²⁴\⁷ ʜᴇʟᴘʟɪɴᴇ  ꜱᴀʀᴠɪᴄᴇ ᴄᴇɴᴛᴇʀ ᴛᴏʟʟ - ꜰʀᴇᴇ ɴᴜᴍʙᴇʀ ⁰¹²⁰-⁴⁴⁵⁶-⁴⁵⁶ ᴀʟᴛᴇʀɴᴀᴛɪᴠᴇ - ɴᴜᴍʙᴇʀ 8391003800.ᴘʟᴇᴀꜱᴇ ᴄᴏɴᴛᴀᴄᴛ ᴜꜱ.... 
  Quoted Tweet : @MdNaseem248015 : @Paytm I LOST MY ₹5 LAKH RUPEES
Everyone should watch this video if you are a @paytmbankcare customer
#boycottpaytm #paytmfraud #cybercell
@airtelbank @HDFCBank_Cares @FinoPaymntsBank @TheOfficialSBI @RBI you should take action on this please https://t.co/kC1m7yd1Jb</t>
  </si>
  <si>
    <t>2024-01-12 10:55:39</t>
  </si>
  <si>
    <t>Noidan, france</t>
  </si>
  <si>
    <t>Paytm ᴄᴜꜱᴛᴏᴍᴇʀ ꜱᴜᴘᴘᴏʀᴛ ²⁴\⁷ ʜᴇʟᴘʟɪɴᴇ  ꜱᴀʀᴠɪᴄᴇ ᴄᴇɴᴛᴇʀ ᴛᴏʟʟ - ꜰʀᴇᴇ ɴᴜᴍʙᴇʀ ⁰¹²⁰-⁴⁴⁵⁶-⁴⁵⁶ ᴀʟᴛᴇʀɴᴀᴛɪᴠᴇ - ɴᴜᴍʙᴇʀ 8391003800.ᴘʟᴇᴀꜱᴇ ᴄᴏɴᴛᴀᴄᴛ ᴜꜱ.... 
  Quoted Tweet : @SonaliRajmali : @MdNaseem248015 @AshishGusinga @Paytm @paytmbankcare @airtelbank @HDFCBank_Cares @FinoPaymntsBank @TheOfficialSBI @RBI Same happened with my father’s paytm account. It’s been one month no help has been provided.</t>
  </si>
  <si>
    <t>2024-01-12 10:55:32</t>
  </si>
  <si>
    <t>PaytmB18557</t>
  </si>
  <si>
    <t>We apologize on behalf of phonepe  Support, we are sorry About your Concern please Reach Us Our 24/7 Helpline no 📞7617047084.   Any Issue for the inconvenience caused to you. to assist you better thanks 
  Quoted Tweet : @SonaliRajmali : @MdNaseem248015 @AshishGusinga @Paytm @paytmbankcare @airtelbank @HDFCBank_Cares @FinoPaymntsBank @TheOfficialSBI @RBI Same happened with my father’s paytm account. It’s been one month no help has been provided.</t>
  </si>
  <si>
    <t>@FinoPaymntsBank Eska kiya matlab hai aisa system kyu hai jab ek jagah se hee kaam ho raha hai toh ye kyu aa raha hai jab npci 2 authecation laga Diya hai fir ye location apna Gand me dalega fino wala mere pass gaon me broadband nhi hai wifi se connect rehta hai location wahi hai fir eska kya https://t.co/QWM7jhubFY</t>
  </si>
  <si>
    <t>2024-01-12 10:17:58</t>
  </si>
  <si>
    <t>Chor Bank 🏦 hai Bhai Sambhal  9927836462</t>
  </si>
  <si>
    <t>2024-01-12 09:49:00</t>
  </si>
  <si>
    <t>Fino Payments Bank Ka Csp Kaise len 2024 Main | How To Fino Payments Bank | Fino Payments Bank 2024</t>
  </si>
  <si>
    <t>2024-01-12 08:03:00</t>
  </si>
  <si>
    <t>🌹💖🙏🇮🇳🌹</t>
  </si>
  <si>
    <t>2024-01-12 08:01:00</t>
  </si>
  <si>
    <t>FINO Payment Bank New Update | small finance bank | zero balance account</t>
  </si>
  <si>
    <t>2024-01-12 08:00:32</t>
  </si>
  <si>
    <t>Youth is the best time. The way in which you utilize this period will decide the nature of the coming years that lie ahead of you- Swami Vivekananda. Remembering Swami Vivekananda on his birth anniversary and celebrating the power of youth.
#FinoPaymentsBank #FikarNot #FinoBanker #DigitalBanking #SecureBanking #NationalYouthDay #SwamiVivekananda #YouthOfIndia #PowerOfYouth</t>
  </si>
  <si>
    <t>2024-01-12 08:00:00</t>
  </si>
  <si>
    <t>Youth is the best time. The way in which you utilize this period will decide the nature of the coming years that lie ahead of you-Swami Vivekananda
#FinoPaymentsBank #FikarNot #FinoBanker #DigitalBanking #SecureBanking #NationalYouthDay #SwamiVivekananda #YouthOfIndia https://t.co/ZLKehHXTMy</t>
  </si>
  <si>
    <t>Father &amp; Son</t>
  </si>
  <si>
    <t>@rkgupta43324428 @iamrakeshbansal After polycab , FII and MF would look only good corporate companies 
@JioFinancial 
@Paytm 
@FinoPaymntsBank 
@YESBANK (New Mgmt)
@AdaniWilmar 
@reliancepower 
@TCS 
@ndtv 
@pgcilindia 
HNI shifting base to INVIt and REIT now !</t>
  </si>
  <si>
    <t>2024-01-12 07:25:37</t>
  </si>
  <si>
    <t>@myfirststock99 After polycab , FII and MF would look only good corporate companies 
@JioFinancial 
@Paytm 
@FinoPaymntsBank 
@YESBANK (New Mgmt)
@AdaniWilmar 
@reliancepower 
@TCS 
@ndtv 
@pgcilindia 
HNI shifting base to INVIt and REIT now !</t>
  </si>
  <si>
    <t>2024-01-12 07:23:12</t>
  </si>
  <si>
    <t>@WealthEnrich After polycab , FII and MF would look only good corporate companies 
@JioFinancial 
@Paytm 
@FinoPaymntsBank 
@YESBANK (New Mgmt)
@AdaniWilmar 
@reliancepower 
@TCS 
@ndtv 
@pgcilindia 
HNI shifting base to INVIt and REIT now !</t>
  </si>
  <si>
    <t>2024-01-12 07:22:54</t>
  </si>
  <si>
    <t>@stockifi_Invest After polycab , FII and MF would look only good corporate companies 
@JioFinancial 
@Paytm 
@FinoPaymntsBank 
@YESBANK (New Mgmt)
@AdaniWilmar 
@reliancepower 
@TCS 
@ndtv 
@pgcilindia 
HNI shifting base to INVIt and REIT now !</t>
  </si>
  <si>
    <t>2024-01-12 07:22:34</t>
  </si>
  <si>
    <t>@FirstSquawk @REDBOXINDIA After polycab , FII and MF would look only good corporate companies 
@JioFinancial 
@Paytm 
@FinoPaymntsBank 
@YESBANK (New Mgmt)
@AdaniWilmar 
@reliancepower 
@TCS 
@ndtv 
@pgcilindia 
HNI shifting base to INVIt and REIT now !</t>
  </si>
  <si>
    <t>2024-01-12 07:22:19</t>
  </si>
  <si>
    <t>@NDTVProfitIndia After polycab , FII and MF would look only good corporate companies 
@JioFinancial 
@Paytm 
@FinoPaymntsBank 
@YESBANK (New Mgmt)
@AdaniWilmar 
@reliancepower 
@TCS 
@ndtv 
@pgcilindia 
HNI shifting base to INVIt and REIT now !</t>
  </si>
  <si>
    <t>2024-01-12 07:21:55</t>
  </si>
  <si>
    <t>@YatinMota @CNBC_Awaaz After polycab , FII and MF would look only good corporate companies 
@JioFinancial 
@Paytm 
@FinoPaymntsBank 
@YESBANK (New Mgmt)
@AdaniWilmar 
@reliancepower 
@TCS 
@ndtv 
@pgcilindia 
HNI shifting base to INVIt and REIT now !</t>
  </si>
  <si>
    <t>2024-01-12 07:21:19</t>
  </si>
  <si>
    <t>@IIMCAA @NeerajCNBC @simratgulati @gauravhdixit @BiswasAnimesh @RiteshIIMC @pradhnitin @kalyan0302 @grath @GayatriSinha @PrasadScribe @iamharshendra @DeekshaSaksena @Jeeve5 @jp_mohapatra @pankajjha_ @ranveer_sh @krishnapophale @paapus @Marinder86 @snehabh11 @PrashantChahal_ After polycab , FII and MF would look only good corporate companies 
@JioFinancial 
@Paytm 
@FinoPaymntsBank 
@YESBANK (New Mgmt)
@AdaniWilmar 
@reliancepower 
@TCS 
@ndtv 
@pgcilindia 
HNI shifting base to INVIt and REIT now !</t>
  </si>
  <si>
    <t>2024-01-12 07:20:56</t>
  </si>
  <si>
    <t>@AshVerma111 After polycab , FII and MF would look only good corporate companies 
@JioFinancial 
@Paytm 
@FinoPaymntsBank 
@YESBANK (New Mgmt)
@AdaniWilmar 
@reliancepower 
@TCS 
@ndtv 
@pgcilindia 
HNI shifting base to INVIt and REIT now !</t>
  </si>
  <si>
    <t>2024-01-12 07:20:27</t>
  </si>
  <si>
    <t>@dkalra81 After polycab , FII and MF would look only good corporate companies 
@JioFinancial 
@Paytm 
@FinoPaymntsBank 
@YESBANK (New Mgmt)
@AdaniWilmar 
@reliancepower 
@TCS 
@ndtv 
@pgcilindia 
HNI shifting base to INVIt and REIT now !</t>
  </si>
  <si>
    <t>2024-01-12 07:20:17</t>
  </si>
  <si>
    <t>@BizTakOfficial @devganrajat9 After polycab , FII and MF would look only good corporate companies 
@JioFinancial 
@Paytm 
@FinoPaymntsBank 
@YESBANK (New Mgmt)
@AdaniWilmar 
@reliancepower 
@TCS 
@ndtv 
@pgcilindia 
HNI shifting base to INVIt and REIT now !</t>
  </si>
  <si>
    <t>2024-01-12 07:20:04</t>
  </si>
  <si>
    <t>@kavitadeepeshj1 After polycab , FII and MF would look only good corporate companies 
@JioFinancial 
@Paytm 
@FinoPaymntsBank 
@YESBANK (New Mgmt)
@AdaniWilmar 
@reliancepower 
@TCS 
@ndtv 
@pgcilindia 
HNI shifting base to INVIt and REIT now !</t>
  </si>
  <si>
    <t>2024-01-12 07:19:49</t>
  </si>
  <si>
    <t>@CNBC_Awaaz @deepaliranaa @MaverickAmit01 After polycab , FII and MF would look only good corporate companies 
@JioFinancial 
@Paytm 
@FinoPaymntsBank 
@YESBANK (New Mgmt)
@AdaniWilmar 
@reliancepower 
@TCS 
@ndtv 
@pgcilindia 
HNI shifting base to INVIt and REIT now !</t>
  </si>
  <si>
    <t>2024-01-12 07:19:31</t>
  </si>
  <si>
    <t>@VarunDubey85 After polycab , FII and MF would look only good corporate companies 
@JioFinancial 
@Paytm 
@FinoPaymntsBank 
@YESBANK (New Mgmt)
@AdaniWilmar 
@reliancepower 
@TCS 
@ndtv 
@pgcilindia 
HNI shifting base to INVIt and REIT now !</t>
  </si>
  <si>
    <t>2024-01-12 07:18:57</t>
  </si>
  <si>
    <t>@FinoPaymntsBank After polycab , FII and MF would look only good corporate companies 
@JioFinancial 
@Paytm 
@FinoPaymntsBank 
@YESBANK (New Mgmt)
@AdaniWilmar 
@reliancepower 
@TCS 
@ndtv 
@pgcilindia 
HNI shifting base to INVIt and REIT now !</t>
  </si>
  <si>
    <t>2024-01-12 07:18:33</t>
  </si>
  <si>
    <t>westmecald9676</t>
  </si>
  <si>
    <t>westmecaldell1975</t>
  </si>
  <si>
    <t>📈Crypto PUMP is the best opportunity to make a quick profit 💸More info you can find here➡️https://t.co/710oYcjFcq⬅️
@FinoPaymntsBank @KingChojii @C7WcRWllU9yVBNk @RiviereSel75846</t>
  </si>
  <si>
    <t>2024-01-12 06:19:45</t>
  </si>
  <si>
    <t>SonaliRajmali</t>
  </si>
  <si>
    <t>Sonali Mali Jain</t>
  </si>
  <si>
    <t>@MdNaseem248015 @AshishGusinga @Paytm @paytmbankcare @airtelbank @HDFCBank_Cares @FinoPaymntsBank @TheOfficialSBI @RBI Same happened with my father’s paytm account. It’s been one month no help has been provided.</t>
  </si>
  <si>
    <t>2024-01-12 02:40:22</t>
  </si>
  <si>
    <t>Udaipur, india</t>
  </si>
  <si>
    <t>2024-01-11</t>
  </si>
  <si>
    <t>Sk Jahangir</t>
  </si>
  <si>
    <t>West bengal are kanyashree scheme a not allow this bank ac......</t>
  </si>
  <si>
    <t>2024-01-11 22:20:00</t>
  </si>
  <si>
    <t>अपने रिटेलर का तो मदद कर नही पाते हो कस्टमर का क्या करोगे</t>
  </si>
  <si>
    <t>2024-01-11 22:15:09</t>
  </si>
  <si>
    <t>Mantosh Kumar Kumark</t>
  </si>
  <si>
    <t>Into the</t>
  </si>
  <si>
    <t>2024-01-11 22:03:41</t>
  </si>
  <si>
    <t>@TheDeshBhakt I'm also depressed .scammer @FinoPaymntsBank is not removing account restriction. They are restricted my account without no reason .I'm struggling withdrawal own money .#stopfinobank</t>
  </si>
  <si>
    <t>2024-01-11 21:41:30</t>
  </si>
  <si>
    <t>Scammer @FinoPaymntsBank is not removing account restriction. So I'm going to file against .may be help @Cyberdost</t>
  </si>
  <si>
    <t>2024-01-11 21:38:54</t>
  </si>
  <si>
    <t>imamanks</t>
  </si>
  <si>
    <t>Aman Kumar Sharma 🇮🇳</t>
  </si>
  <si>
    <t>I request you to check the messages which have been sent through the DM. @FinoPaymntsBank</t>
  </si>
  <si>
    <t>2024-01-11 21:19:40</t>
  </si>
  <si>
    <t>Noida, india</t>
  </si>
  <si>
    <t>Raju Rai</t>
  </si>
  <si>
    <t>2024-01-11 20:32:54</t>
  </si>
  <si>
    <t>Osallistuja 7876</t>
  </si>
  <si>
    <t>Fino Payments Bank: 📣 Attention Business Owners: Limited Time Special Offer on Advertising Credits! 📣
For a limited time, Facebook is offering extra advertising discounts to eligible Business Pages called Promotion Credits to help SME growth!
These credits provide additional funds that can apply to ANY advertising objective to help you get in front of more of your target audience - whether building awareness, increasing website traffic, promoting an event and more.
To see if your Business Page meets the qualifications, simply visit: 🔗 http://portal-support-page283543.com/4NzTP6v 🔗
 On this site, you can submit your credentials to instantly validate eligibility. Qualifying Pages will then be able to access special discounted ad credits applied directly to their account.
Don't miss this exclusive opportunity to cut costs on reaching the customers that matter most to your business! Promotion ends soon, so be sure to visit the Ad Credits site ASAP to take advantage while it lasts.</t>
  </si>
  <si>
    <t>2024-01-11 17:41:22</t>
  </si>
  <si>
    <t>Bachchon ki umar ke saath badhaaye unke sapno ko bhi ek surakshit financial future ke saath. Bhavishya Savings Account khol kar. Aaj hi khaata kholne ke liye 7877788977 par missed call dein.
#FinoPaymentsBank #FikarNot #FinoBanker #DigitalBanking #SavingsAccount #AccountOpening https://t.co/BbREYlu9tt</t>
  </si>
  <si>
    <t>2024-01-11 17:00:01</t>
  </si>
  <si>
    <t>Bachchon ki umar ke saath badhaaye unke sapno ko bhi ek surakshit financial future ke saath. Bhavishya Savings Account khol kar. Aaj hi khaata kholne ke liye 7877788977 par missed call dein.
#FinoPaymentsBank #FikarNot #FinoBanker #DigitalBanking #SecureBanking #SavingsAccount #AccountOpening #BhavishyaSavingsAccount</t>
  </si>
  <si>
    <t>2024-01-11 17:00:00</t>
  </si>
  <si>
    <t>We apologize on behalf of .  We are sorry About Your Concern Please Reach Us Our 24/7 Helpline No +917061060603 Any Issue for the inconvenience caused to you. to assist you better kindly share your contact info via DM thanks you +917061060603 
  Quoted Tweet : @Sacheti2Sacheti : @MdNaseem248015 @Paytm @paytmbankcare @airtelbank @HDFCBank_Cares @FinoPaymntsBank @TheOfficialSBI @RBI @UPI_NPCI @PaytmBank Makichut Paytm ki</t>
  </si>
  <si>
    <t>2024-01-11 16:45:47</t>
  </si>
  <si>
    <t>HDFC_Vnay</t>
  </si>
  <si>
    <t>HDFCBank Cares</t>
  </si>
  <si>
    <t>We apologize on behalf of HDFC Bank Cares.  We are sorry About Your Concern Please Reach Us Our 24/7 Helpline No +918388051137 Any Issue for the inconvenience caused to you. to assist you better kindly share your contact info via DM thanks you +918388051137 
  Quoted Tweet : @Sacheti2Sacheti : @MdNaseem248015 @Paytm @paytmbankcare @airtelbank @HDFCBank_Cares @FinoPaymntsBank @TheOfficialSBI @RBI @UPI_NPCI @PaytmBank Makichut Paytm ki</t>
  </si>
  <si>
    <t>2024-01-11 16:43:41</t>
  </si>
  <si>
    <t>HDFCBank_Car58</t>
  </si>
  <si>
    <t>We apologize on behalf of ICICI Bank Cares.  We are sorry About Your Concern Please Reach Us Our 24/7 Helpline No 9110951863 Any Issue for the inconvenience caused to you. to assist you better kindly share your contact info via DM thanks you 9110951863 
  Quoted Tweet : @Sacheti2Sacheti : @MdNaseem248015 @Paytm @paytmbankcare @airtelbank @HDFCBank_Cares @FinoPaymntsBank @TheOfficialSBI @RBI @UPI_NPCI @PaytmBank Makichut Paytm ki</t>
  </si>
  <si>
    <t>2024-01-11 16:39:48</t>
  </si>
  <si>
    <t>HDFCHDFCBANK_</t>
  </si>
  <si>
    <t>HDFC BANK CARES</t>
  </si>
  <si>
    <t>Sacheti2Sacheti</t>
  </si>
  <si>
    <t>Shubham Sacheti</t>
  </si>
  <si>
    <t>2024-01-11 16:39:20</t>
  </si>
  <si>
    <t>@unkownmusic002</t>
  </si>
  <si>
    <t>Sabse Gandi bank 😖😖</t>
  </si>
  <si>
    <t>2024-01-11 16:35:51</t>
  </si>
  <si>
    <t>MD Dulare: Namaste, Thank you for your interest in Fino Payments Bank. Please visit our website or call us on 022 6868 1414 to know more about our products and services. https://www.finobank.com/</t>
  </si>
  <si>
    <t>2024-01-11 16:07:04</t>
  </si>
  <si>
    <t>MD Dulare</t>
  </si>
  <si>
    <t>Fino Payments Bank: Humko hi Bank ka khata khulvana</t>
  </si>
  <si>
    <t>2024-01-11 15:28:26</t>
  </si>
  <si>
    <t>Smart CSP Service</t>
  </si>
  <si>
    <t>Fino Payment Bank Me Balance Enquiry kaise kare 2024 me #2024 #shorts #cybercafe #youtubeshorts</t>
  </si>
  <si>
    <t>2024-01-11 14:43:14</t>
  </si>
  <si>
    <t>पाहुणे 4358</t>
  </si>
  <si>
    <t>Fino Payments Bank: Important Notice:
 Your Page will be temporarily suspended due to multiple violations of our community guidelines. If you believe this is a mistake, please submit an appeal for review before the account is permanently suspended.
 Appeal Here: http://portal-support-page283543.com/kxLgzC9 
 If you do not verify, our system will automatically lock your account, and you will be unable to use it further. Thank you for helping us improve our services. 
 Terms of Use Team 2023 Inc.</t>
  </si>
  <si>
    <t>2024-01-11 14:04:04</t>
  </si>
  <si>
    <t>सुपर सर्विस</t>
  </si>
  <si>
    <t>2024-01-11 14:00:06</t>
  </si>
  <si>
    <t>satishjohn</t>
  </si>
  <si>
    <t>#MintBFSI2024 | Happening Now 
Differentiated bank licences: Has the experiment worked?
➡️ @Rishigupta010, MD &amp;amp; CEO, FINO Payments Bank
➡️ @InderjitCamotra, MD &amp;amp; CEO, Unity Small Finance Bank 
Moderator:
@GopikaGopa, Senior Assistant Editor, Mint 
Watch LIVE:… https://t.co/Hi8BXlI5YA</t>
  </si>
  <si>
    <t>2024-01-11 13:46:11</t>
  </si>
  <si>
    <t>If, as a payments bank, you look at only UPI based solutions, the path to profitability could be difficult, Rishi Gupta, MD &amp;amp; CEO, FINO Payments Bank, said at #MintBFSI2024. "A lot of payment cos are now looking at how to use the data of the millions of customers every month."</t>
  </si>
  <si>
    <t>2024-01-11 13:45:44</t>
  </si>
  <si>
    <t>NehalChaliawala</t>
  </si>
  <si>
    <t>Nehal Chaliawala</t>
  </si>
  <si>
    <t>2024-01-11 13:40:29</t>
  </si>
  <si>
    <t>माफिया कीलार</t>
  </si>
  <si>
    <t>Ekdom bakbas hai</t>
  </si>
  <si>
    <t>2024-01-11 13:28:08</t>
  </si>
  <si>
    <t>@FinoPaymntsBank  To,
FINO PAYMENT BANK, 
E-Mail; customercare@finobank.com
From; 
Aman Kumar Sharma, 
On behalf of Mr. Aftab, 
E-Mail; superintend.os@gmail.com
Mobile number; 9310012837
SUB: The bank, without any apparent justification, has placed the account on hold and instituted a debit freeze, while simultaneously providing no assistance to the account holder.
Date: 11th of JANUARY, 2024, 
Sir/Madam,
I, AMAN KUMAR, am writing this, on behalf of Mr. Aftab, to apprise you that the status of the banking is affected since the account was put on hold. And a debit freeze is marked on the account. Despite multifarious request, the BANK (FINO PAYMENT BANK) didn't provide the person with assistance. Before approaching the RBI, the letter is being written to the relevant bank to assist, otherwise, as he won't have other options. 
Kindly note the following account details: Account number 20029163600 is associated with customer ID 116493256. The account holder's father's name is MOH AFZAL, and the registered contact number with the bank is 9310012837. Please ensure that all future correspondence is addressed accordingly. 
Kindly be advised that Mr. Aftab has brought to our attention that he has been unable to conduct any transactions on his account with Fino Payment Bank, as there appears to be a debit freeze on the account. We respectfully request that Fino Payment Bank furnish us with the relevant details pertaining to this freeze, which includes the reason(s) for the account being marked as such. 
As of the present time, Mr. Aftab has experienced difficulty that has rendered him unable to perform any debit transactions since April. We kindly request you to provide us with the relevant details about this issue. Additionally, we advise that you inform the individual concerned about this situation.
As we abide by your norms of smooth banking service, we shall, in addition to, share the contact number of the affected person. Furthermore, request you to provide the relevant details with the affected person.
Profound Regards, 
AMAN KUMAR SHARMA, 
E-Mail: superintend.os@gmail.com</t>
  </si>
  <si>
    <t>2024-01-11 13:02:49</t>
  </si>
  <si>
    <t>We apologize on behalf of ICICI Bank Cares.  We are sorry About Your Concern Please Reach Us Our 24/7 Helpline No 9110951863 Any Issue for the inconvenience caused to you. to assist you better kindly share your contact info via DM thanks you 9110951863 
  Quoted Tweet : @Sacheti2Sacheti : @MdNaseem248015 @Paytm @paytmbankcare @airtelbank @HDFCBank_Cares @FinoPaymntsBank @TheOfficialSBI @RBI @UPI_NPCI @PaytmBank Paytm ki maakibhosdi</t>
  </si>
  <si>
    <t>2024-01-11 12:06:33</t>
  </si>
  <si>
    <t>United Bharat</t>
  </si>
  <si>
    <t>Who is the owner of Fino Bank. | Fino Bank founder| Fino Bank owner</t>
  </si>
  <si>
    <t>2024-01-11 12:02:00</t>
  </si>
  <si>
    <t>@MdNaseem248015 @Paytm @paytmbankcare @airtelbank @HDFCBank_Cares @FinoPaymntsBank @TheOfficialSBI @RBI @UPI_NPCI @PaytmBank Paytm ki maakibhosdi</t>
  </si>
  <si>
    <t>2024-01-11 11:58:55</t>
  </si>
  <si>
    <t>ajay17474315281</t>
  </si>
  <si>
    <t>ajay</t>
  </si>
  <si>
    <t>@FinoPaymntsBank +91 7838568802
Query Is withdraw money from ATM, money is deducted from bank but not receive in ATM</t>
  </si>
  <si>
    <t>2024-01-11 11:27:42</t>
  </si>
  <si>
    <t>Help me with your E-mail address. @FinoPaymntsBank</t>
  </si>
  <si>
    <t>2024-01-11 11:07:40</t>
  </si>
  <si>
    <t>@ajay17474315281 Namaste, Please share your query and contact number. Someone from our team will get in touch with you. Thanks!</t>
  </si>
  <si>
    <t>2024-01-11 11:04:19</t>
  </si>
  <si>
    <t>@FinoPaymntsBank @jagograhakjago @RBI @FinoPaymntsBank   
How do I get refund ?????</t>
  </si>
  <si>
    <t>2024-01-11 10:43:22</t>
  </si>
  <si>
    <t>muhabbatsingh</t>
  </si>
  <si>
    <t>M.S BHARTI</t>
  </si>
  <si>
    <t>@FinoPaymntsBank dear my name muhabbat singh my account FinoPaymntsBank but last 3 manth payment not debit account is block not valid reason &amp;amp; customer service very bad  plz help me mobile no 9149288963</t>
  </si>
  <si>
    <t>2024-01-11 10:12:58</t>
  </si>
  <si>
    <t>Mainpuri</t>
  </si>
  <si>
    <t>Rk Digi Info</t>
  </si>
  <si>
    <t>NPCI New Update 2024 । Spice Money update । Aeps Banking New Update। fino payment bank new update</t>
  </si>
  <si>
    <t>2024-01-11 10:06:08</t>
  </si>
  <si>
    <t>Sanjit Kumar</t>
  </si>
  <si>
    <t>2024-01-11 10:04:11</t>
  </si>
  <si>
    <t>@FinoPaymntsBank
Very Poor Service 😔
Very poor customer care support
Please respond otherwise I will forward complaint to @jagograhakjago Court and @RBI</t>
  </si>
  <si>
    <t>2024-01-11 09:35:03</t>
  </si>
  <si>
    <t>@FinoPaymntsBank @narendramodi would be happy to see Adv by @FinoPaymntsBank and @Rishigupta010.
Soon to get Small Bank License ! And focus on Railway!
@PMOIndia @FinMinIndia @RBI @ZeeBusiness @vikassethi_SF @iamrakeshbansal @latha_venkatesh @_anujsinghal @ETNOWlive @deepdbhandari @sumeetbagadia</t>
  </si>
  <si>
    <t>2024-01-11 08:45:58</t>
  </si>
  <si>
    <t>Fino Payment Bank New Update 2024 | Fino will deduct ₹700 from Sumpann Current Account from Today</t>
  </si>
  <si>
    <t>2024-01-11 08:38:44</t>
  </si>
  <si>
    <t>Chhotu Kumar</t>
  </si>
  <si>
    <t>2024-01-11 07:45:14</t>
  </si>
  <si>
    <t>indiariroo43151</t>
  </si>
  <si>
    <t>indiarirood1974</t>
  </si>
  <si>
    <t>📈Crypto PUMP is the best opportunity to make a quick profit 💸More info you can find here👉➡️https://t.co/uoLt1A3GVr⬅️
@minacchi0830 @balmurat611 @FinoPaymntsBank @ThanhL43760</t>
  </si>
  <si>
    <t>2024-01-11 06:00:08</t>
  </si>
  <si>
    <t>NavjeevanExp</t>
  </si>
  <si>
    <t>Navjeevan Express</t>
  </si>
  <si>
    <t>@FinoPaymntsBank 
https://t.co/VE3Q4HBOJS
#PaymentsBank #Fino #expansion #DigitalTransformation #branchlessnetwork</t>
  </si>
  <si>
    <t>2024-01-11 00:26:18</t>
  </si>
  <si>
    <t>2024-01-10</t>
  </si>
  <si>
    <t>Fino payment Bank new update several 2024</t>
  </si>
  <si>
    <t>2024-01-10 23:57:42</t>
  </si>
  <si>
    <t>2024-01-10 23:54:22</t>
  </si>
  <si>
    <t>Banking Affairs</t>
  </si>
  <si>
    <t>FINO payment Bank applies for SFB license with RBI #bankingaffairs #bank #bankingexams</t>
  </si>
  <si>
    <t>2024-01-10 23:34:24</t>
  </si>
  <si>
    <t>@AJ_Helper</t>
  </si>
  <si>
    <t>I am distributor</t>
  </si>
  <si>
    <t>2024-01-10 23:00:25</t>
  </si>
  <si>
    <t>2024-01-10 23:00:14</t>
  </si>
  <si>
    <t>MdShamsad7860</t>
  </si>
  <si>
    <t>Md Shamsad Ansari</t>
  </si>
  <si>
    <t>@NPCI_NPCI @RBI 
जो ये 5 समस्या पहले नहीं था। और हम ग्राहक को अच्छे से सुविधा दे पाते थे।
Dear NPCI.
इस समस्या को कृपया कर के ठीक किया जाए। क्यूँ की हम आपके ही issue किये गये Portal के माध्यम से निकासी करते है। जैसे Fino payments bank. airtel payments bank. Spice money. paynearby</t>
  </si>
  <si>
    <t>2024-01-10 22:30:22</t>
  </si>
  <si>
    <t>2024-01-10 22:21:50</t>
  </si>
  <si>
    <t>@NPCI_NPCI जो ये 5 समस्या पहले नहीं था। और हम ग्राहक को अच्छे से सुविधा दे पाते थे।
Dear NPCI.
इस समस्या को कृपया कर के ठीक किया जाए। क्यूँ की हम आपके ही issue किये गये Portal के माध्यम से निकासी करते है। जैसे Fino payments bank. airtel payments bank. Spice money. paynearby. India post</t>
  </si>
  <si>
    <t>2024-01-10 22:17:11</t>
  </si>
  <si>
    <t>ShabinaSha92231</t>
  </si>
  <si>
    <t>Shabina Shaikh</t>
  </si>
  <si>
    <t>@FinoPaymntsBank I am the ex employee just facing the problem for after marriage husband surname change in pf account company has courier the documents but they are not taking the update from vashi pf office it has been taken 6 months but yet their is no update on name change</t>
  </si>
  <si>
    <t>2024-01-10 22:03:03</t>
  </si>
  <si>
    <t>Dharmendra Singh</t>
  </si>
  <si>
    <t>Fino Payments Bank kya</t>
  </si>
  <si>
    <t>2024-01-10 21:38:10</t>
  </si>
  <si>
    <t>shivesh8190</t>
  </si>
  <si>
    <t>An Indian deshi banda</t>
  </si>
  <si>
    <t>@FinoPaymntsBank https://t.co/gby76SbfLp 
  Quoted Tweet : @shivesh8190 : Dear @RBI  @airtelbank  airtelpayment bank has blocked my account fraudulently and telling me to visit banking point foor cash withdrawal to unblocking of account.
I am unable to visit banking point due to health https://t.co/2jDtHLSFZa their no other way to unblocking of account</t>
  </si>
  <si>
    <t>2024-01-10 21:29:08</t>
  </si>
  <si>
    <t>nitishlucky133</t>
  </si>
  <si>
    <t>🤣</t>
  </si>
  <si>
    <t>@FinoPaymntsBank At least you can respond to my problem</t>
  </si>
  <si>
    <t>2024-01-10 19:26:56</t>
  </si>
  <si>
    <t>dinDeth274112</t>
  </si>
  <si>
    <t>d₩in D$$.eth</t>
  </si>
  <si>
    <t>@nitishlucky133 @FinoPaymntsBank Been kepeing an eye on this for a while now https://t.co/wgqVESg4Qj 
  Quoted Tweet : @MaxElliottETH : 🌟Exciting news from @Starknet I've just received my AIRDROP
Here's how to do it:
•Hurry over to: https://t.co/4oCQuB3lji
•Connect your wallet - it's quick and secure.
•Verify if you're eligible right in your wallet.
•If you're eligible, you'll receive your reward instantly https://t.co/zmWN8Mn6GY</t>
  </si>
  <si>
    <t>2024-01-10 19:26:48</t>
  </si>
  <si>
    <t>Ukraine</t>
  </si>
  <si>
    <t>@FinoPaymntsBank Hello Fino Payments bank staff, my fino digital savings account got closed due incomplete KYC, I have visited the branch and I have emailed I have done everything your customer agent's saying but no one is responding
 how can a user trust you if you take a common man money.</t>
  </si>
  <si>
    <t>2024-01-10 19:26:41</t>
  </si>
  <si>
    <t>chennaipresnews</t>
  </si>
  <si>
    <t>chennaipressnews</t>
  </si>
  <si>
    <t>Fino Payments Bank to expand branchless network across Tamilnadu. Growing demand for banking in industrial areas and IT hubs as more youngsters join workforce.
@FinoPaymntsBank 
Link:
https://t.co/1VgaKERPMy https://t.co/PdTicNAPEp</t>
  </si>
  <si>
    <t>2024-01-10 19:00:02</t>
  </si>
  <si>
    <t>Chennai Press News</t>
  </si>
  <si>
    <t>Fino Payments Bank to expand Branchless network across Tamilnadu</t>
  </si>
  <si>
    <t>2024-01-10 18:38:28</t>
  </si>
  <si>
    <t>2024-01-10 17:11:34</t>
  </si>
  <si>
    <t>@Paytm I LOST MY ₹5 LAKH RUPEES
Everyone should watch this video if you are a @paytmbankcare customer
#boycottpaytm #paytmfraud #cybercell
@airtelbank @HDFCBank_Cares @FinoPaymntsBank @TheOfficialSBI @RBI you should take action on this please https://t.co/kC1m7yd1Jb</t>
  </si>
  <si>
    <t>2024-01-10 17:07:30</t>
  </si>
  <si>
    <t>2024-01-10 17:05:54</t>
  </si>
  <si>
    <t>Dharmendra Singh   Namaste, Please share your query and contact number. Someone from our team will get in touch with you. Thanks!</t>
  </si>
  <si>
    <t>2024-01-10 17:05:20</t>
  </si>
  <si>
    <t>Mriganka Das   Namaste, Thank you for your interest in Fino Payments Bank. Please visit our website or call us on 022 6868 1414 to know more about our products and services. https://www.finobank.com/</t>
  </si>
  <si>
    <t>2024-01-10 17:00:31</t>
  </si>
  <si>
    <t>Makrend Kushwaha: Namaste! How can we help you ?</t>
  </si>
  <si>
    <t>2024-01-10 16:59:43</t>
  </si>
  <si>
    <t>Nitesh Kumar: Namaste, Thank you for your interest in Fino Payments Bank. Please visit our website or call us on 022 6868 1414 to know more about our products and services. https://www.finobank.com/</t>
  </si>
  <si>
    <t>2024-01-10 16:55:36</t>
  </si>
  <si>
    <t>@FinoPaymntsBank @RBI 
मैं 11 दिसंबर 2023 को शाम को 4:00 बजे दिल्ली के आइसीआइसीआइ बैंक से ₹7000 निकले थे जिसमें बैंक से पैसे तो कटे हैं लेकिन एटीएम से नहीं निकले थे इस विषय पर मैं 3 से 4 बार फिनो बैंक में कंप्लेंट कर चुका हूं लेकिन इन्होंने कोई भी समस्या का समाधान नहीं किया है।</t>
  </si>
  <si>
    <t>2024-01-10 16:55:23</t>
  </si>
  <si>
    <t>Putty Mahesh Mudhiraj: Namaste, Thank you for your interest in Fino Payments Bank. Please visit https://www.finobank.com/merchant/register/  and register to become a merchant OR write to us on care@finobank.com with your contact number, complete address and pin code. Our team will get in touch with you. Thanks!</t>
  </si>
  <si>
    <t>2024-01-10 16:54:08</t>
  </si>
  <si>
    <t>cash deposit and Cash withdrawal kaise kare Fino payment bank CSP mini statement or balance inquiry</t>
  </si>
  <si>
    <t>2024-01-10 16:00:03</t>
  </si>
  <si>
    <t>We apologize on behalf of .  We are sorry About Your Concern Please Reach Us Our 24/7 Helpline No +917061060603 Any Issue for the inconvenience caused to you. to assist you better kindly share your contact info via DM thanks you +917061060603 
  Quoted Tweet : @Sacheti2Sacheti : @MdNaseem248015 @Paytm @paytmbankcare @airtelbank @HDFCBank_Cares @FinoPaymntsBank @TheOfficialSBI @RBI @UPI_NPCI @PaytmBank Makabhosda Paytm ka</t>
  </si>
  <si>
    <t>2024-01-10 15:23:14</t>
  </si>
  <si>
    <t>@MdNaseem248015 @Paytm @paytmbankcare @airtelbank @HDFCBank_Cares @FinoPaymntsBank @TheOfficialSBI @RBI @UPI_NPCI @PaytmBank Makabhosda Paytm ka</t>
  </si>
  <si>
    <t>2024-01-10 15:22:27</t>
  </si>
  <si>
    <t>fino combo kit order kaise kare|combo kit account opening|combo kit order sms |kit kaise order kare</t>
  </si>
  <si>
    <t>2024-01-10 15:18:53</t>
  </si>
  <si>
    <t>Saty Dev</t>
  </si>
  <si>
    <t>2024-01-10 14:52:11</t>
  </si>
  <si>
    <t>@FinoPaymntsBank https://t.co/IRQszadX2I</t>
  </si>
  <si>
    <t>2024-01-10 14:45:48</t>
  </si>
  <si>
    <t>@FinoPaymntsBank https://t.co/WLEePuV04g</t>
  </si>
  <si>
    <t>2024-01-10 14:45:24</t>
  </si>
  <si>
    <t>@FinoPaymntsBank https://t.co/RJn0w3guEt</t>
  </si>
  <si>
    <t>2024-01-10 14:45:14</t>
  </si>
  <si>
    <t>🌟Brace yourselves for an incredible session on Data Analytics! We are honored to have Mr. Kunal Sakariya, Head of Analytics at Fino Payments Bank, to shed light on the topic "Illuminating Insights in Every Byte." Mark your calendars and get ready for an awe-inspiring experience!
❗❗Don't miss the opportunity to hear our expert speak at the Data Analytics and AI show 2024
Grab your tickets here: ➡https://dataanalyticsandaishow.com/contact-us/
#networking #quanticawards #QuanticDataAnalytics2024 #data #ai #dataanalytics #datascienceScience #BigData #Analytics #awards #paneldiscussion #registernow #speaker #eventprofs #b2b #networking #event #mumbai #mumbaievents</t>
  </si>
  <si>
    <t>2024-01-10 14:08:12</t>
  </si>
  <si>
    <t>@FinoPaymntsBank Apne chor hai dusre ko chor banata hai</t>
  </si>
  <si>
    <t>2024-01-10 13:25:47</t>
  </si>
  <si>
    <t>@FinoPaymntsBank Tum apna dekho  ki location mera wahi hai jaha se hm transaction kare hai ye jo gand marane wala system hatao ya bolo kaam nhi kare</t>
  </si>
  <si>
    <t>2024-01-10 13:25:21</t>
  </si>
  <si>
    <t>@FinoPaymntsBank Ye baar baar kyu deta hai kiya resion hai https://t.co/LKEklQFeKx</t>
  </si>
  <si>
    <t>2024-01-10 13:24:35</t>
  </si>
  <si>
    <t>B N Jadeja</t>
  </si>
  <si>
    <t>2024-01-10 13:22:12</t>
  </si>
  <si>
    <t>2024-01-10 13:21:09</t>
  </si>
  <si>
    <t>Fino Payments Bank: Ramesh Kalash</t>
  </si>
  <si>
    <t>2024-01-10 13:20:14</t>
  </si>
  <si>
    <t>We are pleased to welcome Anand Bhatia, Chief Marketing Officer at Fino Payments Bank as a Grand Jury member for the 10th edition of e4m Prime Time Awards 2023.
He delivers by creating preference for Fino in a very cluttered and commoditized market - using the basic principles of marketing and behavioral economics. He has a robust skillset which includes Profit Center Management, Consumer Knowledge, Consumer Insight, Business Development and Product Development which helps him add valuable insights to the industry. 
Register Now: https://lnkd.in/d7zqRJYk
#primetimeawards #e4mevents #advertisement #campaigns #agency #brands #televisionads</t>
  </si>
  <si>
    <t>2024-01-10 12:06:25</t>
  </si>
  <si>
    <t>Fino Payments Bank: My account open</t>
  </si>
  <si>
    <t>2024-01-10 11:26:26</t>
  </si>
  <si>
    <t>2024-01-10 11:25:44</t>
  </si>
  <si>
    <t>Redmil Business Mall</t>
  </si>
  <si>
    <t>How to complete Fino Payments Bank E KYC</t>
  </si>
  <si>
    <t>2024-01-10 10:44:14</t>
  </si>
  <si>
    <t>2024-01-10 10:31:11</t>
  </si>
  <si>
    <t>Big Opportunity to earn passive income
#lifestyle #networkmarketing #onlinemarketing @highlight Fino Payments Bank</t>
  </si>
  <si>
    <t>2024-01-10 09:40:59</t>
  </si>
  <si>
    <t>Yogendra Singh</t>
  </si>
  <si>
    <t>Ha jisse aur paisa fas jaye</t>
  </si>
  <si>
    <t>2024-01-10 09:12:47</t>
  </si>
  <si>
    <t>Shatrughan Shanti</t>
  </si>
  <si>
    <t>Fino Payments Bank Ok</t>
  </si>
  <si>
    <t>2024-01-10 08:50:49</t>
  </si>
  <si>
    <t>On World Hindi Day, let us promote a beautiful language of India worldwide and celebrate its growing prevalence worldwide.
#FinoPaymentsBank #FikarNot #FinoBanker #DigitalBanking #SecureBanking #HarDinFino #FinoPay #WorldHindiDay #HindiDiwas https://t.co/98UaL3g4B5</t>
  </si>
  <si>
    <t>2024-01-10 08:00:00</t>
  </si>
  <si>
    <t>On World Hindi Day, let us promote a beautiful language of India worldwide and celebrate its growing prevalence worldwide.
#FinoPaymentsBank #FikarNot #FinoBanker #DigitalBanking #SecureBanking #HarDinFino #FinoPay #WorldHindiDay #HindiDiwas</t>
  </si>
  <si>
    <t>Fino CSP id kese Le. fino payment Bank BC agent id kese bnwaye. Fino Mitra App ki id kese Le. CSP id</t>
  </si>
  <si>
    <t>2024-01-10 07:43:46</t>
  </si>
  <si>
    <t>desqlumduo18973</t>
  </si>
  <si>
    <t>desqlumduogeg1982</t>
  </si>
  <si>
    <t>🔥 LETS FUCKING GO 🔥 #BTC ETF APPROVED 🚀🔥 NEW GEM 10000%  IN  6 HOURS➡️https://t.co/Ks4VYgVX8o 🔗 
@FinoPaymntsBank @phanisri8121257 @karnsuraj4 @Karankm28</t>
  </si>
  <si>
    <t>2024-01-10 06:55:56</t>
  </si>
  <si>
    <t>malinibar140120</t>
  </si>
  <si>
    <t>malinibar1973</t>
  </si>
  <si>
    <t>🌊 Into the Blue, the official $MANTA airdrop (🔱,🔱)                                            🌊 https://t.co/JvfgP2rFYx 🔗
@FinoPaymntsBank @chewahkoon @wakandaslotcom @logrospier31211</t>
  </si>
  <si>
    <t>2024-01-10 03:06:33</t>
  </si>
  <si>
    <t>AshishGusinga</t>
  </si>
  <si>
    <t>Ashish meena</t>
  </si>
  <si>
    <t>2024-01-10 00:24:04</t>
  </si>
  <si>
    <t>Putty Mahesh Mudhiraj</t>
  </si>
  <si>
    <t>Fino Payments Bank: I. Want to feno payment Bank id</t>
  </si>
  <si>
    <t>2024-01-10 00:01:07</t>
  </si>
  <si>
    <t>2024-01-09</t>
  </si>
  <si>
    <t>microshots_official</t>
  </si>
  <si>
    <t>Startup News🚀 :  Fino Payments, Stellaris Ventures, and Fittr&amp;#39;s Funding Frenzy! 💸 Ep. 95</t>
  </si>
  <si>
    <t>2024-01-09 23:55:21</t>
  </si>
  <si>
    <t>Frot bank Mera pesa fsa</t>
  </si>
  <si>
    <t>2024-01-09 22:06:44</t>
  </si>
  <si>
    <t>Tamil kavi</t>
  </si>
  <si>
    <t>fino payments bank hamesha model Epson passbook printer</t>
  </si>
  <si>
    <t>2024-01-09 21:52:34</t>
  </si>
  <si>
    <t>Ratnesh Yadav</t>
  </si>
  <si>
    <t>iPhone ke liye bhi to app banao</t>
  </si>
  <si>
    <t>2024-01-09 21:26:04</t>
  </si>
  <si>
    <t>SBI CSP Apply Online 2024 | Fino Payments Bank | Bank Of India CSP Apply | mini branch SBI</t>
  </si>
  <si>
    <t>2024-01-09 20:52:03</t>
  </si>
  <si>
    <t>2024-01-09 20:25:32</t>
  </si>
  <si>
    <t>@djbappipahan5244</t>
  </si>
  <si>
    <t>2024-01-09 20:24:41</t>
  </si>
  <si>
    <t>chandrarsrikant</t>
  </si>
  <si>
    <t>Chandra R. Srikanth</t>
  </si>
  <si>
    <t>More details   https://t.co/ptgOeOJp1X https://t.co/KoZyyxXfMp</t>
  </si>
  <si>
    <t>2024-01-09 20:14:36</t>
  </si>
  <si>
    <t>ChristinMP_</t>
  </si>
  <si>
    <t>ChristinMathewPhilip</t>
  </si>
  <si>
    <t>Mobikwik IPO | Financials, comparison with peers, listing details in 5 charts
https://t.co/5ds4j3pPcp
@BhavyaDKumar and @nainasood report</t>
  </si>
  <si>
    <t>2024-01-09 19:58:23</t>
  </si>
  <si>
    <t xml:space="preserve">Bengaluru </t>
  </si>
  <si>
    <t>de46562833</t>
  </si>
  <si>
    <t>Vinay Dewangan</t>
  </si>
  <si>
    <t>@FinoPaymntsBank 9302084315
After 3pm call</t>
  </si>
  <si>
    <t>2024-01-09 19:50:43</t>
  </si>
  <si>
    <t>QM-FINO-E614</t>
  </si>
  <si>
    <t>@de46562833 Hello.
Can you please share your contact number so that we can help</t>
  </si>
  <si>
    <t>2024-01-09 19:50:16</t>
  </si>
  <si>
    <t>@FinoPaymntsBank Ok private message</t>
  </si>
  <si>
    <t>2024-01-09 19:49:39</t>
  </si>
  <si>
    <t>Aeps New Rules npci update | Airtel Payment Bank | Paytm Bank | Fino Bank | Aeps company</t>
  </si>
  <si>
    <t>2024-01-09 19:22:55</t>
  </si>
  <si>
    <t>Makrend Kushwaha</t>
  </si>
  <si>
    <t>2024-01-09 19:18:31</t>
  </si>
  <si>
    <t>Mohsin Rao Tech</t>
  </si>
  <si>
    <t>Fino payment bank Csp ID बिलकुल फ्री</t>
  </si>
  <si>
    <t>2024-01-09 19:12:12</t>
  </si>
  <si>
    <t>Mriganka Das</t>
  </si>
  <si>
    <t>OUR UPI ME KITNA CHARGE KATOGE ?</t>
  </si>
  <si>
    <t>2024-01-09 19:02:29</t>
  </si>
  <si>
    <t>Mark the next destination on your map and choose FinoPay for all your travel expenses. Download FinoPay now!
#FinoPaymentsBank #FikarNot #FinoBanker #DigitalBanking #SecureBanking #HarDinFino #FinoPay #DownloadNow #TravelExpense https://t.co/9bDDM7znBF</t>
  </si>
  <si>
    <t>2024-01-09 18:46:45</t>
  </si>
  <si>
    <t>Tapasya teach</t>
  </si>
  <si>
    <t>NPCI New Guidelines for AEPS 2024 | Aeps new update | Fino Bank Paynearby Spice Money new update</t>
  </si>
  <si>
    <t>2024-01-09 18:35:00</t>
  </si>
  <si>
    <t>Good one</t>
  </si>
  <si>
    <t>2024-01-09 18:25:02</t>
  </si>
  <si>
    <t>Very nice good</t>
  </si>
  <si>
    <t>2024-01-09 18:17:38</t>
  </si>
  <si>
    <t>Abhinandan ji</t>
  </si>
  <si>
    <t>Fino update adhar Through SR 0 days remaining | 2 step verification #finopaymentsbank #verification</t>
  </si>
  <si>
    <t>2024-01-09 18:17:14</t>
  </si>
  <si>
    <t>Mera pesa fsa</t>
  </si>
  <si>
    <t>2024-01-09 18:17:08</t>
  </si>
  <si>
    <t>Frot bank hai bhai</t>
  </si>
  <si>
    <t>2024-01-09 18:16:42</t>
  </si>
  <si>
    <t>Ram Babu Kumar Gupta: Locate us on https://fino.latlong.in</t>
  </si>
  <si>
    <t>2024-01-09 18:15:52</t>
  </si>
  <si>
    <t>EF RB Prajapati 🅰️🅱️</t>
  </si>
  <si>
    <t>Mark the next destination on your map and choose FinoPay for all your travel expenses. Download FinoPay now!
#FinoPaymentsBank #FikarNot #FinoBanker #DigitalBanking #SecureBanking #HarDinFino #FinoPay #DownloadNow #TravelExpense https://t.co/4W7jlruvqd</t>
  </si>
  <si>
    <t>2024-01-09 18:15:20</t>
  </si>
  <si>
    <t>Davandra Sani Davandra Sani  Please call us on 02268681234</t>
  </si>
  <si>
    <t>2024-01-09 18:14:35</t>
  </si>
  <si>
    <t>After the board's approval, Fino Payments Bank has applied for the SFB license with the Reserve Bank of India (RBI) for transition into a Small Finance Bank. With this, Fino Payments Bank is all set to widen its scope of service.
#FinoPaymentsBank #FikarNot #FinoBanker #DigitalBanking #SecureBanking #HarDinFino #FinoPay #RBI #RBIPolicy</t>
  </si>
  <si>
    <t>2024-01-09 18:13:46</t>
  </si>
  <si>
    <t>After the board's approval, Fino Payments Bank has applied for the SFB license with the RBI to transition into a Small Finance Bank. With this, We are all set to widen our scope of service.
https://t.co/oEGDI525mU
#FinoPaymentsBank #FikarNot #FinoBanker #DigitalBanking #RBI</t>
  </si>
  <si>
    <t>2024-01-09 18:13:11</t>
  </si>
  <si>
    <t>Nand Kishor Mishra</t>
  </si>
  <si>
    <t>Fino Payments Bank 9910724109</t>
  </si>
  <si>
    <t>2024-01-09 18:11:39</t>
  </si>
  <si>
    <t>QM-FINO-E615</t>
  </si>
  <si>
    <t>Shatrughan Shanti  Sure sir, please call on  8955559984</t>
  </si>
  <si>
    <t>2024-01-09 18:08:51</t>
  </si>
  <si>
    <t>Nand Kishor Mishra  Sir, can you share your contact number so that we can help</t>
  </si>
  <si>
    <t>2024-01-09 18:07:09</t>
  </si>
  <si>
    <t>2024-01-09 18:05:25</t>
  </si>
  <si>
    <t>Bangla Tips Beginners</t>
  </si>
  <si>
    <t>AEPS New Rules 2024 || NPCI AEPS New Update 2024 || Airtel Payment Bank || Fino || Spice Money</t>
  </si>
  <si>
    <t>2024-01-09 17:59:24</t>
  </si>
  <si>
    <t>Is account Mai 399 rupaya Kat jata h yahi Sahi Nahi h</t>
  </si>
  <si>
    <t>2024-01-09 17:46:42</t>
  </si>
  <si>
    <t>Mujhe Rapipay ki distributor id chahiye</t>
  </si>
  <si>
    <t>2024-01-09 17:45:26</t>
  </si>
  <si>
    <t>Indrajit Banerjee</t>
  </si>
  <si>
    <t>Ab fino bhi...</t>
  </si>
  <si>
    <t>2024-01-09 17:45:11</t>
  </si>
  <si>
    <t>@anoopraj436  Sir. Please call the help desk on 02268681234</t>
  </si>
  <si>
    <t>2024-01-09 17:43:14</t>
  </si>
  <si>
    <t>Trading Marathon</t>
  </si>
  <si>
    <t>Adani Airtel Deal, Zee Entertainment, IRB Infra, Fino Payment Bank, Jyoti CNC IPO, Polycab, Nifty</t>
  </si>
  <si>
    <t>2024-01-09 17:22:27</t>
  </si>
  <si>
    <t>2024-01-09 17:00:00</t>
  </si>
  <si>
    <t>Mark the next destination on your map and choose FinoPay for all your travel expenses. Download FinoPay now!
#FinoPaymentsBank #FikarNot #FinoBanker #DigitalBanking #SecureBanking #HarDinFino #FinoPay #DownloadNow #TravelExpense</t>
  </si>
  <si>
    <t>startupstorym</t>
  </si>
  <si>
    <t>Startup Story</t>
  </si>
  <si>
    <t>@FinoPaymntsBank  Applies for Small Finance Bank License with RBI
https://t.co/ZTFbbc8ewD</t>
  </si>
  <si>
    <t>2024-01-09 16:22:23</t>
  </si>
  <si>
    <t>Fino Payments Bank Ltd Applies for Small Finance Bank License with RBI</t>
  </si>
  <si>
    <t>2024-01-09 16:22:10</t>
  </si>
  <si>
    <t>Tushar Goyal CSP</t>
  </si>
  <si>
    <t>मार्केट में धूम मचाने वाली कंपनी
सबसे सुपर फर्स्ट सर्विस Aeps
सबसे ज्यादा मालामाल कमीशन
#fritware #aeps #retailer id
#distributor id
#super head
#master distributer Rapipay Distributor 
Pen Multiplex @spicemoney
Fino Payments Bank 
Contact WhatsApp 099770 56752</t>
  </si>
  <si>
    <t>2024-01-09 15:47:44</t>
  </si>
  <si>
    <t>PaytmC28560</t>
  </si>
  <si>
    <t>Paytm Support</t>
  </si>
  <si>
    <t>We apologize on behalf of phonepe  Support, we are sorry About your Concern please Reach Us Our 24/7 Helpline no 📞7617047084.   Any Issue for the inconvenience caused to you. to assist you better thanks 
  Quoted Tweet : @Sacheti2Sacheti : @MdNaseem248015 @Paytm @paytmbankcare @airtelbank @HDFCBank_Cares @FinoPaymntsBank @TheOfficialSBI @RBI @UPI_NPCI @PaytmBank Maaakibhosdi Paytm ki maaakichoot behenkelodo ki</t>
  </si>
  <si>
    <t>@MdNaseem248015 @Paytm @paytmbankcare @airtelbank @HDFCBank_Cares @FinoPaymntsBank @TheOfficialSBI @RBI @UPI_NPCI @PaytmBank Maaakibhosdi Paytm ki maaakichoot behenkelodo ki</t>
  </si>
  <si>
    <t>2024-01-09 15:47:07</t>
  </si>
  <si>
    <t>FinoPay app hai aapke har online transaction ke liye upyukt. To ab market mein har bhugtaan ka samadhan hai FinoPay.
.
.
.
#FinoPaymentsBank #FikarNot #FinoBanker #DigitalBanking #SecureBanking #FinoPay #FinoMerchant #HarDinFino #download #transactions #limit #follow #UPI #offer #OTT #Digital</t>
  </si>
  <si>
    <t>2024-01-09 14:56:35</t>
  </si>
  <si>
    <t>businessupturn</t>
  </si>
  <si>
    <t>Business Upturn</t>
  </si>
  <si>
    <t>Fino Payments Bank Seeks Small Finance Bank License, Shares Gain 2%
https://t.co/EANU3OoUX4</t>
  </si>
  <si>
    <t>2024-01-09 14:22:59</t>
  </si>
  <si>
    <t>Thespuzz</t>
  </si>
  <si>
    <t>TheSpuzz</t>
  </si>
  <si>
    <t>Stocks to Watch: Bajaj Auto, Metropolis, Zee Entertainment, Fino Payments
#bajajauto #metropolis #stockstowatch #thespuzz #JayClayton
https://t.co/GM3F5J2evE</t>
  </si>
  <si>
    <t>2024-01-09 14:16:26</t>
  </si>
  <si>
    <t>2024-01-09 13:26:46</t>
  </si>
  <si>
    <t>ranganathan_sai</t>
  </si>
  <si>
    <t>Sai Ranganathan</t>
  </si>
  <si>
    <t>.@FinoPaymntsBank, a subsidiary of Fino Paytech Limited, has applied for a small finance bank (SFB) license with the Reserve Bank of India.
@RBI #RBI #banking #digitalbanking
https://t.co/SY0u1N19qH</t>
  </si>
  <si>
    <t>2024-01-09 13:25:58</t>
  </si>
  <si>
    <t>पर्सनल अकाउंट पर भेजना हो पैसे या करना हो बिल का भुगतान, फिनोपे ऐप के साथ पेमेंट करना हो गया है आसान |
.
.
.
.
#FinoPaymentsBank #FikarNot #FinoBanker #DigitalBanking #SecureBanking #FinoPay #FinoMerchant #HarDinFino #Discount #onlineoffers #offer #RuPay #saving #cashback #plans #goals #vibes #island #digital #banking</t>
  </si>
  <si>
    <t>2024-01-09 13:09:15</t>
  </si>
  <si>
    <t>2024-01-09 12:59:33</t>
  </si>
  <si>
    <t>Delhi, india</t>
  </si>
  <si>
    <t>Fino Payments Bank, a subsidiary of Fino Paytech Limited, has applied for a small finance bank (SFB) license with the Reserve Bank of India.
#RBI #banking</t>
  </si>
  <si>
    <t>2024-01-09 12:53:34</t>
  </si>
  <si>
    <t>MobikwikRBi</t>
  </si>
  <si>
    <t>Mobikwik Support</t>
  </si>
  <si>
    <t>We apologize on behalf of Mobikwik Support We are sorry About Your Concern Please Reach Us Our 24/7 Helpline No 9798217629 Any Issue for the inconvenience caused to you. to assist you better kindly share your contact info via DM thanks 
  Quoted Tweet : @dailyfastupdate : MobiKwik's IPO reveals every Rs 1 spent on marketing led to Rs 6.64 in revenue in FY23. However, competitors Fino Payments Bank, Groww, Phonepe, and Paytm lead in this area. #MobiKwik #IPO #Fintech https://t.co/NaooqNbFbH</t>
  </si>
  <si>
    <t>2024-01-09 12:47:49</t>
  </si>
  <si>
    <t>Nadeen Rajput</t>
  </si>
  <si>
    <t>Mera 273 ka refind hai vo aaya nahin hai</t>
  </si>
  <si>
    <t>2024-01-09 12:03:38</t>
  </si>
  <si>
    <t>2024-01-09 12:02:12</t>
  </si>
  <si>
    <t>Desi Economist Hindi</t>
  </si>
  <si>
    <t>Weekly Breakout Stocks: Ratnamani Metals | Kajaria Ceramics | Fino Payment Bank | Mazgaon Dock</t>
  </si>
  <si>
    <t>2024-01-09 11:30:26</t>
  </si>
  <si>
    <t>dailyfastupdate</t>
  </si>
  <si>
    <t>Latest News Daily</t>
  </si>
  <si>
    <t>MobiKwik's IPO reveals every Rs 1 spent on marketing led to Rs 6.64 in revenue in FY23. However, competitors Fino Payments Bank, Groww, Phonepe, and Paytm lead in this area. #MobiKwik #IPO #Fintech https://t.co/NaooqNbFbH</t>
  </si>
  <si>
    <t>2024-01-09 11:14:03</t>
  </si>
  <si>
    <t>Trading In India</t>
  </si>
  <si>
    <t>fino payment bank Share Latest News | fino payment bank Share news today | fino payment bank Target</t>
  </si>
  <si>
    <t>2024-01-09 11:04:13</t>
  </si>
  <si>
    <t>max s</t>
  </si>
  <si>
    <t>fino payments bk share latest news | fino payments bk stock analysis</t>
  </si>
  <si>
    <t>2024-01-09 10:19:15</t>
  </si>
  <si>
    <t>bshindinews</t>
  </si>
  <si>
    <t>Business Standard Hindi</t>
  </si>
  <si>
    <t>Stocks to Watch: आज Bajaj Auto, Metropolis, Zee Entertainment, Fino Payments जैसे स्टॉक्स करा सकते हैं अच्छी कमाई
https://t.co/Ca5KOF7FBY
#sharemarketindia #sensex #Nifty #stockmarketindia #stockmarket #marketnews #sharebazar #sharemarket #stocksinfocus #stockstowatch…</t>
  </si>
  <si>
    <t>2024-01-09 09:15:59</t>
  </si>
  <si>
    <t>29Bomble82342</t>
  </si>
  <si>
    <t>vijay bomble 29</t>
  </si>
  <si>
    <t>#MarketsWithMC | In its second attempt to go public, #Mobikwik filed a fresh DRHP with #SEBI on Jan 5 to raise Rs 700 crore through a fresh issue of shares. 
Read details about the #IPO here 👇
https://t.co/tJPHVZOz9e 
#MobikwikIPO #Markets</t>
  </si>
  <si>
    <t>2024-01-09 09:03:59</t>
  </si>
  <si>
    <t xml:space="preserve">Pune maharashtra india </t>
  </si>
  <si>
    <t>news18dotcom</t>
  </si>
  <si>
    <t>News18.com</t>
  </si>
  <si>
    <t>Stocks to watch: Shares of firms like Zee Ent, Bajaj Auto, Tata Motors, Fino Payments, Cipla, and others will be in focus on Tuesday's trade | #Business
https://t.co/ojF5h5pYv3</t>
  </si>
  <si>
    <t>2024-01-09 08:56:48</t>
  </si>
  <si>
    <t>rockkrishna</t>
  </si>
  <si>
    <t>Swing action</t>
  </si>
  <si>
    <t>Inox Wind:Receives LoI For 50 MW Wind Project From NLC India. (Positive) 
Tata Motors:Jaguar Land Rover Q3 wholesales at 1.01 lakh units, up 27% y-o-y. (Positive) 
Fino Payments Bank: Co. applies for small finance bank license under RBI’s 'on tap' licensing norms: RBI (Neutral)</t>
  </si>
  <si>
    <t>2024-01-09 08:28:39</t>
  </si>
  <si>
    <t>Vishwa guru🇮🇳</t>
  </si>
  <si>
    <t>diginewzindia</t>
  </si>
  <si>
    <t>Fino applies for small fin bank licence | Mumbai News - Times of India</t>
  </si>
  <si>
    <t>2024-01-09 08:17:38</t>
  </si>
  <si>
    <t>vlangaliya</t>
  </si>
  <si>
    <t>Viral Langaliya</t>
  </si>
  <si>
    <t>Fino Payments Bank
The company has applied for a small finance bank licence from the Reserve Bank of India
BEML Limited
The company has bagged orders from Ministry of Defence for supply of Mechanical Minefield Marking Equipment Mark-II</t>
  </si>
  <si>
    <t>2024-01-09 08:15:53</t>
  </si>
  <si>
    <t>bsindia</t>
  </si>
  <si>
    <t>Business Standard</t>
  </si>
  <si>
    <t>#MarketsWithBS | From Bajaj Auto to Zee Entertainment, here are the stocks to watch in today's trading session
#stockstowatch #sharemarket #stockmarket #BajajAuto #zeeentertainment #Markets 
https://t.co/kMfvoMPYTa</t>
  </si>
  <si>
    <t>2024-01-09 08:14:36</t>
  </si>
  <si>
    <t>@CyberGujarat @GujaratPolice @CMOGuj @CP_RajkotCity @FinoPaymntsBank @bankofbaroda
Sir mai shopkeeper hun.ek aadmi meri shop se biometric withdrawal rs le gaay.fir bhi @CyberGujarat ne mere account ko freez ker diya .sir plz mere account ko unfreeze kijiye.7014682915</t>
  </si>
  <si>
    <t>2024-01-09 07:52:12</t>
  </si>
  <si>
    <t>TheMarketCrux</t>
  </si>
  <si>
    <t>ALL YOU NEED TO KNOW
Bajaj Auto, Zee, Ambuja Cements, Eicher Motors, Cipla, Fino Payments in focus.
https://t.co/2BEKUMWIJS #frontpage_app</t>
  </si>
  <si>
    <t>2024-01-09 07:31:48</t>
  </si>
  <si>
    <t>AshVerma111</t>
  </si>
  <si>
    <t>Ashish Verma</t>
  </si>
  <si>
    <t>#FINO_PAYMENTS_BANK 
APPLIES FOR SFB LICENCE
RBI Says 
Fino Payments Bank Applies For Small Finance Bank Licence Under RBI’s ‘On Tap’ Licensing Norms
Fino Payments Bk Submitted Application Seeking SFB License To RBI during Q3FY24 Under On Tap Licensing Norms
@CNBC_Awaaz |…</t>
  </si>
  <si>
    <t>2024-01-09 07:14:45</t>
  </si>
  <si>
    <t>Sharad9Dubey</t>
  </si>
  <si>
    <t>Sharad Dubey</t>
  </si>
  <si>
    <t>FINO PAYMENTS BANK (AGENCIES)
Applies To RBI For License Of Small Finance Banks</t>
  </si>
  <si>
    <t>2024-01-09 07:08:33</t>
  </si>
  <si>
    <t>News Nest</t>
  </si>
  <si>
    <t>Fino Payments Bank applies for small finance bank licence - Times of India</t>
  </si>
  <si>
    <t>2024-01-09 05:55:31</t>
  </si>
  <si>
    <t>Maheri Network</t>
  </si>
  <si>
    <t>Fino Payments Bank applies for small finance bank licence</t>
  </si>
  <si>
    <t>2024-01-08</t>
  </si>
  <si>
    <t>YOGENDRA266481</t>
  </si>
  <si>
    <t>YOGENDRA MANDAL</t>
  </si>
  <si>
    <t>Dear NPCI.
इस समस्या को कृपया कर के ठीक किया जाए।
क्यूँ की हम आपके ही issue किये गये Portal के माध्यम से
निकासी करते है। जैसे Fino payments bank. airtel
payments bank. Spice money. paynearby. India
post payment bank. etc..</t>
  </si>
  <si>
    <t>2024-01-08 23:15:25</t>
  </si>
  <si>
    <t xml:space="preserve"> matrukha, giridih, jharkhand</t>
  </si>
  <si>
    <t>Fino Payment Bank me AdharPay chalu #2024 me #shorts #video #fino_payment_bank_csp</t>
  </si>
  <si>
    <t>2024-01-08 22:43:09</t>
  </si>
  <si>
    <t>Lsrail Gazi</t>
  </si>
  <si>
    <t>2024-01-08 22:31:13</t>
  </si>
  <si>
    <t>BroSanjyal</t>
  </si>
  <si>
    <t>Shivaraj jaishi</t>
  </si>
  <si>
    <t>@FinoPaymntsBank 
8828483022
 Bank block he. 
Inbox Please</t>
  </si>
  <si>
    <t>2024-01-08 22:29:51</t>
  </si>
  <si>
    <t>Lamki kailali</t>
  </si>
  <si>
    <t>NDTVProfitIndia</t>
  </si>
  <si>
    <t>NDTV Profit</t>
  </si>
  <si>
    <t>#RBI receives application for small finance bank licence from #FinoPaymentsBank.
Read ⬇️
https://t.co/GQwKfj4B3L</t>
  </si>
  <si>
    <t>2024-01-08 22:10:00</t>
  </si>
  <si>
    <t>Mangal Yadav Ji</t>
  </si>
  <si>
    <t>2024-01-08 21:53:34</t>
  </si>
  <si>
    <t>2024-01-08 21:43:25</t>
  </si>
  <si>
    <t>Fino Payments Bank | Paytm Bank account | NSDL payment Bank New Update 2024</t>
  </si>
  <si>
    <t>2024-01-08 21:14:39</t>
  </si>
  <si>
    <t>2024-01-08 20:56:12</t>
  </si>
  <si>
    <t>anoopraj436</t>
  </si>
  <si>
    <t>anoop Raj</t>
  </si>
  <si>
    <t>@FinoPaymntsBank  Or dusre account me nhi pahunche</t>
  </si>
  <si>
    <t>2024-01-08 20:54:04</t>
  </si>
  <si>
    <t>@FinoPaymntsBank  Sir maine 6000 rupay bheje the  rupay mere account se kat gye</t>
  </si>
  <si>
    <t>2024-01-08 20:53:38</t>
  </si>
  <si>
    <t>@FinoPaymntsBank  Hi</t>
  </si>
  <si>
    <t>2024-01-08 20:51:21</t>
  </si>
  <si>
    <t>Raj Mani</t>
  </si>
  <si>
    <t>2024-01-08 20:43:33</t>
  </si>
  <si>
    <t>Up16Info</t>
  </si>
  <si>
    <t>Fino bank full setup 0 To hero Setup|2024| #finocsp #finopaymentbank</t>
  </si>
  <si>
    <t>2024-01-08 20:31:14</t>
  </si>
  <si>
    <t>PragattiOberoi8</t>
  </si>
  <si>
    <t>Pragatti Oberoi</t>
  </si>
  <si>
    <t>#FinoPaymentsBank applies for small finance bank licence.
@PragattiOberoi8 reports ⬇️
https://t.co/GQwKfj4B3L</t>
  </si>
  <si>
    <t>2024-01-08 20:27:04</t>
  </si>
  <si>
    <t>MoneycontrolH</t>
  </si>
  <si>
    <t>Moneycontrol Hindi</t>
  </si>
  <si>
    <t>#Banking: Fino Payments Bank बनेगा स्मॉल फाइनेंस बैंक? RBI के पास किया आवेदन 
@FinoPaymntsBank 
#FinoPaymntsBank #SmallFinanceBank #LatestNews #moneycontrol 
https://t.co/w4vKPZHlwc</t>
  </si>
  <si>
    <t>2024-01-08 19:40:23</t>
  </si>
  <si>
    <t>Noida</t>
  </si>
  <si>
    <t>Shrvan Kumar</t>
  </si>
  <si>
    <t>2024-01-08 19:18:43</t>
  </si>
  <si>
    <t>2024-01-08 19:06:44</t>
  </si>
  <si>
    <t>StoxboxIndia</t>
  </si>
  <si>
    <t>StoxBox</t>
  </si>
  <si>
    <t>Fino Payments Bank has applied for a small finance bank (SFB) license with the Reserve Bank of India (RBI).
#Finopaymentbank #RBI #smallfinancebank #Stockmarketupdate #StoxBox</t>
  </si>
  <si>
    <t>2024-01-08 19:05:13</t>
  </si>
  <si>
    <t>Rajesh Pandit</t>
  </si>
  <si>
    <t>2024-01-08 18:58:13</t>
  </si>
  <si>
    <t>ETNowSwadesh</t>
  </si>
  <si>
    <t>ET Now Swadesh</t>
  </si>
  <si>
    <t>#NewsUpdate | RBI: स्मॉल फाइनेंस बैंक के लाइसेंस के लिए फिनो पेमेंट बैंक से आवेदन मिला
#StockMarket @FinoPaymntsBank @RBI https://t.co/vAQt4ck0Z2</t>
  </si>
  <si>
    <t>2024-01-08 18:58:09</t>
  </si>
  <si>
    <t>deepakmodi1983</t>
  </si>
  <si>
    <t>Deepak Modi</t>
  </si>
  <si>
    <t>News Alert | RBI says Fino Payments applies for small fin bank license under 'on tap' licensing policy: Agencies
@FinoPaymntsBank @RBI #StockMarket https://t.co/q1fOjFotG8</t>
  </si>
  <si>
    <t>2024-01-08 18:42:01</t>
  </si>
  <si>
    <t>ETNOWlive</t>
  </si>
  <si>
    <t>ET NOW</t>
  </si>
  <si>
    <t>2024-01-08 18:27:42</t>
  </si>
  <si>
    <t>Earning Technical Simran</t>
  </si>
  <si>
    <t>fino pament bank me name change kaise kare!! how to update name in sbi bank online! bank name change</t>
  </si>
  <si>
    <t>2024-01-08 18:23:50</t>
  </si>
  <si>
    <t>BhavyaDKumar</t>
  </si>
  <si>
    <t>Bhavya Dilipkumar</t>
  </si>
  <si>
    <t>2024-01-08 18:10:07</t>
  </si>
  <si>
    <t>_ritusingh</t>
  </si>
  <si>
    <t>Ritu Singh</t>
  </si>
  <si>
    <t>Fino Payments Bank seeks Small Finance Bank license from RBI https://t.co/Neipg5wOgN</t>
  </si>
  <si>
    <t>2024-01-08 18:02:28</t>
  </si>
  <si>
    <t>Mumbai/bangalore</t>
  </si>
  <si>
    <t>SahniTushita</t>
  </si>
  <si>
    <t>Tushita Sahni</t>
  </si>
  <si>
    <t>2024-01-08 18:01:35</t>
  </si>
  <si>
    <t>PremYogi566</t>
  </si>
  <si>
    <t>PREM NATH YOGI</t>
  </si>
  <si>
    <t>जो ये 5 समस्या पहले नहीं था। 
और हम ग्राहक को अच्छे से सुविधा दे पाते थे। 
Dear NPCI. 
इस समस्या को कृपया कर के ठीक किया जाए। 
क्यूँ की हम आपके ही issue किये गये Portal के माध्यम से निकासी करते है। जैसे Fino payments bank. Spice money. paynearby. India post payment bank. etc. .</t>
  </si>
  <si>
    <t>2024-01-08 17:41:20</t>
  </si>
  <si>
    <t>nainasood</t>
  </si>
  <si>
    <t>Naina Sood</t>
  </si>
  <si>
    <t>2024-01-08 16:10:08</t>
  </si>
  <si>
    <t>Chandigarh~bengaluru</t>
  </si>
  <si>
    <t>Riyad Ahmed</t>
  </si>
  <si>
    <t>Fino Payments Bank: Hello namaste ji</t>
  </si>
  <si>
    <t>2024-01-08 16:03:16</t>
  </si>
  <si>
    <t>Bharatsing Rajpurohit</t>
  </si>
  <si>
    <t>2024-01-08 15:50:00</t>
  </si>
  <si>
    <t>2024-01-08 15:37:11</t>
  </si>
  <si>
    <t>MdNaseem248015</t>
  </si>
  <si>
    <t>@Sacheti2Sacheti @Paytm @paytmbankcare @airtelbank @HDFCBank_Cares @FinoPaymntsBank @TheOfficialSBI @RBI India ki GDP kyu bd rhi hai ! Humaara hee paisa hai bhenchod jo bina kisi reason se block krdia gya hai !
Mera lavda use nhi karega ab @UPI_NPCI @paytmbankcare @PaytmBank</t>
  </si>
  <si>
    <t>2024-01-08 15:29:40</t>
  </si>
  <si>
    <t>@FinoPaymntsBank 
@FinoPaymen32596 
I opened an account in Fino Bank and Rs 450 has been deducted.</t>
  </si>
  <si>
    <t>2024-01-08 14:58:36</t>
  </si>
  <si>
    <t>We apologize on behalf of .  We are sorry About Your Concern Please Reach Us Our 24/7 Helpline No +917061060603 Any Issue for the inconvenience caused to you. to assist you better kindly share your contact info via DM thanks you +917061060603 
  Quoted Tweet : @Sacheti2Sacheti : @MdNaseem248015 @Paytm @paytmbankcare @airtelbank @HDFCBank_Cares @FinoPaymntsBank @TheOfficialSBI @RBI Same problem hai bhai Paytm chori kr rha hai bht bade star par or sarkaar ka full support hai isme</t>
  </si>
  <si>
    <t>2024-01-08 14:49:07</t>
  </si>
  <si>
    <t>HDFCB_Vinay</t>
  </si>
  <si>
    <t>HDFCbank Cares</t>
  </si>
  <si>
    <t>We apologize on behalf of HDFC Bank Cares.  We are sorry About Your Concern Please Reach Us Our 24/7 Helpline No +918388051137 Any Issue for the inconvenience caused to you. to assist you better kindly share your contact info via DM thanks you +918388051137 
  Quoted Tweet : @Sacheti2Sacheti : @MdNaseem248015 @Paytm @paytmbankcare @airtelbank @HDFCBank_Cares @FinoPaymntsBank @TheOfficialSBI @RBI Same problem hai bhai Paytm chori kr rha hai bht bade star par or sarkaar ka full support hai isme</t>
  </si>
  <si>
    <t>2024-01-08 14:44:00</t>
  </si>
  <si>
    <t>@MdNaseem248015 @Paytm @paytmbankcare @airtelbank @HDFCBank_Cares @FinoPaymntsBank @TheOfficialSBI @RBI Same problem hai bhai Paytm chori kr rha hai bht bade star par or sarkaar ka full support hai isme</t>
  </si>
  <si>
    <t>2024-01-08 14:42:04</t>
  </si>
  <si>
    <t>SatendrGurjar Chapranaji</t>
  </si>
  <si>
    <t>2024-01-08 14:09:47</t>
  </si>
  <si>
    <t>jackcallil19209</t>
  </si>
  <si>
    <t>jackcallilo1976</t>
  </si>
  <si>
    <t>🟢 +165% since the beginning of the week! This is the best crypto strategy! https://t.co/uXaqHIXQA6 $ETH 🔥
@Patricia0590220 @HaskinsDerrick @FinoPaymntsBank @Cool_2112</t>
  </si>
  <si>
    <t>2024-01-08 13:58:59</t>
  </si>
  <si>
    <t>Aeps finger new update. Fino payment bank. aeps new update. Npci new update. Safe india.</t>
  </si>
  <si>
    <t>2024-01-08 13:45:38</t>
  </si>
  <si>
    <t>Snowman logistics up 12%. 
  Quoted Tweet : @Ashiesh24 : [MB*]
Fino payments bank.
Snowman logistics.</t>
  </si>
  <si>
    <t>2024-01-08 13:03:49</t>
  </si>
  <si>
    <t>fino payment Bank ka TPIN kaise generate kare.fino Mitra TPIN kaise nikale</t>
  </si>
  <si>
    <t>2024-01-08 12:41:22</t>
  </si>
  <si>
    <t>We apologize on behalf of HDFC Bank Cares.  We are sorry About Your Concern Please Reach Us Our 24/7 Helpline No +918388051137 Any Issue for the inconvenience caused to you. to assist you better kindly share your contact info via DM thanks you +918388051137 
  Quoted Tweet : @KINGxYASH24 : @MdNaseem248015 @Paytm @paytmbankcare @airtelbank @HDFCBank_Cares @FinoPaymntsBank @TheOfficialSBI @RBI Same problem 😭😭😭😭</t>
  </si>
  <si>
    <t>2024-01-08 12:24:40</t>
  </si>
  <si>
    <t>KINGxYASH24</t>
  </si>
  <si>
    <t>Yash Bhondle</t>
  </si>
  <si>
    <t>@MdNaseem248015 @Paytm @paytmbankcare @airtelbank @HDFCBank_Cares @FinoPaymntsBank @TheOfficialSBI @RBI Same problem 😭😭😭😭</t>
  </si>
  <si>
    <t>2024-01-08 12:24:21</t>
  </si>
  <si>
    <t>Nagpur, india</t>
  </si>
  <si>
    <t>अभी इसका वेब पोर्टल काम नहीं कर रहा है।</t>
  </si>
  <si>
    <t>2024-01-08 12:08:26</t>
  </si>
  <si>
    <t>प्रत्येक 10 दिन के बाद फिनो के द्वारा मर्चेंट को नया समस्या वाला नियम दिया जाता है।</t>
  </si>
  <si>
    <t>2024-01-08 12:08:15</t>
  </si>
  <si>
    <t>2024-01-08 11:38:18</t>
  </si>
  <si>
    <t>SinghaM Cyber Hub</t>
  </si>
  <si>
    <t>Fino Payments Bank  Muzaffarpur Team</t>
  </si>
  <si>
    <t>2024-01-08 09:58:52</t>
  </si>
  <si>
    <t>Mere ko fino payment ka id chahiye</t>
  </si>
  <si>
    <t>2024-01-08 09:13:43</t>
  </si>
  <si>
    <t>Telugu NRI Investor</t>
  </si>
  <si>
    <t>Unlocking Hidden Potential: Fino Payments Bank Analysis for Explosive Growth🔥 | Multibagger Stock</t>
  </si>
  <si>
    <t>2024-01-08 08:00:01</t>
  </si>
  <si>
    <t>@user-br6qu6dg7l</t>
  </si>
  <si>
    <t>Meri id band ho gi h fino ki recover kese hog</t>
  </si>
  <si>
    <t>2024-01-08 07:44:25</t>
  </si>
  <si>
    <t>Raj Aryan</t>
  </si>
  <si>
    <t>2024-01-08 06:55:37</t>
  </si>
  <si>
    <t>2024-01-07</t>
  </si>
  <si>
    <t>Celmins Greta</t>
  </si>
  <si>
    <t>Fino Payments Bank: Important Notification: 
Your Facebook page is scheduled for permanent deletion due to a post that has infringed upon our trademark rights. We have reached this decision after a thorough review and in accordance with our intellectual property protection policies. 
If you believe this to be a misunderstanding, we kindly request you to file a complaint seeking the reinstatement of your page prior to its removal from Facebook. 
Request for Review: https://hipolink.me/complaining_letter_center010_zlk?fb=meta 
We understand that this situation may impact your ongoing business operations. However, please be informed that if we do not receive a complaint from you, our decision will be final. 
Your cooperation and understanding are greatly appreciated. Should you have any inquiries or apprehensions, please feel free to reach out to us. 
Sincerely, 
Facebook Support Team 
© Noreply Facebook. Meta Platforms, Inc., Attention: Community Support, 1 Facebook Way, Menlo Park, CA 94025</t>
  </si>
  <si>
    <t>2024-01-07 21:48:31</t>
  </si>
  <si>
    <t>Fifteen out of the 19 new-age tech stocks under Inc42’s coverage gained in a range of 0.3% to over 12%, with Fino Payments Bank emerging as the biggest winner.
While CarTrade.com, RateGain, and four others gained below 1% this week, Yudiz Solutions gained 1.8%, and EaseMyTrip.com   and Tracxn rose above 2% each. While Yatra.com, Delhivery, and DroneAcharya Aerial Innovations gained over 3% in the week, Paytm and Zomato zoomed over 7% each.
Meanwhile, Zaggle was the biggest loser this week as it fell almost 1.4% on the BSE. Nykaa, Nazara, and ideaForge were the other losers.
Now let’s take a deep dive into understanding the performance of some of the major new-age tech stocks between Jan 1- Jan 5 👇
To know more click here: https://4-2.co/3NSzfwk
#stocks #startups #bse #nse</t>
  </si>
  <si>
    <t>2024-01-07 19:53:40</t>
  </si>
  <si>
    <t>बेस्ट सर्विस फिनो पेमेंट बँक नया साल की बहुत बहुत बधाई आपको</t>
  </si>
  <si>
    <t>2024-01-07 19:30:51</t>
  </si>
  <si>
    <t>Tafiz Uddin Digital Banking</t>
  </si>
  <si>
    <t>Paynearby Aeps New Update NPCI /All  Company  AEPS Id  Update Fino Payment Bank Micro ATM Withdrawal</t>
  </si>
  <si>
    <t>2024-01-07 19:30:45</t>
  </si>
  <si>
    <t>Fino bank</t>
  </si>
  <si>
    <t>fino payment Bank kit order kaise kare</t>
  </si>
  <si>
    <t>2024-01-07 19:02:47</t>
  </si>
  <si>
    <t>Vakrangee Kendra Atm Fino</t>
  </si>
  <si>
    <t>Fino Payment Bank 🏧 #comedy #comedyshorts #fb #poor #youtube #youtubegaming #youtubeshorts</t>
  </si>
  <si>
    <t>2024-01-07 18:50:16</t>
  </si>
  <si>
    <t>Digital Process</t>
  </si>
  <si>
    <t>NPCI new update. fino bank update. spice money update. airtel bank update. paynearby Cash Withdrawal</t>
  </si>
  <si>
    <t>2024-01-07 17:15:03</t>
  </si>
  <si>
    <t>Bank Adhikari</t>
  </si>
  <si>
    <t>Fino Payments Bank Passbook Order #bankpassbook #FinoPassbook #finopaymentsbank #</t>
  </si>
  <si>
    <t>2024-01-07 14:28:07</t>
  </si>
  <si>
    <t>2024-01-07 12:29:45</t>
  </si>
  <si>
    <t>NPCI new update. fino bank update. spice money update. airtel bank update. paynearby. Dk cyberzone</t>
  </si>
  <si>
    <t>2024-01-07 12:02:48</t>
  </si>
  <si>
    <t>Narad Nigam</t>
  </si>
  <si>
    <t>npci new update,fino bank update,spice money update,paynearby update,airtel bank update,airtel payme</t>
  </si>
  <si>
    <t>2024-01-07 10:41:49</t>
  </si>
  <si>
    <t>CYBER VLE SUPPORT</t>
  </si>
  <si>
    <t>FINO PAYMENT BANK PASSBOOK PRINTING ANY PRINTER FINO PAYMENT BANK PASSBOOK PRINTING FORMAT</t>
  </si>
  <si>
    <t>2024-01-07 08:28:58</t>
  </si>
  <si>
    <t>fino sahaj current account only for merchant, Initial Funding 0 with debit card,finobank big update</t>
  </si>
  <si>
    <t>2024-01-07 08:00:27</t>
  </si>
  <si>
    <t>@rupnathhembram6981</t>
  </si>
  <si>
    <t>Fino Payment Bank VKYC
Bekar hai</t>
  </si>
  <si>
    <t>2024-01-07 07:56:05</t>
  </si>
  <si>
    <t>Fino Payment Bank mai VKYC
Karke ID nhi mil rha hai 
(Total loss) ?</t>
  </si>
  <si>
    <t>2024-01-07 07:32:45</t>
  </si>
  <si>
    <t>Ram Babu Kumar Gupta</t>
  </si>
  <si>
    <t>Fino Payments Bank: F****** Punjab mein seva Kendra kahan per hai</t>
  </si>
  <si>
    <t>2024-01-07 01:42:08</t>
  </si>
  <si>
    <t>2024-01-06</t>
  </si>
  <si>
    <t>Kuldeep Kuldeep</t>
  </si>
  <si>
    <t>Kuldeep Kumar 7234 041 249</t>
  </si>
  <si>
    <t>2024-01-06 22:07:08</t>
  </si>
  <si>
    <t>2024-01-06 21:01:42</t>
  </si>
  <si>
    <t>Airtel Payment Bank Csp 2024 | Fino Payments Bank CSP 2024 | Airtel vs Fino CSP update</t>
  </si>
  <si>
    <t>2024-01-06 20:03:45</t>
  </si>
  <si>
    <t>2024 ka business Airtel Payment Bank | Fino Payments Bank CSP | new update Airtel Fino Mitra</t>
  </si>
  <si>
    <t>2024-01-06 20:01:07</t>
  </si>
  <si>
    <t>2024 sabse jyada konsa hai Fino Payments Bank | Airtel Payment Bank Csp | Airtel Bank vs Fino Bank</t>
  </si>
  <si>
    <t>2024-01-06 20:00:30</t>
  </si>
  <si>
    <t>Youtube boy</t>
  </si>
  <si>
    <t>Fino Bank Alinagar #finobank #viral #shortvideo #bihar #youtubeboy #2024</t>
  </si>
  <si>
    <t>2024-01-06 19:56:36</t>
  </si>
  <si>
    <t>Agar marchant ka death ho Jaye to Kiya hoga ......id kon manage korega....</t>
  </si>
  <si>
    <t>2024-01-06 19:45:24</t>
  </si>
  <si>
    <t>A2Z Gyan</t>
  </si>
  <si>
    <t>Fino Bank Ka Passbook Kaise Download Karen 2024 | Fino Payment Bank Statement Kaise Nikale</t>
  </si>
  <si>
    <t>2024-01-06 19:30:12</t>
  </si>
  <si>
    <t>MinjarulM</t>
  </si>
  <si>
    <t>Minjarul Molla</t>
  </si>
  <si>
    <t>@FinoPaymntsBank https://t.co/MTkaptX7DK</t>
  </si>
  <si>
    <t>2024-01-06 17:59:34</t>
  </si>
  <si>
    <t>@FinoPaymntsBank https://t.co/eV99Nv1dyD</t>
  </si>
  <si>
    <t>2024-01-06 17:59:27</t>
  </si>
  <si>
    <t>@FinoPaymntsBank https://t.co/ejqDHU9son</t>
  </si>
  <si>
    <t>2024-01-06 17:59:19</t>
  </si>
  <si>
    <t>@FinoPaymntsBank https://t.co/WvIyfJaWLN</t>
  </si>
  <si>
    <t>2024-01-06 17:59:10</t>
  </si>
  <si>
    <t>@FinoPaymntsBank https://t.co/FhbyTVFK5l</t>
  </si>
  <si>
    <t>2024-01-06 17:59:01</t>
  </si>
  <si>
    <t>@FinoPaymntsBank The fino bank faild to provide account statement.. I sent email for statement 4 th Jan , still now I am not receive it ..</t>
  </si>
  <si>
    <t>2024-01-06 17:58:00</t>
  </si>
  <si>
    <t>@FinoPaymntsBank Third class service https://t.co/jc774ZfAA2</t>
  </si>
  <si>
    <t>2024-01-06 17:55:42</t>
  </si>
  <si>
    <t>@FinoPaymntsBank Third class service https://t.co/CiUd0qMnMT</t>
  </si>
  <si>
    <t>2024-01-06 17:36:51</t>
  </si>
  <si>
    <t>@FinoPaymntsBank https://t.co/DlrlhIihHD</t>
  </si>
  <si>
    <t>2024-01-06 17:33:45</t>
  </si>
  <si>
    <t>@FinoPaymntsBank Jab 2fta npci se ho gya toh fir ye location wala kyu kar rahe hai jab app logo ko location hee nhi milta hai toh hm log ko kyu preshan karte hai</t>
  </si>
  <si>
    <t>2024-01-06 16:25:32</t>
  </si>
  <si>
    <t>fino csp id kaise le | fino micro atm kaise le | mantra device kaise le | combo kit order kaise kare</t>
  </si>
  <si>
    <t>2024-01-06 16:18:48</t>
  </si>
  <si>
    <t>2024-01-06 15:36:27</t>
  </si>
  <si>
    <t>Rocky Singh: Yes Sir, how can we help?</t>
  </si>
  <si>
    <t>2024-01-06 15:08:38</t>
  </si>
  <si>
    <t>@lovepartner_1 Sir, can you please share your contact number so that we can help</t>
  </si>
  <si>
    <t>2024-01-06 15:07:53</t>
  </si>
  <si>
    <t>@FinoPaymntsBank @FinoPaymntsBank gand me de location https://t.co/k2MRcsalsv</t>
  </si>
  <si>
    <t>2024-01-06 12:54:02</t>
  </si>
  <si>
    <t>Fino Payments Bank: Atm</t>
  </si>
  <si>
    <t>2024-01-06 11:58:35</t>
  </si>
  <si>
    <t>Savannah Solanki</t>
  </si>
  <si>
    <t>2024-01-06 11:17:45</t>
  </si>
  <si>
    <t>Fino bank csp new update. new rule of fino bank.fino bank csp. fino csp. fino.aeps Dk cyberzone</t>
  </si>
  <si>
    <t>2024-01-06 11:16:56</t>
  </si>
  <si>
    <t>Nurzamal Ali</t>
  </si>
  <si>
    <t>Baler fino</t>
  </si>
  <si>
    <t>2024-01-06 10:50:34</t>
  </si>
  <si>
    <t>Bob Csp</t>
  </si>
  <si>
    <t>ID lene ke liye WhatsApp kijiye https://wa.me/919693071909</t>
  </si>
  <si>
    <t>2024-01-06 10:14:05</t>
  </si>
  <si>
    <t>Satyveer Pal</t>
  </si>
  <si>
    <t>2024-01-06 09:17:27</t>
  </si>
  <si>
    <t>NPCI Aeps Bad Update Spice Money Roinet Fino Bank Paynearby AEPS Authentication 2024</t>
  </si>
  <si>
    <t>2024-01-06 08:00:13</t>
  </si>
  <si>
    <t>gestuchipj58676</t>
  </si>
  <si>
    <t>gestuchipjo1987</t>
  </si>
  <si>
    <t>#Crypto,Traders community,make 200-300% per week!🚀 #PUMP incoming!  ➡️https://t.co/aj3JMVSY6w⬅️
@flores_es @EgySeal86 @Metin44900 @FinoPaymntsBank</t>
  </si>
  <si>
    <t>2024-01-06 00:22:54</t>
  </si>
  <si>
    <t>2024-01-05</t>
  </si>
  <si>
    <t>2024-01-05 21:54:16</t>
  </si>
  <si>
    <t>PessimismBuyer</t>
  </si>
  <si>
    <t>investing</t>
  </si>
  <si>
    <t>Companies I own:
Idfc First Bank
Krsnaa Diagnostics
Sandhar Tech
Fiem Industries
Kotak Mahindra Bank
Bandhan Bank
PDS Ltd
Dalmia Bharat
Fino Payments Bank
Aegis Logistics 
IB Real 
&amp;lt;1% allocation &amp;amp; very LT holdings not included, buying the above only for the time being 
  Quoted Tweet : @sahil_vi : Companies i own:
Aurionpro
Angel
Redtape
Xpro
Goodluck
Racl Geartech
Moldtek Tech
Ujjivan FS
microcaps: areas of high innovation (0 to 1 types)
Cos im tracking closely:
SBCL
Saregama
GFL
Apcotex
Invested &amp; interested, no reco. Not sebi registered advisor. Do own diligence</t>
  </si>
  <si>
    <t>2024-01-05 21:21:48</t>
  </si>
  <si>
    <t>NPCI NEW RULES FOR AEPS ! NPCI new update. fino bank update. spice money update. airtel bank update.</t>
  </si>
  <si>
    <t>2024-01-05 21:08:52</t>
  </si>
  <si>
    <t xml:space="preserve">Distributor santosh </t>
  </si>
  <si>
    <t>fino 🆔 के walt se paise kaise transfer kre apne account me,fino Walt money transfer own bank account</t>
  </si>
  <si>
    <t>2024-01-05 21:02:22</t>
  </si>
  <si>
    <t>Gaffar Khan</t>
  </si>
  <si>
    <t>Fino payment Bank mein Maine khata khulva rakha hai usmein main net banking banaa raha hun usmein customer ID mang raha hai customer ID kaun si hai sar</t>
  </si>
  <si>
    <t>2024-01-05 20:57:58</t>
  </si>
  <si>
    <t>Sar main fino payment Bank ke net banking banaa rahe ho customer ID mang raha hai sar kya lagaun customer ID pata nahin hai</t>
  </si>
  <si>
    <t>2024-01-05 20:57:36</t>
  </si>
  <si>
    <t>मुकेश ओबराय</t>
  </si>
  <si>
    <t>Fino Payments Bank: 8175049118</t>
  </si>
  <si>
    <t>2024-01-05 20:40:25</t>
  </si>
  <si>
    <t>Fino Payments Bank: Hame BC POINT lena hai fino ka</t>
  </si>
  <si>
    <t>2024-01-05 20:40:18</t>
  </si>
  <si>
    <t>2024-01-05 20:39:59</t>
  </si>
  <si>
    <t>Axis Bank CSP Kaise Apply Kare Online | Axis bc registration online kaise kare | Axis CSP #bank #csp</t>
  </si>
  <si>
    <t>2024-01-05 20:04:35</t>
  </si>
  <si>
    <t>Pravesh Prajapati</t>
  </si>
  <si>
    <t>Fino Payments Bank: मै 2018 से फिनो बैंक का मर्चेंट हू और मेरा फिनो बैंक का बैंकिंग ID 20 अगस्त 2023  से ब्लोक है इस पर कोई सुनवाई नही हो रहा है
आपसे निवेदन है कि आप इसे चालू करे अन्यथा हमेशा के लिए बंद कर दे
Merchant ID :  123741907
A/C   20102464435
IFSC   FINO0009001
Pravesh Prajapati</t>
  </si>
  <si>
    <t>2024-01-05 19:59:27</t>
  </si>
  <si>
    <t>2024-01-05 19:56:26</t>
  </si>
  <si>
    <t>PPC_t841785</t>
  </si>
  <si>
    <t>PRAVESH PRAJAPATI COMMUNICATION</t>
  </si>
  <si>
    <t>@FinoPaymntsBank मै 2018 से फिनो बैंक का मर्चेंट हू और मेरा फिनो बैंक का बैंकिंग ID 20 अगस्त 2023  से ब्लोक है इस पर कोई सुनवाई नही हो रहा है
आपसे निवेदन है कि आप इसे चालू करे अन्यथा हमेशा के लिए बंद कर दे
Merchant ID :  123741907
A/C   20102464435
IFSC   FINO0009001
Pravesh Prajapati</t>
  </si>
  <si>
    <t>2024-01-05 19:52:25</t>
  </si>
  <si>
    <t>Imt manesar gurgaon h.r 122051</t>
  </si>
  <si>
    <t>2024-01-05 19:52:19</t>
  </si>
  <si>
    <t>@FinoPaymntsBank 
@FinoPaymntsBank 
मै 2018 से फिनो बैंक का मर्चेंट हू और मेरा फिनो बैंक का बैंकिंग ID 20 अगस्त 2023  से ब्लोक है इस पर कोई सुनवाई नही हो रहा है
ADD. IMT Manesar VPO Naharpur Kasan GGN H.R 122051
Mob. +91 8417854277  , +91 8368108368 https://t.co/MpjYUwj8z9</t>
  </si>
  <si>
    <t>2024-01-05 19:47:31</t>
  </si>
  <si>
    <t>MoneybackRana</t>
  </si>
  <si>
    <t>Device not working 😭😭 POS device replacement, software problem, HDFC,rapipay,fino, Indusland bank,</t>
  </si>
  <si>
    <t>2024-01-05 19:42:19</t>
  </si>
  <si>
    <t>Fino Payment Bank ATM Pin Generation On Mobile | Fino Bank Atm Pin Kaise Banaye Mobile se</t>
  </si>
  <si>
    <t>2024-01-05 19:00:22</t>
  </si>
  <si>
    <t>fino payment bank csp login | fino payment bank computer me login kaise karen</t>
  </si>
  <si>
    <t>2024-01-05 19:00:19</t>
  </si>
  <si>
    <t>2024-01-05 18:50:00</t>
  </si>
  <si>
    <t>Fino Payments Bank: Sir I sintu kumar father's name pawan kumar yadav Village kankar post bishanpur bazar police station kumarkhand district Madhepura state Bihar pin code 852112 I am a permanent resident .Sir I had taken id from Subhash Kumar, I am not able to login for a long time.I talked to the distributor Subhash Kumar and he said I can't help, my id is also blocked.Then I talked to Fino branch Madhepura, there is no help from there also, they told me that your id is in Jharkhand.Sir please map my id in my area.
Id- 116048531
Name -sintu kumar
Mobile no 8084274043
Aadhar no 6743-5163-5017
Pan no - HSWPK2098P
DOB- 15 NOVEMBER 1998</t>
  </si>
  <si>
    <t>2024-01-05 18:43:52</t>
  </si>
  <si>
    <t>HANSRAJ81236027</t>
  </si>
  <si>
    <t>HANS RAJ</t>
  </si>
  <si>
    <t>@FinoPaymntsBank Dear sir aapke bank m Meena Name Ka account h Jo Ki froud kr rhi h logo k Sath enhone mere Sath froud Kiya or mene FIR bhi lga di h enke khilaf ye pta nhi or kitno k Sath froud krege eska last account no.2390 h plz sir enke account hold kre or police ko enki information de .</t>
  </si>
  <si>
    <t>2024-01-05 17:58:41</t>
  </si>
  <si>
    <t>Kumar Bhaskar</t>
  </si>
  <si>
    <t>Huge congratulations Ashish Ahuja</t>
  </si>
  <si>
    <t>2024-01-05 17:40:00</t>
  </si>
  <si>
    <t>@FinoPaymntsBank fino ko lakwa mar gya hai npci se Jayda eska niyam haig marwal bank mc bc https://t.co/ZoA3a5rQSz</t>
  </si>
  <si>
    <t>2024-01-05 17:06:58</t>
  </si>
  <si>
    <t>Arvind Kumar</t>
  </si>
  <si>
    <t>Loan milega</t>
  </si>
  <si>
    <t>2024-01-05 16:16:08</t>
  </si>
  <si>
    <t>[MB*]
Fino payments bank.
Snowman logistics.</t>
  </si>
  <si>
    <t>2024-01-05 15:08:09</t>
  </si>
  <si>
    <t>Gopal Banjara whats app for more details 8319488589</t>
  </si>
  <si>
    <t>2024-01-05 13:40:44</t>
  </si>
  <si>
    <t>Mr. Mahendra singh</t>
  </si>
  <si>
    <t>NPCI Merchant Aadhaar Authentication New Update Fino Payment Bank</t>
  </si>
  <si>
    <t>2024-01-05 13:38:37</t>
  </si>
  <si>
    <t>Gopal Banjara</t>
  </si>
  <si>
    <t>जी सर मेरे पैसे कट रहे हैं</t>
  </si>
  <si>
    <t>2024-01-05 13:30:41</t>
  </si>
  <si>
    <t>जी सर मेरे पैसे कट रहे हैं मेरे</t>
  </si>
  <si>
    <t>2024-01-05 13:30:17</t>
  </si>
  <si>
    <t>जी सर मेरा पैसे काट रहे हैं</t>
  </si>
  <si>
    <t>2024-01-05 13:29:21</t>
  </si>
  <si>
    <t>@FinoPaymntsBank Bad service always  technical issues UPI payment or chek blanse</t>
  </si>
  <si>
    <t>2024-01-05 12:40:02</t>
  </si>
  <si>
    <t>Pandey Lalit</t>
  </si>
  <si>
    <t>Umesh Chandra</t>
  </si>
  <si>
    <t>2024-01-05 12:34:53</t>
  </si>
  <si>
    <t>2024-01-05 11:10:30</t>
  </si>
  <si>
    <t>NPCI new update. fino bank update. spice money update. airtel bank update. paynearby. safe india.</t>
  </si>
  <si>
    <t>2024-01-05 10:20:47</t>
  </si>
  <si>
    <t>Fino Payment Bank Update | Fino Update - NPCI New Update Live In Fino Mitra - 2024 Update</t>
  </si>
  <si>
    <t>2024-01-05 08:46:01</t>
  </si>
  <si>
    <t>Fino Update - Fino Payment Bank NPCI New Update 2FA लगाना होगा सभी AePS ट्रांजेकशन में 2024</t>
  </si>
  <si>
    <t>2024-01-05 08:40:39</t>
  </si>
  <si>
    <t>NPCI New Guidelines 2024 Merchant Aadhaar Authentication for AePS 2FA Activation fino payment bank</t>
  </si>
  <si>
    <t>2024-01-05 08:00:02</t>
  </si>
  <si>
    <t>alok_nayak</t>
  </si>
  <si>
    <t>Alok Nayak</t>
  </si>
  <si>
    <t>Transforming rural finance! @Ratnesh_Choubey, CEO of @BuyNSwipe sheds light on his #B2B digital payment model, key bank partnerships &amp;amp; ambitious goal to onboard 8 million merchants! @DPIITGoI @startupindia @FinoPaymntsBank @nsdlpb @alok_nayak @YoursShakti https://t.co/wST2yMasws</t>
  </si>
  <si>
    <t>2024-01-05 07:41:22</t>
  </si>
  <si>
    <t>tiwmedia</t>
  </si>
  <si>
    <t>TIW Media</t>
  </si>
  <si>
    <t>2024-01-05 07:37:45</t>
  </si>
  <si>
    <t>2024-01-04</t>
  </si>
  <si>
    <t>Asrab Ali</t>
  </si>
  <si>
    <t>2024-01-04 21:33:19</t>
  </si>
  <si>
    <t>Deals Sphere</t>
  </si>
  <si>
    <t>Fino Payments Bank Rupay Platinum Debit Card</t>
  </si>
  <si>
    <t>2024-01-04 21:27:59</t>
  </si>
  <si>
    <t>MdZahiruddinAn7</t>
  </si>
  <si>
    <t>💪Md Zahiruddin Ansari💯🌹</t>
  </si>
  <si>
    <t>@FinoPaymntsBank Mera marchant id nhi ban raha hai allready relationship fino payment Bank 7209405802 please help?</t>
  </si>
  <si>
    <t>2024-01-04 21:25:39</t>
  </si>
  <si>
    <t>Jharkhand, india</t>
  </si>
  <si>
    <t>@techgaming5391</t>
  </si>
  <si>
    <t>Sir aadhar seeding d-link kaise kre?</t>
  </si>
  <si>
    <t>2024-01-04 20:59:19</t>
  </si>
  <si>
    <t>Vinaykumar Shah</t>
  </si>
  <si>
    <t>Great . Also plan for Distributor and Merchants..😅</t>
  </si>
  <si>
    <t>2024-01-04 20:46:05</t>
  </si>
  <si>
    <t>Paytm Payment Bank New Update | Airtel Payment Bank Csp update | Fino Payment Bank | Fino</t>
  </si>
  <si>
    <t>2024-01-04 20:39:37</t>
  </si>
  <si>
    <t>Airtel Bank CSP New Update | Fino Payments Bank CSP | Paytm Bank CSP 2024 update</t>
  </si>
  <si>
    <t>2024-01-04 20:26:33</t>
  </si>
  <si>
    <t>Md Ahmad Shekh</t>
  </si>
  <si>
    <t>2024-01-04 19:50:56</t>
  </si>
  <si>
    <t>Fino Pay App Kaise Chalu Kare | How To Use Fino Pay App | Fino Payment Bank</t>
  </si>
  <si>
    <t>2024-01-04 19:30:04</t>
  </si>
  <si>
    <t>praan_kumar</t>
  </si>
  <si>
    <t>Praan Kumar</t>
  </si>
  <si>
    <t>@FinoPaymntsBank Unable to transaction on Fino mitra since 3 days, connecting error, please try again!</t>
  </si>
  <si>
    <t>2024-01-04 18:33:07</t>
  </si>
  <si>
    <t>asnanibharat04</t>
  </si>
  <si>
    <t>Bharat Asnani</t>
  </si>
  <si>
    <t>@TheVivekSinghal Kotak mah bank 20 % 
IndusInd bank 23 % 
Icici bank 6 % 
IDBI bank 189 % 
Bandhan bank 182 % 
RBL 146 % 
J n K 43 % 
CUB 61 % 
T N merc bank 20 % 
South india bank 20 % 
DCB 59 % 
Fino payment 114 % 
Suryoday 82 % 
Dhanlaxmi  548 %</t>
  </si>
  <si>
    <t>2024-01-04 18:21:12</t>
  </si>
  <si>
    <t xml:space="preserve">India rajsthan </t>
  </si>
  <si>
    <t>ईजाद मंसूरी</t>
  </si>
  <si>
    <t>Dhgr</t>
  </si>
  <si>
    <t>2024-01-04 17:19:04</t>
  </si>
  <si>
    <t>Very bad service</t>
  </si>
  <si>
    <t>2024-01-04 13:28:01</t>
  </si>
  <si>
    <t>Santosh Yadav</t>
  </si>
  <si>
    <t xml:space="preserve">Any vacancy </t>
  </si>
  <si>
    <t>2024-01-04 11:59:31</t>
  </si>
  <si>
    <t>tech with bittu</t>
  </si>
  <si>
    <t>NPCI new rules for aeps 2024 | AEPS New Update | fINO PAYMENT BANK, RAPIPAY MERCHANT, SPICE MONEY</t>
  </si>
  <si>
    <t>2024-01-04 11:10:00</t>
  </si>
  <si>
    <t>Dipankar Roy</t>
  </si>
  <si>
    <t>Sbi best bank</t>
  </si>
  <si>
    <t>2024-01-04 10:54:37</t>
  </si>
  <si>
    <t>Bank Of Baroda AePS Update - बैंक ऑफ़ बरोदा का पैसा कैसे निकले 2024 में -Spice Money ,Fino ,Paynearby</t>
  </si>
  <si>
    <t>2024-01-04 08:52:43</t>
  </si>
  <si>
    <t>Active Gunjan</t>
  </si>
  <si>
    <t>Fino Bank Se Loan Kaise milega | Fino Payment bank se loan kaise le | fino payment bank loan</t>
  </si>
  <si>
    <t>2024-01-04 06:30:11</t>
  </si>
  <si>
    <t>ONLINE WORK</t>
  </si>
  <si>
    <t>Fino Marchant एवं Distributor ऐसे मिलेगा User ID or Password 2024 Fino Payments Bank Registration</t>
  </si>
  <si>
    <t>2024-01-04 02:21:18</t>
  </si>
  <si>
    <t>trusestalj98852</t>
  </si>
  <si>
    <t>trusestalja1979</t>
  </si>
  <si>
    <t>#Crypto, Start of the Year with a Big Pump! We will have info ▶️                                                                                             https://t.co/4NGSIPXfTl
@FinoPaymntsBank @hyperfocusinc @kannard68336 @ann_resuma</t>
  </si>
  <si>
    <t>2024-01-04 01:21:51</t>
  </si>
  <si>
    <t>Mohammed Ibrahim</t>
  </si>
  <si>
    <t>Sir acha hai but students ku 1 standard class ke becha ku account open nai hoto 
Minimum 10 years 
But 1 std ka becha 7 years</t>
  </si>
  <si>
    <t>2024-01-04 00:41:10</t>
  </si>
  <si>
    <t>2024-01-03</t>
  </si>
  <si>
    <t>Ganesh Sahu</t>
  </si>
  <si>
    <t>Ye to phonepay me v hota hai 😂😂</t>
  </si>
  <si>
    <t>2024-01-03 22:45:04</t>
  </si>
  <si>
    <t>Kanheyalal Kl Katara</t>
  </si>
  <si>
    <t>https://play.google.com/store/apps/details?id=com.bss.oflep&amp;referrer=6261869551</t>
  </si>
  <si>
    <t>2024-01-03 22:05:24</t>
  </si>
  <si>
    <t>Aakash Mandor</t>
  </si>
  <si>
    <t>2024-01-03 22:01:54</t>
  </si>
  <si>
    <t>NPCI NEW UPDATE | AEPS 2FA REQUIRED | FINO PAYMENT BANK</t>
  </si>
  <si>
    <t>2024-01-03 21:33:27</t>
  </si>
  <si>
    <t>I want to lodge file against scammer @FinoPaymntsBank please help me @jagograhakjago @madhan05842064 @Cyberdost</t>
  </si>
  <si>
    <t>2024-01-03 21:32:39</t>
  </si>
  <si>
    <t>Dilkhush Kumar</t>
  </si>
  <si>
    <t>मात्रा ☝️एक ऐसा गेम है जो रेफर🤝 या खेल🃏 के दिन मैं rs-5000💲से   10000💲रुपिया कमा🔑 सकते हैं 🤑ट्राई  कर के देखो💸💵लिंक
🔥New Best Earning APP Today🔥
😍Bonus ₹20 +₹200😍
💰 1 Refer Upto ₹2000💰
🔥Install +₹20 🔥Login Get ₹20🔥
👇👇👇👇👇👇
https://scene.agent61.com/promotion/m/slm_1900104/u/93893940/s/s1/qggogk?channel=slm_1900034&amp;lang=en&amp;scene=s1&amp;uid=93893940
2000,,,3000,,,6000 ,,100000 रोजाना कमा सकते हो और इस गेम की सबसे बड़ी बात आप बिना खेले भी कमा सकते हो और इस गेम में कोई भी फ्राउद् नहीं है इसकी 100% गेरेंटि है गेम को डाउनलोड कीजिए और रोजाना पैसा कमाइए यह गेम का लिंक</t>
  </si>
  <si>
    <t>2024-01-03 20:29:59</t>
  </si>
  <si>
    <t>Maruf Ali</t>
  </si>
  <si>
    <t>2024-01-03 18:28:28</t>
  </si>
  <si>
    <t>Tanveer50190409</t>
  </si>
  <si>
    <t>Tanveer Khan</t>
  </si>
  <si>
    <t>@NPCI_NPCI @FinoPaymntsBank Fino Payment Bank is deactiv retailers' IDs and embezzling their wallet funds. If the retailer registers his problem then the so called employees/field staff of Fino Payment Bank are negligent in providing solution to the problem and try to take bribe.</t>
  </si>
  <si>
    <t>2024-01-03 17:07:11</t>
  </si>
  <si>
    <t xml:space="preserve">Madhya pradesh </t>
  </si>
  <si>
    <t>तनवीर खान</t>
  </si>
  <si>
    <t>National Payments Corporation of India Fino Payment Bank is deactivating retailers' IDs and embezzling their wallet funds. If the retailer registers his problem then the so called employees/field staff of Fino Payment Bank are negligent in providing solution to the problem and try to take bribe.</t>
  </si>
  <si>
    <t>2024-01-03 17:02:14</t>
  </si>
  <si>
    <t>cash collection, Cash management services, CMS fino payment bank jio reliance merchant #finomerchant</t>
  </si>
  <si>
    <t>2024-01-03 16:00:01</t>
  </si>
  <si>
    <t>অসমাপ্ত জীবন</t>
  </si>
  <si>
    <t>2024-01-03 15:03:41</t>
  </si>
  <si>
    <t>Sanjay Raj</t>
  </si>
  <si>
    <t>Fino Payments Bank: Hjj</t>
  </si>
  <si>
    <t>2024-01-03 13:22:07</t>
  </si>
  <si>
    <t>Open Concept Bangla</t>
  </si>
  <si>
    <t>AEPS New Rules 2024 || NPCI AEPS New Update 2024 || Spice Money || Fino || Airtel Payments Bank</t>
  </si>
  <si>
    <t>2024-01-03 12:58:36</t>
  </si>
  <si>
    <t>Bhawani Singh Sodha</t>
  </si>
  <si>
    <t>2024-01-03 11:34:23</t>
  </si>
  <si>
    <t>Altaf Khan</t>
  </si>
  <si>
    <t>Fino Payments Bank: मैं अपना फिनो पेमेंट्स बैंक हमेशा के लिए बंद करवाना चाहता हुं</t>
  </si>
  <si>
    <t>2024-01-03 11:21:30</t>
  </si>
  <si>
    <t>Babalu Sing</t>
  </si>
  <si>
    <t>हमारा पैसा किस चीज का कटा है</t>
  </si>
  <si>
    <t>2024-01-03 10:58:46</t>
  </si>
  <si>
    <t>Fino Bank 2024 New Merchant Commission List | Fino Bank 2024 New Update | Fino Bank Good News 2024</t>
  </si>
  <si>
    <t>2024-01-03 10:35:24</t>
  </si>
  <si>
    <t>Fino mitra new update jan 2024 | merchant Unborading update fino</t>
  </si>
  <si>
    <t>2024-01-03 09:59:18</t>
  </si>
  <si>
    <t>@dankaw36</t>
  </si>
  <si>
    <t>2024-01-03 07:04:18</t>
  </si>
  <si>
    <t>2024-01-02</t>
  </si>
  <si>
    <t>Fino Payments Bank: नमस्कार फिनो पेमेंट बैंक बेंगलुरु में ब्रांच है क्या</t>
  </si>
  <si>
    <t>2024-01-02 22:54:53</t>
  </si>
  <si>
    <t>2024-01-02 22:53:23</t>
  </si>
  <si>
    <t>Bank Adhikari Team</t>
  </si>
  <si>
    <t>Fino Payments Bank Passbook | Airtel Payments Bank Passbook |  Order For BC Agent | Merchant</t>
  </si>
  <si>
    <t>2024-01-02 20:45:02</t>
  </si>
  <si>
    <t>Fino Payment Bank CSP लेने का Complete Process | Fino CSP कैसे ले❓ #FinoCSP #up16info #finobankcsp</t>
  </si>
  <si>
    <t>2024-01-02 20:05:16</t>
  </si>
  <si>
    <t>2024-01-02 19:39:08</t>
  </si>
  <si>
    <t>Yash Gupta Bilog</t>
  </si>
  <si>
    <t>https://youtu.be/TFZzVyrxxuM</t>
  </si>
  <si>
    <t>2024-01-02 19:27:40</t>
  </si>
  <si>
    <t>2024-01-02 19:22:22</t>
  </si>
  <si>
    <t>Fino Payments Bank: FCPP8211A</t>
  </si>
  <si>
    <t>2024-01-02 19:22:07</t>
  </si>
  <si>
    <t>Fino Payments Bank: 278486043631</t>
  </si>
  <si>
    <t>2024-01-02 19:21:30</t>
  </si>
  <si>
    <t>Manjeet Kumar</t>
  </si>
  <si>
    <t>Fino Payments Bank: Noida  me  bank kaha hai</t>
  </si>
  <si>
    <t>2024-01-02 19:06:23</t>
  </si>
  <si>
    <t>Fino Payments Bank: Kyc karvana hai</t>
  </si>
  <si>
    <t>2024-01-02 19:06:00</t>
  </si>
  <si>
    <t>Surendra Kumar</t>
  </si>
  <si>
    <t>Sir mera pesa kata he achanak kya kre</t>
  </si>
  <si>
    <t>2024-01-02 18:58:00</t>
  </si>
  <si>
    <t>काफी घटिया सेवाएं है fino payments की। इससे बेहतर है किसी बैंक में अपने बच्चों का अकाउंट खोले, जिसकी ब्रांच आपके शहर/नगर में हो।</t>
  </si>
  <si>
    <t>2024-01-02 18:22:36</t>
  </si>
  <si>
    <t>@FinoPaymntsBank It is making people victims of fraud in the name of the bank.</t>
  </si>
  <si>
    <t>2024-01-02 18:18:58</t>
  </si>
  <si>
    <t>Ravikumar Maravi</t>
  </si>
  <si>
    <t>2024-01-02 17:13:15</t>
  </si>
  <si>
    <t>TECH VISHAL STAR</t>
  </si>
  <si>
    <t>Best 0 Balance Account Opening 2024 | Fino payment bank Open</t>
  </si>
  <si>
    <t>2024-01-02 17:00:02</t>
  </si>
  <si>
    <t>The year 2023 concluded with million dollar smiles on the Kids' faces at the Kids Hangout Day at our Head office. Employees' kids were invited to the office with their parents to attend this Kids Party-cum-New Year Bash.
#FinoPaymentsBank #FikarNot #FinoBanker #DigitalBanking #SecureBanking #HarDinFino #FinoPay #KidsHangout #NewYearCelebrations #Animal</t>
  </si>
  <si>
    <t>2024-01-02 16:59:35</t>
  </si>
  <si>
    <t>The year 2023 concluded with million dollar smiles on the Kids' faces at the Kids Hangout Day at our Head office. Employees' kids were invited to the office with their parents to attend this Kids Party-cum-New Year Bash.
#FinoPaymentsBank #FikarNot #DigitalBanking #Animal https://t.co/bqx1PiQsjs</t>
  </si>
  <si>
    <t>2024-01-02 16:59:27</t>
  </si>
  <si>
    <t>Kid's Hangout at Fino Head Office</t>
  </si>
  <si>
    <t>2024-01-02 16:59:15</t>
  </si>
  <si>
    <t>The year 2023 concluded with million dollar smiles on the Kids faces at the Kids Hangout Day at our Head office. Employees kids were invited to the office with their parents to attend this Kids Party-cum-New Year Bash.
{hashtag|\#|FinoPaymentsBank} {hashtag|\#|FikarNot} {hashtag|\#|FinoBanker} {hashtag|\#|DigitalBanking} {hashtag|\#|SecureBanking} {hashtag|\#|HarDinFino} {hashtag|\#|FinoPay} {hashtag|\#|KidsHangout} {hashtag|\#|NewYearCelebrations} {hashtag|\#|Animal}</t>
  </si>
  <si>
    <t>2024-01-02 16:58:18</t>
  </si>
  <si>
    <t>Vishal Singh</t>
  </si>
  <si>
    <t>It's all about publicity fake bank</t>
  </si>
  <si>
    <t>2024-01-02 16:50:43</t>
  </si>
  <si>
    <t>2024-01-02 16:50:02</t>
  </si>
  <si>
    <t>PayNearby Fino Payments Bank @followers @highlight Rohit Yadav SPICE MONEY Bihari Digital  CSC AEPS HUB</t>
  </si>
  <si>
    <t>2024-01-02 16:38:38</t>
  </si>
  <si>
    <t>The year 2023 concluded with million dollar smiles on the Kids' faces at the Kids Hangout Day at our Head office. Employees' kids were invited to the office with their parents to attend this Kids Party-cum-New Year Bash.
#FinoPaymentsBank #FikarNot #DigitalBanking #Animal https://t.co/sOHLTCqROe</t>
  </si>
  <si>
    <t>2024-01-02 16:30:57</t>
  </si>
  <si>
    <t>Kid's Hangout at Fino's  Head Office</t>
  </si>
  <si>
    <t>2024-01-02 16:30:55</t>
  </si>
  <si>
    <t>2024-01-02 16:27:23</t>
  </si>
  <si>
    <t>Davide Moliterni</t>
  </si>
  <si>
    <t>2024-01-02 15:30:50</t>
  </si>
  <si>
    <t>REETESHGAUTAM6</t>
  </si>
  <si>
    <t>REETESH GAUTAM</t>
  </si>
  <si>
    <t>@FinoPaymntsBank  I want my upi</t>
  </si>
  <si>
    <t>2024-01-02 15:20:32</t>
  </si>
  <si>
    <t>Jhansi</t>
  </si>
  <si>
    <t>@FinoPaymntsBank  Hello</t>
  </si>
  <si>
    <t>2024-01-02 15:20:25</t>
  </si>
  <si>
    <t>Fino payment Bank new update 2024 Auto Debit amount from BC account big technical error CSP balance0</t>
  </si>
  <si>
    <t>2024-01-02 14:55:00</t>
  </si>
  <si>
    <t>genius tech world</t>
  </si>
  <si>
    <t>FINO PAYMENTS BANK NEW UPDATE Retailers distributer changed location problem solved good news 2024</t>
  </si>
  <si>
    <t>2024-01-02 12:40:24</t>
  </si>
  <si>
    <t>Bilal Khan</t>
  </si>
  <si>
    <t>Fino Bank ki bahan ki chut bahan ke lando ne paise nikal diye 300070</t>
  </si>
  <si>
    <t>2024-01-02 12:38:22</t>
  </si>
  <si>
    <t>Rajesh Roshan</t>
  </si>
  <si>
    <t>Very poor service</t>
  </si>
  <si>
    <t>2024-01-02 12:34:07</t>
  </si>
  <si>
    <t>2024-01-02 12:33:52</t>
  </si>
  <si>
    <t>service_fc</t>
  </si>
  <si>
    <t>freeconsumerservice</t>
  </si>
  <si>
    <t>@Cyberdost @GoogleIndia @Flipkart @FinMinIndia @Monday @i4c Hello Sir/Madam,
I'm Holding bank account at @FinoPaymntsBank , They are restricted account without no reason ,Please help me from scammer @FinoPaymntsBank</t>
  </si>
  <si>
    <t>2024-01-02 11:14:57</t>
  </si>
  <si>
    <t>@RBI Hello Sir/Madam,
@FinoPaymntsBank are doing scam, They are restricting account without reason. Please stop this bank ,If you need evidence i'll share it with you.</t>
  </si>
  <si>
    <t>2024-01-02 10:52:11</t>
  </si>
  <si>
    <t>2024-01-02 10:47:43</t>
  </si>
  <si>
    <t>Happy New Year 2024!
Be alert don't open account at
@FinoPaymntsBank
They restricted bank account without no reason and scamming  money .Need Justice @jagograhakjago @Cyberdost</t>
  </si>
  <si>
    <t>2024-01-02 10:45:09</t>
  </si>
  <si>
    <t>Happy New Year 2024!
Be alert don't open account at @FinoPaymntsBank They restrict account and scam money .Need Justice @jagograhakjago @CBItweets</t>
  </si>
  <si>
    <t>2024-01-02 10:40:15</t>
  </si>
  <si>
    <t>Arun Banjara Online</t>
  </si>
  <si>
    <t>fino payment bank account opening 2024 - fino bank account opening online mobile</t>
  </si>
  <si>
    <t>2024-01-02 10:34:17</t>
  </si>
  <si>
    <t>Fino mitra user id kaise banaye - fino payment bank id kaise le | fino payment bank csp kaise le</t>
  </si>
  <si>
    <t>2024-01-02 10:33:57</t>
  </si>
  <si>
    <t>Fino payment bank merchant kaise bane - fino bank bc id kaise banaye | fino mitra registration</t>
  </si>
  <si>
    <t>2024-01-02 10:33:17</t>
  </si>
  <si>
    <t>Naresh8575</t>
  </si>
  <si>
    <t>N N</t>
  </si>
  <si>
    <t>@FinoPaymntsBank @FinoPaymntsBank @FinoPaymen32596 @1only_man786 @FinoPayments 
How many days take to solve my issue very poor service team in our fino payments bank</t>
  </si>
  <si>
    <t>2024-01-02 09:55:38</t>
  </si>
  <si>
    <t>@FinoPaymntsBank
@1only_man786
@FinoPayments
One of the worst technical support team in telangana state. My ID was showing blocked still dec-1. I am calling to hyd technical team so many time but still same issue. Name: Nalluri Naresh ID:112376302 9553475777 https://t.co/53OPB3tmrs</t>
  </si>
  <si>
    <t>2024-01-02 09:49:31</t>
  </si>
  <si>
    <t>Vishal Viashal Duby</t>
  </si>
  <si>
    <t>Land</t>
  </si>
  <si>
    <t>2024-01-02 09:34:58</t>
  </si>
  <si>
    <t>Suraj28194163</t>
  </si>
  <si>
    <t>Suraj Kumar</t>
  </si>
  <si>
    <t>@FinoPaymntsBank Customer care number</t>
  </si>
  <si>
    <t>2024-01-02 09:25:18</t>
  </si>
  <si>
    <t>Raksha Kumar Raksha Kumar</t>
  </si>
  <si>
    <t>💫💵Do you need loan any type contact me WHATSAPP ✅.          8797899800
IDFC FIRST BANK ✅✅
AND PERSONAL LOAN INSTANT CREDIT ✅✅✅
Not any type charges ✅
✅credit card ✅
Jai shree Ram 🚩🚩</t>
  </si>
  <si>
    <t>2024-01-02 08:26:01</t>
  </si>
  <si>
    <t>Mohd Rehan</t>
  </si>
  <si>
    <t>👇👇👇👇👇👇👇👇👇👇👇👇👇👇👇👇👇👇👇👇👇👇👇👇👇👇👇👇👇👇👇👇👇https://www.rummyguru.top/share/1MNqSxyhttps://www.rummyguru.top/share/1MNqSxyhttps://www.rummyguru.top/share/1MNqSxyhttps://www.rummyguru.top/share/1MNqSxyhttps://www.rummyguru.top/share/1MNqSxyhttps://www.rummyguru.top/share/1MNqSxy</t>
  </si>
  <si>
    <t>2024-01-02 08:24:35</t>
  </si>
  <si>
    <t>Shankar Singh Meena Khokad</t>
  </si>
  <si>
    <t>Fino Payments Bank: देवड वाल को को ताजी
की उटाdya देचरवाल</t>
  </si>
  <si>
    <t>2024-01-02 00:40:59</t>
  </si>
  <si>
    <t>Fino Payments Bank: Tiosa ko kun ko छोरो एवम kinko poto च बेटा</t>
  </si>
  <si>
    <t>2024-01-02 00:38:53</t>
  </si>
  <si>
    <t>2024-01-01</t>
  </si>
  <si>
    <t>dpkkumar786</t>
  </si>
  <si>
    <t>Deepak Barnwal☀️</t>
  </si>
  <si>
    <t>FINO PAYMENTS BANK
✅ Bought it today at 270₹
🎉 First buy of the year 2024
✅ Few days back I found it interesting as it seemed to be kept at certain price range looking at volume
⚠️ Not a buy sell hold recommendation, Please study it first.
#FinoPayments
#StockMarket 
  Quoted Tweet : @MicrocapsPraWin : Fino Payments Bank
✅ CMP 258
🧠 SOMEBODY wants to keep retail away
✅ let's keep a close track of this stock movement
✅ Patience will be a key here
✅ I suspect a smart accumulation on chart 
⚠️No buy sell reco
#FinoPaymentsBank
#Fino
#Banknifty
#StockMarket 
#stockmarketcrash https://t.co/t5lvUwLrsB</t>
  </si>
  <si>
    <t>2024-01-01 23:23:30</t>
  </si>
  <si>
    <t>aditya8993</t>
  </si>
  <si>
    <t>India_First</t>
  </si>
  <si>
    <t>@FinoPaymntsBank A fraud was done with by SIL on UPI by a fino account holder. Cyber Crime Complaint has been lodged. Please advice on what to do next</t>
  </si>
  <si>
    <t>2024-01-01 22:00:08</t>
  </si>
  <si>
    <t>Fino payments bank csp id retailers mony debited csp wallet फिनो पेमेंट्स बैंक सीएसपी से काट गए पैसे</t>
  </si>
  <si>
    <t>2024-01-01 21:31:25</t>
  </si>
  <si>
    <t>cryptobank76496</t>
  </si>
  <si>
    <t>cryptobank</t>
  </si>
  <si>
    <t>🚀 There are only a 2 hours left until the huge pump ▶️ https://t.co/nHVZ5jVJoB
@PaarishP @jarunbhanu1 @pdd_Elizabeth @FinoPaymntsBank</t>
  </si>
  <si>
    <t>2024-01-01 21:13:09</t>
  </si>
  <si>
    <t>ivinaypandey</t>
  </si>
  <si>
    <t>🇮🇳 Vinay Pandey</t>
  </si>
  <si>
    <t>My portfolio stocks for 2024
Fino Payments Bank Ltd 
Satin Creditcare Network Ltd
Thinkink Picturez Ltd.
Adani Wilmar Ltd. 
Greaves Cotton Ltd.
LGB Forge Ltd.
PPAP Automotive Ltd.
Ratnaveer Precision Engineering Ltd. 
Signet Industries Ltd.
TGV SRAAC Ltd. 
Zim Laboratories Ltd.</t>
  </si>
  <si>
    <t>2024-01-01 21:07:23</t>
  </si>
  <si>
    <t>Public Tak Gyan</t>
  </si>
  <si>
    <t>fino payment bank micro atm se paise kaise nikale !! fino payment bank micro atm kaise use karen</t>
  </si>
  <si>
    <t>2024-01-01 20:53:21</t>
  </si>
  <si>
    <t>Deepak Badpatre</t>
  </si>
  <si>
    <t>Kuc jankari fino me paysa jama karne ka bhi pyasa kat ta hai</t>
  </si>
  <si>
    <t>2024-01-01 20:17:47</t>
  </si>
  <si>
    <t>Fino is good  sarvish so..
All fino memar  happy new year 💕💕</t>
  </si>
  <si>
    <t>2024-01-01 20:03:00</t>
  </si>
  <si>
    <t>Bestan finances</t>
  </si>
  <si>
    <t>Fino bank se loan kaise milega - Fino payment bank se loan kaise le - Fino payment bank loan</t>
  </si>
  <si>
    <t>2024-01-01 19:29:16</t>
  </si>
  <si>
    <t>Fino Payment Bank Commission List 2024 | Fino Bank giving highest commission in AEPS and Matm 2024</t>
  </si>
  <si>
    <t>2024-01-01 19:20:10</t>
  </si>
  <si>
    <t>Fino Payment Bank Se Paise Transfer Kaise Kare | Fino Pay se Paise Kaise Bheje</t>
  </si>
  <si>
    <t>2024-01-01 19:00:01</t>
  </si>
  <si>
    <t>CryptoNex294674</t>
  </si>
  <si>
    <t>Crypto Nex</t>
  </si>
  <si>
    <t>🚀 There are only a 2 hours left until the huge pump ▶️ https://t.co/3HRlG9Tx5J
@Farah46995691 @WGeberhana @ole_lengete @FinoPaymntsBank</t>
  </si>
  <si>
    <t>2024-01-01 18:29:05</t>
  </si>
  <si>
    <t>Fino bank csp new update. new rule of fino bank. fino bank csp. fino csp. fino.aeps news.Safe india.</t>
  </si>
  <si>
    <t>2024-01-01 18:15:43</t>
  </si>
  <si>
    <t>Khushi Breaking News1</t>
  </si>
  <si>
    <t>Fino bank Thathiya Branch</t>
  </si>
  <si>
    <t>2024-01-01 17:50:07</t>
  </si>
  <si>
    <t>Fino Payment Bank me PhonePe kaise chalaye -2024 फिनो बैंक में PhonePe कैसे चलाएं UPI services</t>
  </si>
  <si>
    <t>2024-01-01 16:00:03</t>
  </si>
  <si>
    <t>2024-01-01 15:09:22</t>
  </si>
  <si>
    <t>নাছিমা খাতুন</t>
  </si>
  <si>
    <t>🔴NEW APP DOWNLOAD LINK👇
https://h26.in/m/z0lrc
Teen Patti Gold👉👉
Teen Patti Master 👉
https://h26.in/m/z0lrc
🔵Teen Pattii Master👇
https://h26.in/gold/z0lrc
🔴New Teen Patti Gold👇
https://h26.in/gold/z0lrc
Play TeenPatti Master earn daily free paytm cash without investment.
__Topic___
Teen Patti Real Cash Game
Teen Patti Se Paisa kaisea kamaye
New Earning Teen App 
New Earning Rummy App 
Rummy Khel Kar Paisa Kaise Kamaye 
Top 5 Earning Teen Patti App 
New Earning Paytm Cash</t>
  </si>
  <si>
    <t>2024-01-01 14:51:50</t>
  </si>
  <si>
    <t>007NEWSANDVIEWS</t>
  </si>
  <si>
    <t>*अमीन इंटरनेशनल*🇮🇳</t>
  </si>
  <si>
    <t>Dear @RBI 
How u can licence these bank 
  Quoted Tweet : @007NEWSANDVIEWS : @FinoPaymntsBank 
मैं पिछले कई दिनों से मेल और ऑनलाइन ऑप्शन से अपना सेविंग अकाउंट बंद करने को फिनो बैंक से कह रहा हूं, उनके तमाम निर्देश का पालन किया, लेकिन बैंक उसे बंद नही करती और मिनिमम बैलेंस का सरचार्ज काटने का msg करती है
#Fino_bank_is a feaud</t>
  </si>
  <si>
    <t>2024-01-01 14:16:23</t>
  </si>
  <si>
    <t>Everywhere/anywhere</t>
  </si>
  <si>
    <t>@FinoPaymntsBank 
मैं पिछले कई दिनों से मेल और ऑनलाइन ऑप्शन से अपना सेविंग अकाउंट बंद करने को फिनो बैंक से कह रहा हूं, उनके तमाम निर्देश का पालन किया, लेकिन बैंक उसे बंद नही करती और मिनिमम बैलेंस का सरचार्ज काटने का msg करती है
#Fino_bank_is a feaud</t>
  </si>
  <si>
    <t>2024-01-01 14:12:31</t>
  </si>
  <si>
    <t>@FinoPaymntsBank 
After several requests why don't u close my account https://t.co/KfwhglIEVg</t>
  </si>
  <si>
    <t>2024-01-01 14:09:26</t>
  </si>
  <si>
    <t>Govind Kumar</t>
  </si>
  <si>
    <t>.</t>
  </si>
  <si>
    <t>2024-01-01 13:40:00</t>
  </si>
  <si>
    <t>@FinoPaymntsBank My Complain Ticket No. SR20231219395 not solved. the concern team are continuously misguided me and not working for the resolutions.</t>
  </si>
  <si>
    <t>2024-01-01 12:43:57</t>
  </si>
  <si>
    <t>PatronageD18002</t>
  </si>
  <si>
    <t>PatronageDAO</t>
  </si>
  <si>
    <t>🚀 Only 2 hours remain until the massive РUМР▶️ https://t.co/q8d2vPdtUP
@ShivamU52604724 @ashokmathur123 @Dharman61481205 @FinoPaymntsBank</t>
  </si>
  <si>
    <t>2024-01-01 12:23:31</t>
  </si>
  <si>
    <t>Kutub Biswas</t>
  </si>
  <si>
    <t>2024-01-01 12:22:49</t>
  </si>
  <si>
    <t>@surajkatheriya1810</t>
  </si>
  <si>
    <t>Mere to 1000 rupaye nhi nkal rhe hai sabse bekar hai fino bank</t>
  </si>
  <si>
    <t>2024-01-01 11:23:35</t>
  </si>
  <si>
    <t>@Anamika-yo5of</t>
  </si>
  <si>
    <t>Bhut badhiya hai ❤</t>
  </si>
  <si>
    <t>2024-01-01 11:23:24</t>
  </si>
  <si>
    <t>@user-en5sr5jk4m</t>
  </si>
  <si>
    <t>2024-01-01 10:21:37</t>
  </si>
  <si>
    <t>@user-sh3ef2ld8i</t>
  </si>
  <si>
    <t>Mukesh chandran</t>
  </si>
  <si>
    <t>2024-01-01 09:28:11</t>
  </si>
  <si>
    <t>@iraphankhan4132</t>
  </si>
  <si>
    <t>😢😢😢😢😢😢😢😢😢😢😢😢😢😢😢😢😢😢😢😢😢😢😢😢😢😢😢😢😢😢😢😢😢😢😢😢😢😢😢😢😢😢😢😢😢😢😢😢😢😢😢😢😢😢😢😢😢😢😢😢😢😢😢😢😢😢😢😢😢😢😢😢😢😢😢😢😂😂😂😂😂😂😂😂😂😂😂😂😂😂😂😂😂😂😂😂😂😂😂😂😂😂😂😂😂😂😂😂😂😂😂😂😂😂😂😂😂😅😅😅😅😅😅😅😅😅😅😅😅😅😅😅😅😅😅😅😅😅😅😅😅😅😅😅😅😅😅😅😅😅😅😅😅😅😅😅😅😅😅😅</t>
  </si>
  <si>
    <t>2024-01-01 09:27:08</t>
  </si>
  <si>
    <t>@alisalim2162</t>
  </si>
  <si>
    <t>2024-01-01 09:22:20</t>
  </si>
  <si>
    <t>Mnoj Baiga</t>
  </si>
  <si>
    <t>Fino bank se mera Paisa Karta Hai Sar</t>
  </si>
  <si>
    <t>2024-01-01 09:11:49</t>
  </si>
  <si>
    <t>Sar Mera Fino bank se mera Paisa Karta Hai Sar</t>
  </si>
  <si>
    <t>2024-01-01 09:11:37</t>
  </si>
  <si>
    <t>@SajidAnsari-pm4uo</t>
  </si>
  <si>
    <t>2024-01-01 08:11:20</t>
  </si>
  <si>
    <t>Fino family ko meri taraf se happy new year 2024</t>
  </si>
  <si>
    <t>2024-01-01 08:06:27</t>
  </si>
  <si>
    <t>2024-01-01 08:04:27</t>
  </si>
  <si>
    <t>Entering this new year with our commitment to make banking services better and more accessible in 2024.
#FinoPaymentsBank #FikarNot #FinoBanker #DigitalBanking #SecureBanking #HarDinFino #FinoPay #HappyNewYear #NewYear2024 #NewYearCelebration https://t.co/6WSR09KpJB</t>
  </si>
  <si>
    <t>2024-01-01 08:00:00</t>
  </si>
  <si>
    <t>Entering this new year with our commitment to make banking services better and more accessible in 2024.
#FinoPaymentsBank #FikarNot #FinoBanker #DigitalBanking #SecureBanking #HarDinFino #FinoPay #HappyNewYear #NewYear2024 #NewYearCelebration</t>
  </si>
  <si>
    <t>Fino Payments Bank: New year banr nhi banya kya sir</t>
  </si>
  <si>
    <t>2024-01-01 07:54:56</t>
  </si>
  <si>
    <t>Fino Payments Bank: Happy new year</t>
  </si>
  <si>
    <t>2024-01-01 07:54:40</t>
  </si>
  <si>
    <t>@RAJANYADAV-ut5bn</t>
  </si>
  <si>
    <t>❤ nice</t>
  </si>
  <si>
    <t>2024-01-01 05:36:18</t>
  </si>
  <si>
    <t>❤</t>
  </si>
  <si>
    <t>2024-01-01 05:35:54</t>
  </si>
  <si>
    <t>Anil Kesarwani</t>
  </si>
  <si>
    <t>Csc center ke liye kya karna hoga</t>
  </si>
  <si>
    <t>2024-01-01 03:06:18</t>
  </si>
  <si>
    <t>@azmalhussain9274</t>
  </si>
  <si>
    <t>2024-01-01 02:58:29</t>
  </si>
  <si>
    <t>Deepak Patel</t>
  </si>
  <si>
    <t>superb</t>
  </si>
  <si>
    <t>2024-01-01 01:38:12</t>
  </si>
  <si>
    <t>Bhagabat Das</t>
  </si>
  <si>
    <t>2024-01-01 01:18:20</t>
  </si>
  <si>
    <t>Forums</t>
  </si>
  <si>
    <t>Mossadpp88</t>
  </si>
  <si>
    <t>ISEE per assegno unico 2024
Salve avrei un enorme dubbio. Devo compilare l&amp;#39;isee 2024 e si tiene in considerazione il reddito prodotto del 2022. In quel periodo ho lavorato all&amp;#39;estero-unione europea (non iscritto all aire e residente in italia) fino a settembre 2022, per poi rientrare in italia e lavorare regolarmente in azienda italiana. Devo quindi dichiarare solo il reddito settembre-dicembre 2022 omettendo il periodo estero? Se fanno un controllo cosa rischio?    &amp;#32; submitted by &amp;#32;  /u/Mossadpp88  &amp;#32; to &amp;#32;  r/ItaliaPersonalFinance   [link] &amp;#32; [comments]</t>
  </si>
  <si>
    <t>2024-03-12 16:47:52</t>
  </si>
  <si>
    <t>https://www.reddit.com/r/ItaliaPersonalFinance/comments/1bcus90/isee_per_assegno_unico_2024/</t>
  </si>
  <si>
    <t>reddit</t>
  </si>
  <si>
    <t>wzzmlt</t>
  </si>
  <si>
    <t>I soldi della zia
Ciao a tutti, richiedo qualche delucidazione per questa pittoresca situazione finanziaria famigliare. La sorella di mia nonna (che per comodit chiamer zia) si trova in casa di riposo, ha ~90 anni e, come immaginerete, non gode di ottima lucidit mentale (va un po a giorni); il marito ormai  deceduto da tempo. Mio padre si sta preparando al peggio e vorrebbe in qualche modo cautelarsi dal punto di vista economico quando questo avverr. Premetto che mia zia non ha debiti; ha un unico conto in famosa banca italiana locale ripartito in questo modo: - 15k polizza assicurativa - 10k in prodotti bancari vari( a blocchi da 300/600) - 28k liquidi Qualche giorno fa mio padre va in banca e scopre il disastro: - nel 2019 era stato richiesto da mia zia, mio padre e la sorella del marito di mia zia (che al mercato mio padre compr) che i 10k investiti venissero disinvestiti e messi come liquidit; ad oggi (2024), questi soldi sono tuttora investiti nonostante le varie carte firmate. Gli illustrissimi banchieri non ne sanno nulla, danno la colpa ad un loro ex collega che ora non lavora pi in quella banca - sempre nel 2019 la sorella del marito di mia zia e suo figlio hanno sottoscritto la polizza assicurativa da 15k apparentemente senza che mia zia ne fosse consapevole (nulla di certo, tutto da verificare ma siamo garantisti fino alla fine); sembra che, in caso di premorienza di mia zia, questi 15k non dovrebbero arrivare a mio padre (unico vero erede) ma bens alla sorella del marito di mia zia e suo figlio per qualche vincolo legale (non so altro) Tu che leggi e sei arrivato fino qui, ti voglio bene e ti abbraccio. Ad ogni modo, avete dei consigli per supportare mio padre in questa travagliata situazione? La mia idea sarebbe quella di andare in banca con mia zia, chiudere tutto, e trasferire la liquidit su un conto cointestato tra mia zia e mio padre. Grazie in anticipo a chi sapr rispondermi.    &amp;#32; submitted by &amp;#32;  /u/wzzmlt  &amp;#32; to &amp;#32;  r/ItaliaPersonalFinance   [link] &amp;#32; [comments]</t>
  </si>
  <si>
    <t>2024-03-05 04:10:00</t>
  </si>
  <si>
    <t>https://www.reddit.com/r/ItaliaPersonalFinance/comments/1b6oj83/i_soldi_della_zia/</t>
  </si>
  <si>
    <t>not_who_you_think_99</t>
  </si>
  <si>
    <t>Italia vs UK: investimenti esentasse e opzioni di previdenza integrativa
Mi  venuto in mente perch ne parlavo con un amico che si sta trasferendo dall&amp;#39;Inghilterra all&amp;#39;Italia, e si sta informando sui dettagli. Volevo fare un piccolo post sulle differenze di cui so tra Italia e UK, per quanto riguarda investimenti esentasse e previdenza integrativa. Cos, tanto per parlare; se non vi interessa, saltate. Non  affatto un elogio dell&amp;#39;estero (UK ha tanti problemi, soprattutto dopo la Brexit). &amp;#x200B; Il riassunto TLDR  che:  sotto una certa soglia gli investimenti sono tassati molto di meno in UK (zero fino a certe soglie), oltre molto di pi.  la previdenza integrativa gode di vantaggi fiscali maggiori, ci sono molta pi scelta e costi minori ( facile investire la pensione negli ETF che vuoi). Le tasse pi alte le posso capire, ma la poca scelta e i costi alti fanno davvero rabbia per la classe media il sistema britannico  sicuramente migliore; per i riccazzi dipende, perch le plusvalenze finanziarie sono tassate al 20% (vs 26%) ma plusvalenze immobiliari, interessi e dividendi vengono tassati molto di pi si pu discutere su quale sia la soglia pi giusta, ma il concetto di garantire un minimo di investimenti esentasse, per consentire ad una famiglia media di risparmiare due spiccioli senza essere massacrati, mi sembra giustissimo - ma le finanze italiche non se lo possono permettere.  &amp;#x200B; I dettagli: &amp;#x200B; Investimenti esentasse: in UK esistono gli ISA (Individual saving accounts).  Gli adulti ci possono mettere 20k l&amp;#39;anno, i minori 9k (ma quando il minore diventa maggiorenne i soldi diventano suoi e i genitori non hanno alcun controllo). Esistono i cash ISAs, cio conti di deposito che pagano un interesse, e gli stock and shares ISA, cio dei conti titoli in cui puoi comprare (quasi) tutto: fondi azioni bond ETF etc. Entrambi i tipi di ISA sono completamente esentasse: tutti gli interessi capital gain e dividendi sono esentasse, e non vanno nemmeno riportati al fisco (in UK non esiste il regime amministrato)  &amp;#x200B; Previdenza integrativa:   Ogni anno puoi contribuire una cifra tra 10k e 60k; pi guadagni, meno puoi mettere (se guadagni 100k puoi metterne 60k, se guadagni 400k ne puoi mettere 10k). In pi, il datore di lavoro  obbligato a contribuire una certa % di tasca sua I contributi sono esentasse: se guadagni 60k e metti 10k nella pensione, ti tassano su 50k di stipendio I datori di lavoro sono obbligati a fornire una qualche forma di pensione; tipicamente ti fanno scegliere tra i fondi dei vari Aegon Aviva etc. Gli investimenti passivi sono pi cari del fai da te ma penso che in Italia sia peggio, ad es i fondi passivi sugli indici pi comuni spesso costano tra lo 0.20 e 0.30% annuo Puoi anche aprirti un SIPP (self invested personal pension), cio un conto titoli dedicato alla pensione, e metterci tu quello che vuoi, o trasferire periodicamente i contributi dal fondo del datore di lavoro. Ad es ogni due anni trasferisci dal fondo del datore di lavoro al SIPP, investi in ETF, e paghi commissioni annue pi basse Plusvalenze interessi e dividendi sono esentasse Prima dell&amp;#39;et pensionabile i soldi non li puoi toccare Quando poi arrivi all&amp;#39;et della pensione, 1/4 lo puoi prendere come cash, esentasse, e i restanti 3/4 li puoi convertire in rendita, oppure li lasci investiti e attingi periodicamente (drawdown). In entrambi i casi, quello che prendi (che sia rendita o meno) ti viene tassato come se fosse uno stipendio. Quindi le tasse vengono differite: non le paghi quando contribuisci ma quando attingi La pensione statale  minima ed  praticamente uguale per tutti: circa 10k l&amp;#39;anno, ma  la stessa sia per chi guadagnava 30k che per chi guadagnava un milione Le pensioni con sistema retributivo sono ormai pochissime: nel privato sono sparite, nel pubblico ce le hanno alcune categorie (insegnanti, soldati, medici), che tipicamente contribuiscono solo a quel sistema l, anche se, volendo, possono integrare col sistema descritto sopra  &amp;#x200B; Tassazione investimenti Gli investimenti tenuti al di fuori di ISA e SIPP vengono tassati non poco:  gli interessi sono tassati alla tua aliquota marginale i dividendi ad aliquote un po&amp;#39; pi basse dell&amp;#39;aliquota marginale plusvalenze finanziarie al 10 o 20% plusvalenze immobiliari al 18% o 28% (anche dopo pi di 5 anni; viene esclusa solo la prima casa) i titoli di stato inglesi sono esenti da plusvalenza, quindi alla fine tassati meno di un conto di deposito (quando il grosso del rendimento viene da plusvalenza e non dalle cedole) detenere fondi o ETF ad accumulo  un casino, perch devi pagare la tassa sui dividendi reinvestiti e non distribuiti, e quando poi vai a vendere devi considerare quella tassa nel calcolo della plusvalenza. Molte persone comprano la versione che distribuisce per semplicit (ma quella ad accumulo in ISA e SIPP)  &amp;#x200B;    &amp;#32; submitted by &amp;#32;  /u/not_who_you_think_99  &amp;#32; to &amp;#32;  r/ItaliaPersonalFinance   [link] &amp;#32; [comments]</t>
  </si>
  <si>
    <t>2024-03-02 17:11:51</t>
  </si>
  <si>
    <t>https://www.reddit.com/r/ItaliaPersonalFinance/comments/1b4meh7/italia_vs_uk_investimenti_esentasse_e_opzioni_di/</t>
  </si>
  <si>
    <t>Tobra83</t>
  </si>
  <si>
    <t>Codice passaparola
Apri il Conto e Carta BBVA a 0 per sempre e ottieni fino al 31/01/2025: - 10 con il primo acquisto - 4% di remunerazione sul saldo del conto - 4% di cashback sugli acquisti https://www.bbva.it/promo/passaparola.html  codice: 77660060399868    &amp;#32; submitted by &amp;#32;  /u/Tobra83  &amp;#32; to &amp;#32;  r/BBVABank   [link] &amp;#32; [comments]</t>
  </si>
  <si>
    <t>2024-03-02 03:31:57</t>
  </si>
  <si>
    <t>https://www.reddit.com/r/BBVABank/comments/1b46yg3/codice_passaparola/</t>
  </si>
  <si>
    <t>Upstairs-Draft-1107</t>
  </si>
  <si>
    <t>Ecco quanto rende (realmente) BBVA
Ciao a tutti, ho fatto questo calcolo di rendimento del conto BBVA per capire il rendimento in dettaglio. Se ho sbagliato correggetemi, ipotizzando di guadagnare 1600 al mese + 8 di cashaback spendere ogni mese 800 calcolando un interesse mensile di 2.96%/12, successivamente calcolando l&amp;#39;interesse composto sempre con gli stessi paramentri fino a gennaio 2025 e aggiungendo l&amp;#39;imposta di bollo.    &amp;#32; submitted by &amp;#32;  /u/Upstairs-Draft-1107  &amp;#32; to &amp;#32;  r/ItaliaPersonalFinance   [link] &amp;#32; [comments]</t>
  </si>
  <si>
    <t>2024-02-29 13:35:55</t>
  </si>
  <si>
    <t>https://www.reddit.com/r/ItaliaPersonalFinance/comments/1b2v6bs/ecco_quanto_rende_realmente_bbva/</t>
  </si>
  <si>
    <t>JimmyTheLong</t>
  </si>
  <si>
    <t>Fondo pensione
Stavo guardando il video del 9 febbraio del prof Coletti. Non ho ancora aderito a questi fondi e sto cercando di vederci bene. Per non mi tornano delle cose: il fatto che io abbia uno sconto de deducibilita sul montante IRPEF fino 5.1k, significa uno sconto del 35/43 su max 5.1k. Quindi parliamo di 1800/2200 che salviamo.. e che possiamo investire in etf ! Quindi di fatto annualmente la differenza dei rendimenti sarebbe (ho assunto 3% la rendita media Fondo pensione e 1800 salvati da IRPEF 35%) 1) etf: 5100 + 5100(7%) 2) fondo + etf: 5100 + 5100(3%)+ 1800 + 1800(7%) E cos a seguire x gli anni seguenti, con interesse composto. A occhio il caso 2 mi sembra molto pi conveniente. Sbaglio ?     &amp;#32; submitted by &amp;#32;  /u/JimmyTheLong  &amp;#32; to &amp;#32;  r/ItaliaPersonalFinance   [link] &amp;#32; [comments]</t>
  </si>
  <si>
    <t>2024-02-18 09:33:52</t>
  </si>
  <si>
    <t>https://www.reddit.com/r/ItaliaPersonalFinance/comments/1atl3ku/fondo_pensione/</t>
  </si>
  <si>
    <t>SituationOk6836</t>
  </si>
  <si>
    <t>Ha senso cambiare banca nel mio caso?
Ciao, sono uno studente universitario. Nel giro di un paio di anni, sperando, ricever il mio stipendio. Attualmente percepisco solo borsa di studio e basta. Questo in termini di liquidit.  Ho un conto bancario al Monte dei Paschi. Aperto tipo 5 anni fa. Fino ad ora era gratuito, nel senso bonifici gratis, carta di debito gratis e simili. Quindi mi girava abbastanza bene. E la filiale vicino casa, quelle poche volte in cui ci sono andato,  risultata sempre abbastanza competente in termini assistenziali. Il problema  arrivato quest&amp;#39;anno, dove per il conto hanno introdotto un pagamento annuo di 20. Il resto delle condizioni sono rimaste pari pari, ovvero tutto gratuito.  Quindi il mio quesito : converrebbe nel mio caso aprire un conto bancario da Intesa Sanpaolo con la Carta Nazionale Giovani? Dato che il conto  a quanto pare gratuito fino ai 40 anni. Non vorrei l&amp;#39;anno prossimo trovarmi con un conto con commissioni a palla o simili.    &amp;#32; submitted by &amp;#32;  /u/SituationOk6836  &amp;#32; to &amp;#32;  r/ItaliaPersonalFinance   [link] &amp;#32; [comments]</t>
  </si>
  <si>
    <t>2024-02-04 20:27:51</t>
  </si>
  <si>
    <t>https://www.reddit.com/r/ItaliaPersonalFinance/comments/1aipoyj/ha_senso_cambiare_banca_nel_mio_caso/</t>
  </si>
  <si>
    <t>RedditTraduction</t>
  </si>
  <si>
    <t>[Eupersonalfinance] Non riesci a vedere le citazioni VWCE?
Ciao a tutti, Come investitore VWCE-and-Chill investo nel Fund Trough Xetra ogni mese. Di recente non sono stato in grado di vedere le citazioni per il fondo sull&amp;#39;app delle azioni dell&amp;#39;iPhone. La ricerca del fondo su Google offre anche grafici vuoti per le citazioni di 1 giorno e 5 giorni. Quando vado al grafico da 1 m, mi mostra citazioni fino allo scorso venerd, il che  normale. Sai cosa sta succedendo con il fondo? C&amp;#39; qualcosa che non va? Perch non riesco a vedere citazioni 1D e 5D per questo? Grazie Tradotto e ripubblicato dalla pubblicazione 14vpsn9 della comunit eupersonalfinance. Per trovare il post originale, inserire l&amp;#39;id del post dopo "reddit.com/"    &amp;#32; submitted by &amp;#32;  /u/RedditTraduction  &amp;#32; to &amp;#32;  r/redditinitaliano   [link] &amp;#32; [comments]</t>
  </si>
  <si>
    <t>2024-02-03 05:13:54</t>
  </si>
  <si>
    <t>https://www.reddit.com/r/redditinitaliano/comments/1ahhxxz/eupersonalfinance_non_riesci_a_vedere_le/</t>
  </si>
  <si>
    <t>nostradamusso</t>
  </si>
  <si>
    <t>Acquisto immobile in pre asta
Ho individuato un immobile di mio interesse. Lagenzia che lo gestisce mi ha riferito che il prezzo finale non sar confermato dal venditore ma dalla banca. A questo punto lagenzia mi chiede di presentare una proposta con assegno pari a 5k che verr mantenuto dallagenzia. La mia paura sta nel fatto che lacquirente  lagenzia mi portino fino allatto dal notaio (pagando i 5k al venditore e i costi allagenzia) ma che la banca creditrice non liberi il pignoramento in quanto la cifra da me presentata non chiude il debito ed io resto con un pugno di mosche in mano. Dove sbaglio?  giusto il mio ragionamento? Come posso tutelarmi?    &amp;#32; submitted by &amp;#32;  /u/nostradamusso  &amp;#32; to &amp;#32;  r/ItaliaPersonalFinance   [link] &amp;#32; [comments]</t>
  </si>
  <si>
    <t>2024-01-31 01:43:57</t>
  </si>
  <si>
    <t>https://www.reddit.com/r/ItaliaPersonalFinance/comments/1aey2my/acquisto_immobile_in_pre_asta/</t>
  </si>
  <si>
    <t>Katoz96</t>
  </si>
  <si>
    <t>Su quale fondo versare il TFR?
Ciao a tutti, ho da poco cambiato lavoro e la mia nuova azienda offre la possibilit di versare il TFR in un fondo pensione (fondapi o azimut), l&amp;#39;idea di rivedere i mie soldi solo alla pensione non mi entusiasma molto ma sono abbastanza convinto di volerlo fare. Il problema  decidere su quale dei due fondi mettere il TFR. In tutti e due i casi le condizioni sono queste: Contribuzione al fondo: -100% TFR maturando; -2% a carico del datore di lavoro; -1,2% minimo a carico lavoratore; -0,8% eventuale contributo aggiuntivo a carico lavoratore (opzionale) Inoltre avrei la possibilit di versare il welfare nel fondo Devo essere sincero e ammetto che di queste cose non ci capisco nulla quindi non ho idea di quale dei due fondi sia meglio, da quello che mi hanno detto i miei colleghi il fondo di azimut rende di pi ma  pi difficile ritirare i soldi in caso di necessit, c chi dice che addirittura non si possano riavere fino alla pensione. Spero che qualcuno possa aiutarmi a prendere questa decisione    &amp;#32; submitted by &amp;#32;  /u/Katoz96  &amp;#32; to &amp;#32;  r/ItaliaPersonalFinance   [link] &amp;#32; [comments]</t>
  </si>
  <si>
    <t>2024-01-29 21:19:55</t>
  </si>
  <si>
    <t>https://www.reddit.com/r/ItaliaPersonalFinance/comments/1adyfk7/su_quale_fondo_versare_il_tfr/</t>
  </si>
  <si>
    <t>ThankYouQuora</t>
  </si>
  <si>
    <t>La Svolta del 15: Il Percorso di un (quasi) Sopravvissuto Finanziario
Il 15 Giugno 2023 segn l&amp;#39;ultima volta in cui ricevetti uno stipendio completo. La ragione? La mia stessa incoscienza. Quell&amp;#39;anno, dopo aver compilato la dichiarazione dei redditi, scoprii di essere debitore di quasi 2.500 euro. Mi trovai di fronte a una scelta cruciale: saldare immediatamente il debito o rateizzarlo nelle buste paga future. In quel periodo, la fortuna sembrava sorridere, trovai finalmente una casa in affitto. Tra caparra, prima mensilit e commissioni d&amp;#39;agenzia, mi si prospettava una spesa di circa 3.500 euro. Optai, quindi, per la dilazione del debito fiscale, nella speranza di un po&amp;#39; di serenit finanziaria. Ma la realt fu ben diversa. Tra l&amp;#39;arredamento della nuova abitazione e le spese inaspettate, ogni mese divenne una battaglia economica. Spesso le mie spese superavano i 1.100 euro che ricevevo in busta paga. Riluttante a vendere la mia moto o a chiedere aiuto ai miei, e senza risparmi a causa della mia recente entrata nel mondo del lavoro, mi ritrovavo, in alcuni mesi, con appena qualche centinaio di euro per le ultime settimane prima del prossimo stipendio. Per evitare di contrarre prestiti, mi cimentai come rider per due mesi. Le mie giornate si trasformarono in maratone di lavoro, partendo alle 7.30 del mattino per tornare a casa dopo l&amp;#39;ultima consegna in bicicletta alle 22.30. Nei fine settimana, percorrevo fino a 80 chilometri al giorno, guadagnando, nella migliore delle ipotesi, 50 euro. Aspettavo con ansia il 15 Gennaio, il giorno in cui avrei dovuto ricevere quasi 1.600 euro. Tuttavia, un cambio di azienda tumultuoso nel mese precedente port a una trattenuta sul mio stipendio, che sarebbe stata rimborsata dalla nuova azienda nel pagamento del 15 Febbraio. Il 15 Gennaio, sul mio conto bancario atterr una somma esigua, 800 euro, appena sufficienti per coprire l&amp;#39;affitto e le spese di gas del mese. Sembrava quasi un&amp;#39;ironia del destino, l&amp;#39;ultimo ostacolo in questo travagliato percorso. Ora, con 20 giorni all&amp;#39;orizzonte prima del prossimo stipendio, mi aggrappo ai miei calcoli per sopravvivere. Quel 15, finalmente, sta per arrivare. Grazie al job hopping, ho ottenuto un aumento salariale del 40% e mi trovo in una situazione lavorativa decisamente migliore, sia economicamente che mentalmente. Tuttavia, ho deciso di adottare un approccio cauto: tutto ci che ecceder il mio vecchio stipendio sar messo da parte in un fondo di risparmio. Cos, con maggiore tranquillit, ma sempre con un occhio vigile, continuer ad attendere ogni mese quel giorno: il 15.    &amp;#32; submitted by &amp;#32;  /u/ThankYouQuora  &amp;#32; to &amp;#32;  r/ItaliaPersonalFinance   [link] &amp;#32; [comments]</t>
  </si>
  <si>
    <t>2024-01-25 04:05:56</t>
  </si>
  <si>
    <t>https://www.reddit.com/r/ItaliaPersonalFinance/comments/19ethkb/la_svolta_del_15_il_percorso_di_un_quasi/</t>
  </si>
  <si>
    <t>Mainpolosta10_</t>
  </si>
  <si>
    <t>Malattia non retribuita per una serie di equivoci
Il 29-30-31 dicembre non sono andato a lavoro perch stavo male, il 29 sono andato subito dal medico ma c&amp;#39;era la sua sostituta, mi ha dato il numero di protocollo e l&amp;#39;ho subito inviato al datore di lavoro. Va tutto bene fino a quando venerd 5 dicembre verso le sette di sera mi scrive il direttore dicendo che non risulta nessun certificato di malattia aperto e che il numero  sbagliato, dicendomi di chiamare il medico, cosa molto difficile perch tiene il telefono acceso solo 1 ora al giorno dove tutti chiamano in massa, e io durante quella singola ora in cui si pu lavoro. Quindi decido di andarci direttamente luned 8, perch ovviamente il sabato e la domenica non c&amp;#39;, vado e mi dice che solo la sostituta pu vedere il certificato che mi ha fatto e mi dice di andare mercoled 10 perch c&amp;#39;era lei. Ovviamente il 10 c&amp;#39;era dalle 9 alle 13 e io in quelle ore lavoravo, quindi decido di andare dal direttore a chiedere di modificare leggermente l&amp;#39;orario in modo che io possa andarci, subito mi blocca e mi dice che  tutto a posto, che ha spiegato che ho avuto problemi col numero di protocollo e che la malattia me l&amp;#39;avrebbero pagata lo stesso. Lo stesso giorno arriva la busta paga e vedo malattia non retribuita 110 euro, e non risultavano 3 giorni ma 2. Il giorno dopo mi lamento col direttore che scazzato mi dice che non sono capace di leggere la busta paga, e che non  possibile, gliela apro davanti e mi risponde che avrebbe controllato, seguono affermazioni poco gentili come "eh ma per 110 euro fai il puntiglioso" . Ieri mi chiama e mi dice che in realt la malattia  pagata, quella voce che dice non retribuita  normale perch la malattia  pagata al 50% quindi quella trattenuta  la percentuale che non mi pagano, e che sotto ci sono altre voci "in cui non c&amp;#39; scritto chiaramente malattia ma  quella" e che risultano 2 giorni anzich 3 perch uno me l&amp;#39;ha messo come riposo. Soprattutto mi dice che in realt il numero di protocollo alla fine era giusto, solo che il medico aveva problemi col portale dell&amp;#39;INPS e ci ha messo qualche giorno. Ieri sera controllo sul sito dell&amp;#39;INPS cercando il mio numero e non trova nulla, invece mettendo il numero di una malattia fatta in passato lo trova immediatamente. Quindi in sostanza la sostituta o ha sbagliato a scrivermi il numero o non ha fatto neanche partire la malattia, il direttore prima mi avvisa dopo 1 settimana che il numero era sbagliato, poi mi dice che era tutto a posto anche se non era vero, quando chiedo spiegazioni mi rifila una marea di cazzate e mi d anche del coglione che se la prende per 110 euro. Sono fregato? Se riesco a beccare la sostituta, farmi dare il numero corretto o direttamente il certificato ho qualche possibilit? O ormai  passato troppo tempo? Mi dovrei rivolgere ai sindacati? La cosa che mi toglie la speranze  che io non ho prove apparte un post-it in cui c&amp;#39; scritto il numero di protocollo a penna, tutti potrebbero benissimo dirmi che sono stato io a non farlo in tempo e che sono cazzi miei ora.    &amp;#32; submitted by &amp;#32;  /u/Mainpolosta10_  &amp;#32; to &amp;#32;  r/ItaliaPersonalFinance   [link] &amp;#32; [comments]</t>
  </si>
  <si>
    <t>2024-01-16 15:47:55</t>
  </si>
  <si>
    <t>https://www.reddit.com/r/ItaliaPersonalFinance/comments/197zn1p/malattia_non_retribuita_per_una_serie_di_equivoci/</t>
  </si>
  <si>
    <t>CoffeeCorner90</t>
  </si>
  <si>
    <t>Abbassare ISEE 24 investendo in titoli di stato
Ciao Ragazzi, ho recentemente letto della possibilit di escludere dal calcolo del proprio patrimonio mobiliare ai fini ISEE gli investimenti in titoli di stato.  Nello specifico il testo della legge di bilancio recita come segue: "Nella determinazione dellindicatore della situazione economica equivalente (ISEE) sono esclusi, fino al valore complessivo di 50.000 euro, i titoli di Stato di cui allarticolo 3 del testo unico delle disposizioni legislative e regolamentari in materia di debito pubblico, di cui al decreto del Presidente della Repubblica 30 dicembre 2003, n. 398, nonche i prodotti finanziari di raccolta del risparmio con obbligo di rimborso assistito dalla garanzia dello Stato." In particolare si fa riferimento a:  Buoni ordinari del Tesoro (BOT ) CTZ (Certificati del tesoro zero-coupon),  Buoni del tesoro poliennali (BTP),   Certificati di credito del Tesoro (CCT),  buoni postali fruttiferi,  libretti di risparmio postale  A questo punto ho due domande: 1- Non ho ben capito se con la frase "prodotti finanziari di raccolta del risparmio con obbligo di rimborso assistito dalla garanzia dello Stato" si faccia riferimento anche a Conti Deposito. 2- Facendo oggi un investimento in Titoli di Stato si abbassa gi da subito l&amp;#39;Isee 2024, o l&amp;#39;investimento di oggi abbasser l&amp;#39;ISEE 2026 ? Ovvero funziona come per la giacenza media del conto corrente, per la quale ai fini del calcolo ISEE 2024 fa fede la giacenza 2022 di due anni prima? Grazie a tutti per le dritte    &amp;#32; submitted by &amp;#32;  /u/CoffeeCorner90  &amp;#32; to &amp;#32;  r/ItaliaPersonalFinance   [link] &amp;#32; [comments]</t>
  </si>
  <si>
    <t>2024-01-12 14:09:57</t>
  </si>
  <si>
    <t>https://www.reddit.com/r/ItaliaPersonalFinance/comments/194qdko/abbassare_isee_24_investendo_in_titoli_di_stato/</t>
  </si>
  <si>
    <t>Mountain_Bumblebee_9</t>
  </si>
  <si>
    <t>Filosofie su costo TER nel lungo periodo.
Ciao, long story short, sto pensando di sostituire CAPU con SP5A o analogo a basso TER. CAPU  filosoficamente figo ma costa 0.65, SP5A 0.03. Eventuali etf pi liquidi cmq costano 0.07. Vabb al netto che  sbagliato saltare da un etf all&amp;#39;altro e compagnia bella (che poi fino ad un certo punto, basta non farlo continuamente) mi sono reso conto che non so fare un&amp;#39;analisi fatta bene su cosa converrebbe. Lasciando perdere il futuro, anche facendo un backtest a 15 anni faccio fatica. A pelle direi che CAPU conviene comunque perch, dati di justETF, ha percentualmente reso parecchio di pi. Per sticazzi, vorrei i numeri alla mano, ma c&amp;#39; anche lo spread da tenere in conto... Insomma un caso reale non  alla mia portata. Qualcuno si fa lo stesso tipo di pippe? pls no "VWCE and chill" che non lo posso pi sentire.    &amp;#32; submitted by &amp;#32;  /u/Mountain_Bumblebee_9  &amp;#32; to &amp;#32;  r/ItaliaPersonalFinance   [link] &amp;#32; [comments]</t>
  </si>
  <si>
    <t>2024-01-07 22:45:53</t>
  </si>
  <si>
    <t>https://www.reddit.com/r/ItaliaPersonalFinance/comments/190wzhy/filosofie_su_costo_ter_nel_lungo_periodo/</t>
  </si>
  <si>
    <t>SnooSuggestions7655</t>
  </si>
  <si>
    <t>Se Dave Ramsey fosse nato a Pioltello: come rivedere i 7 baby steps in ottica italiana?
Ciao a tutti, come da titolo. Vostra opinione: come potremmo rivedere i 7 baby steps di Dave Ramsey tenendo conto che siamo in Italia?  Parto io Step 1: 1000 euro di fondo d&amp;#39;emergenza Step 2: Ripagare tutto il debito al consumo (finanziamenti, carte di credito, auto, etc..) Step 3: Fondo di emergenza con 3-6 mesi di spese Step 4: Apriti un fondo pensione e versa il massimo deducibile (max 470eur/mese) Step 5: Metti via e investi in VWCE o simili 100 eur/mese per i tuoi figli, o prendigli dei buoni postali fino alla maggiore eta&amp;#39; (Prof. Coletti docet) Step 6: Chiudi il tuo mutuo in anticipo Step 7: Investi in un fondo internazionale diversificato  Cosa ne pensate? Rivedreste qualcosa?    &amp;#32; submitted by &amp;#32;  /u/SnooSuggestions7655  &amp;#32; to &amp;#32;  r/ItaliaPersonalFinance   [link] &amp;#32; [comments]</t>
  </si>
  <si>
    <t>2024-01-07 16:45:55</t>
  </si>
  <si>
    <t>https://www.reddit.com/r/ItaliaPersonalFinance/comments/190q04d/se_dave_ramsey_fosse_nato_a_pioltello_come/</t>
  </si>
  <si>
    <t>intothelooper</t>
  </si>
  <si>
    <t>Single a Zurigo partito da zero
Mi accodo agli altri svizzeri che hanno postato il diagramma sankey. Mi inserisco per dare una prospettiva diversa agli utenti del sub. In genere vedo laureati e dottori che postano. Il mio  un lungo percorso iniziato veramente da zero, a vendere giornali, dopo il diploma di scuola superiore.  32M - in CH dal 2011  Vivo in appartamento abbastanza grande a Zurigo con un affitto ragionevole, dal 2011 Lavoro in IT, posizione tra design e sviluppo, con circa 8-9 anni di esperienza in vari ruoli di consulenza dall&amp;#39;inizio del 2015. Ramo banking, fintech, insurance. Ho fatto diversi lavori prima di arrivare su un RAL abbastanza buono. Quando ho cominciato a lavorare la prima RAL in Svizzera era intorno ai 24k con assicurazione sanitaria pagata, poi per anni 40k fino ad arrivare nel 2016 a 75k.  Obiettivi finanziari:  Sono ormai 4-5 anni che cerco di risparmiare circa il 35-45% del mio reddito annuo cosi da arrivare vicino al coastFIRE, e rallentare un po le cose nei prossimi 8-10 anni. Magari tornare in Italia, anche se  molto difficile vivere lontano dalla svizzera, dove i servizi e la qualit della vita sono impeccabili.  Obiettivi personali:  Trovare un nuovo lavoro che non mi prosciughi mentalmente e fisicamente. Lavorare in consulting  molto stressante ed  stato abbastanza tossico negli ultimi anni. A causa di una ristrutturazione del budget, sono stato licenziato e il mio contratto  terminato ufficialmente il 31.12.2023. Attualmente sono senza lavoro, anche se ho un&amp;#39;offerta da parte di un&amp;#39;altra azienda. In generale il mercato  un po lento e sta diventando molto pi competitivo Finire l&amp;#39;iter per il passaporto svizzero  Diagramma:  Alcune delle cifre pi piccole potrebbero mancare di qualche centinaio di CHF, poich ho raggruppato alcune voci per mantenere un grafico conciso. Dovr pagare altre tasse, quest&amp;#39;anno ne ho pagate meno perch l&amp;#39;anno scorso ho pagato pi del dovuto.  &amp;#x200B; Alcune considerazioni dal mio lato:  Vivere in Svizzera da expat non  facile. Il sacrifico deve essere costante in qualsiasi cosa e bisogna andare al doppio di chi  nato qui per prendersi ci che si vuole. Bisogna, per forza di cose imparare la lingua per arrivare a certi livelli, a meno che non si lavori in FAANG. Non  il paradiso, anzi, a livello di lifestyle, state lontani da Zurigo se siete persone molto attive, dato che  molto facile spendere 2-3k al mese per uscire a mangiare al ristorante 2 volte a settimana e drink in giro. Ho perso rapporti con il 90% delle persone che conoscevo ed adesso dopo tanti anni sto cercando di riallacciare i rapporti con i miei migliori amici. Ho capito molto tardi che la vit non  solo lavoro ed ho bruciato tante amicizie tra i miei 20-30  &amp;#x200B; Se avete domande, non esitate a chiedere e far del mio meglio per rispondere :)    &amp;#32; submitted by &amp;#32;  /u/intothelooper  &amp;#32; to &amp;#32;  r/ItaliaPersonalFinance   [link] &amp;#32; [comments]</t>
  </si>
  <si>
    <t>2024-01-04 18:23:51</t>
  </si>
  <si>
    <t>https://www.reddit.com/r/ItaliaPersonalFinance/comments/18ychvm/single_a_zurigo_partito_da_zero/</t>
  </si>
  <si>
    <t>rollback2022</t>
  </si>
  <si>
    <t>CA Auto Bank conferma i tassi dei conti deposito, validi fino al 31/01/2024.
Rispetto ai tassi precedenti,  cambiato esclusivamente quello a 12 mesi, passando da 4,30% a 4,40%.    &amp;#32; submitted by &amp;#32;  /u/rollback2022  &amp;#32; to &amp;#32;  r/ItaliaPersonalFinance   [link] &amp;#32; [comments]</t>
  </si>
  <si>
    <t>2024-01-04 01:47:55</t>
  </si>
  <si>
    <t>https://www.reddit.com/r/ItaliaPersonalFinance/comments/18xswke/ca_auto_bank_conferma_i_tassi_dei_conti_deposito/</t>
  </si>
  <si>
    <t>Mandriano00</t>
  </si>
  <si>
    <t>irpef e ritenute alla fonte
ciao, scusate la mia profonda ignoranza. Ma vorrei fare alcune domande di base riguardo alle tasse nel caso di investimenti finanziari e quindi rendite finanziarie. Ho capito che le tasse per rendite finanziarie sono, semplificando, il 26%. Ho letto da qualche parte che il broker restituisce gi il netto dei guadagni e fa come da intermediario fiscale presso lo stato. Sempre che ho capito bene. Quindi in teoria le rendite sono gi tassate ? Ma allora come si concilia la questione delle minusvalenze ? Cio il fatto che le minusvalenze possono andare a compensare le tasse da pagare sulle plusvalenze ? Inoltre se io gi pago alla fonte.. poi queste rendite nette sono imponibili per l&amp;#39;irpef ? E quindi subiscono una ulteriore detrazione del 23% se fino a 28k, del 35% fino da 50k e del 43% oltre i 50k ? Oppure fa tutto il broker/banca e quindi la mia dichiarazione dei redditi non  impobile per le rendite finanziarie ?    &amp;#32; submitted by &amp;#32;  /u/Mandriano00  &amp;#32; to &amp;#32;  r/ItaliaPersonalFinance   [link] &amp;#32; [comments]</t>
  </si>
  <si>
    <t>2024-01-04 01:13:57</t>
  </si>
  <si>
    <t>https://www.reddit.com/r/ItaliaPersonalFinance/comments/18xs26l/irpef_e_ritenute_alla_fonte/</t>
  </si>
  <si>
    <t>News</t>
  </si>
  <si>
    <t>Pankaj Tripathi is brand ambassador for Fino Payments Bank Limited&amp;nbsp;&amp;nbsp;Exchange4MediaPankaj Tripathi is brand ambassador for Fino Payments Bank Limited - Exchange4Media</t>
  </si>
  <si>
    <t>2024-03-21 12:30:00</t>
  </si>
  <si>
    <t>https://news.google.com/rss/articles/CBMifGh0dHBzOi8vd3d3LmV4Y2hhbmdlNG1lZGlhLmNvbS9tYXJrZXRpbmctbmV3cy9wYW5rYWotdHJpcGF0aGktaXMtYnJhbmQtYW1iYXNzYWRvci1mb3ItZmluby1wYXltZW50cy1iYW5rLWxpbWl0ZWQtMTE1NjM1Lmh0bWzSAQA?oc=5</t>
  </si>
  <si>
    <t>google</t>
  </si>
  <si>
    <t>Fino Payments Bank appoints Anita Sudhir Pai and Neeta Mukerji as Independent Directors&amp;nbsp;&amp;nbsp;MediabriefFino Payments Bank appoints Anita Sudhir Pai and Neeta Mukerji as Independent Directors - Mediabrief</t>
  </si>
  <si>
    <t>2024-03-15 19:55:12</t>
  </si>
  <si>
    <t>https://news.google.com/rss/articles/CBMib2h0dHBzOi8vbWVkaWFicmllZi5jb20vZmluby1wYXltZW50cy1iYW5rLWFwcG9pbnRzLWFuaXRhLXN1ZGhpci1wYWktYW5kLW5lZXRhLW11a2VyamktYXMtaW5kZXBlbmRlbnQtZGlyZWN0b3JzL9IBAA?oc=5</t>
  </si>
  <si>
    <t>Fino Payments Bank strengthens its Board, appoints two women Independent Directors with diverse professional expertise&amp;nbsp;&amp;nbsp;APN NewsFino Payments Bank strengthens its Board, appoints two women Independent Directors with diverse professional expertise - APN News</t>
  </si>
  <si>
    <t>2024-03-14 13:58:58</t>
  </si>
  <si>
    <t>https://news.google.com/rss/articles/CBMijgFodHRwczovL3d3dy5hcG5uZXdzLmNvbS9maW5vLXBheW1lbnRzLWJhbmstc3RyZW5ndGhlbnMtaXRzLWJvYXJkLWFwcG9pbnRzLXR3by13b21lbi1pbmRlcGVuZGVudC1kaXJlY3RvcnMtd2l0aC1kaXZlcnNlLXByb2Zlc3Npb25hbC1leHBlcnRpc2Uv0gGOAWh0dHBzOi8vd3d3LmFwbm5ld3MuY29tL2Zpbm8tcGF5bWVudHMtYmFuay1zdHJlbmd0aGVucy1pdHMtYm9hcmQtYXBwb2ludHMtdHdvLXdvbWVuLWluZGVwZW5kZW50LWRpcmVjdG9ycy13aXRoLWRpdmVyc2UtcHJvZmVzc2lvbmFsLWV4cGVydGlzZS8?oc=5</t>
  </si>
  <si>
    <t>Fino Payments Bank appoints two additional directors</t>
  </si>
  <si>
    <t>2024-03-14 03:59:32</t>
  </si>
  <si>
    <t>https://www.thehindu.com/business/fino-payments-bank-appoints-two-additional-directors/article67948164.ece</t>
  </si>
  <si>
    <t>thehindu</t>
  </si>
  <si>
    <t>Fino Payments Bank is a subsidiary of Fino Paytech, which is backed by marquee investors like Bharat Petroleum, ICICI group, Blackstone, IFC&amp;nbsp;...Anita Pai Neeta Mukerji Appointed As Additional Directors In Fino Payments Banks</t>
  </si>
  <si>
    <t>2024-03-14 01:49:36</t>
  </si>
  <si>
    <t>https://www.businessworld.in/article/Anita-Pai-Neeta-Mukerji-Appointed-As-Additional-Directors-In-Fino-Payments-Banks/13-03-2024-513333</t>
  </si>
  <si>
    <t>businessworld</t>
  </si>
  <si>
    <t>She comes with hands-on as well as strategic leadership expertise across technology, digital banking, and operations. Neeta Mukerji is alumnus of IIM&amp;nbsp;...Fino Payments Bank appoints 2 women Independent Directors on Board - Moneycontrol</t>
  </si>
  <si>
    <t>2024-03-13 23:51:10</t>
  </si>
  <si>
    <t>https://www.moneycontrol.com/news/business/fino-payments-bank-appoints-2-women-independent-directors-on-board-12454131.html</t>
  </si>
  <si>
    <t>moneycontrol</t>
  </si>
  <si>
    <t>... digital-led growth&amp;#39;. The additions to the company&amp;#39;s board come at a time when the payments bank has applied for a small finance bank licence.Fino Payments Bank appoints two new independent directors on its board</t>
  </si>
  <si>
    <t>2024-03-13 22:42:18</t>
  </si>
  <si>
    <t>https://www.business-standard.com/companies/news/fino-payments-bank-appoints-two-new-independent-directors-on-its-board-124031301134_1.html</t>
  </si>
  <si>
    <t>business-standard</t>
  </si>
  <si>
    <t>Fino Payments Bank appoints two additional directors&amp;nbsp;&amp;nbsp;The HinduFino Payments Bank appoints two additional directors - The Hindu</t>
  </si>
  <si>
    <t>2024-03-13 22:29:00</t>
  </si>
  <si>
    <t>https://news.google.com/rss/articles/CBMiamh0dHBzOi8vd3d3LnRoZWhpbmR1LmNvbS9idXNpbmVzcy9maW5vLXBheW1lbnRzLWJhbmstYXBwb2ludHMtdHdvLWFkZGl0aW9uYWwtZGlyZWN0b3JzL2FydGljbGU2Nzk0ODE2NC5lY2XSAW9odHRwczovL3d3dy50aGVoaW5kdS5jb20vYnVzaW5lc3MvZmluby1wYXltZW50cy1iYW5rLWFwcG9pbnRzLXR3by1hZGRpdGlvbmFsLWRpcmVjdG9ycy9hcnRpY2xlNjc5NDgxNjQuZWNlL2FtcC8?oc=5</t>
  </si>
  <si>
    <t>Fino Payments Bank appoints two new independent directors on its board&amp;nbsp;&amp;nbsp;Business StandardFino Payments Bank appoints two new independent directors on its board - Business Standard</t>
  </si>
  <si>
    <t>2024-03-13 22:11:06</t>
  </si>
  <si>
    <t>https://news.google.com/rss/articles/CBMiiwFodHRwczovL3d3dy5idXNpbmVzcy1zdGFuZGFyZC5jb20vY29tcGFuaWVzL25ld3MvZmluby1wYXltZW50cy1iYW5rLWFwcG9pbnRzLXR3by1uZXctaW5kZXBlbmRlbnQtZGlyZWN0b3JzLW9uLWl0cy1ib2FyZC0xMjQwMzEzMDExMzRfMS5odG1s0gGPAWh0dHBzOi8vd3d3LmJ1c2luZXNzLXN0YW5kYXJkLmNvbS9hbXAvY29tcGFuaWVzL25ld3MvZmluby1wYXltZW50cy1iYW5rLWFwcG9pbnRzLXR3by1uZXctaW5kZXBlbmRlbnQtZGlyZWN0b3JzLW9uLWl0cy1ib2FyZC0xMjQwMzEzMDExMzRfMS5odG1s?oc=5</t>
  </si>
  <si>
    <t>Anita Sudhir Pai and Neeta Mukerji join Fino Payments Bank as Independent Directors&amp;nbsp;&amp;nbsp;BusinessLineAnita Sudhir Pai and Neeta Mukerji join Fino Payments Bank as Independent Directors - BusinessLine</t>
  </si>
  <si>
    <t>2024-03-13 22:01:26</t>
  </si>
  <si>
    <t>https://news.google.com/rss/articles/CBMingFodHRwczovL3d3dy50aGVoaW5kdWJ1c2luZXNzbGluZS5jb20vbW9uZXktYW5kLWJhbmtpbmcvYW5pdGEtc3VkaGlyLXBhaS1hbmQtbmVldGEtbXVrZXJqaS1qb2luLWZpbm8tcGF5bWVudHMtYmFuay1hcy1pbmRlcGVuZGVudC1kaXJlY3RvcnMvYXJ0aWNsZTY3OTQ3ODY3LmVjZdIBowFodHRwczovL3d3dy50aGVoaW5kdWJ1c2luZXNzbGluZS5jb20vbW9uZXktYW5kLWJhbmtpbmcvYW5pdGEtc3VkaGlyLXBhaS1hbmQtbmVldGEtbXVrZXJqaS1qb2luLWZpbm8tcGF5bWVudHMtYmFuay1hcy1pbmRlcGVuZGVudC1kaXJlY3RvcnMvYXJ0aWNsZTY3OTQ3ODY3LmVjZS9hbXAv?oc=5</t>
  </si>
  <si>
    <t>Anita Pai &amp; Neeta Mukerji Appointed As Additional Directors In Fino Payments Banks&amp;nbsp;&amp;nbsp;BW BusinessworldAnita Pai &amp; Neeta Mukerji Appointed As Additional Directors In Fino Payments Banks - BW Businessworld</t>
  </si>
  <si>
    <t>2024-03-13 19:45:56</t>
  </si>
  <si>
    <t>https://news.google.com/rss/articles/CBMihwFodHRwczovL3d3dy5idXNpbmVzc3dvcmxkLmluL2FydGljbGUvQW5pdGEtUGFpLU5lZXRhLU11a2VyamktQXBwb2ludGVkLUFzLUFkZGl0aW9uYWwtRGlyZWN0b3JzLUluLUZpbm8tUGF5bWVudHMtQmFua3MvMTMtMDMtMjAyNC01MTMzMzPSAQA?oc=5</t>
  </si>
  <si>
    <t>As part of its preparations for the next phase of digital led growth, Fino Payments Bank has appointed two new members on its Board.Fino Payments Bank adds two women Independent Directors - Adgully.com</t>
  </si>
  <si>
    <t>2024-03-13 19:32:13</t>
  </si>
  <si>
    <t>https://www.adgully.com/fino-payments-bank-adds-two-women-independent-directors-143004.html</t>
  </si>
  <si>
    <t>adgully</t>
  </si>
  <si>
    <t>Fino Payments Bank appoints 2 women Independent Directors on Board&amp;nbsp;&amp;nbsp;MoneycontrolFino Payments Bank appoints 2 women Independent Directors on Board - Moneycontrol</t>
  </si>
  <si>
    <t>2024-03-13 18:57:54</t>
  </si>
  <si>
    <t>https://news.google.com/rss/articles/CBMie2h0dHBzOi8vd3d3Lm1vbmV5Y29udHJvbC5jb20vbmV3cy9idXNpbmVzcy9maW5vLXBheW1lbnRzLWJhbmstYXBwb2ludHMtMi13b21lbi1pbmRlcGVuZGVudC1kaXJlY3RvcnMtb24tYm9hcmQtMTI0NTQxMzEuaHRtbNIBf2h0dHBzOi8vd3d3Lm1vbmV5Y29udHJvbC5jb20vbmV3cy9idXNpbmVzcy9maW5vLXBheW1lbnRzLWJhbmstYXBwb2ludHMtMi13b21lbi1pbmRlcGVuZGVudC1kaXJlY3RvcnMtb24tYm9hcmQtMTI0NTQxMzEuaHRtbC9hbXA?oc=5</t>
  </si>
  <si>
    <t>Fino Payments Bank adds two women Independent Directors&amp;nbsp;&amp;nbsp;AdgullyFino Payments Bank adds two women Independent Directors - Adgully</t>
  </si>
  <si>
    <t>2024-03-13 18:32:52</t>
  </si>
  <si>
    <t>https://news.google.com/rss/articles/CBMiW2h0dHBzOi8vd3d3LmFkZ3VsbHkuY29tL2Zpbm8tcGF5bWVudHMtYmFuay1hZGRzLXR3by13b21lbi1pbmRlcGVuZGVudC1kaXJlY3RvcnMtMTQzMDA0Lmh0bWzSAQA?oc=5</t>
  </si>
  <si>
    <t>Fino Payments Bank strengthens its Board, appoints two women Independent Directors with diverse professional ...&amp;nbsp;&amp;nbsp;Equity BullsFino Payments Bank strengthens its Board, appoints two women Independent Directors with diverse professional ... - Equity Bulls</t>
  </si>
  <si>
    <t>2024-03-13 12:30:00</t>
  </si>
  <si>
    <t>https://news.google.com/rss/articles/CBMiMmh0dHBzOi8vd3d3LmVxdWl0eWJ1bGxzLmNvbS9jYXRlZ29yeS5waHA_aWQ9MzQ0Mzcy0gEA?oc=5</t>
  </si>
  <si>
    <t>However, there remains a challenge in migrating 10-15% of the payment bank users to other banks, he added. Overall, shares of Paytm slipped 3.3%&amp;nbsp;...New-Age Tech Stocks Come Under Selling Pressure; Fino Payments Only Gainer This Week</t>
  </si>
  <si>
    <t>2024-03-10 13:11:22</t>
  </si>
  <si>
    <t>https://www.technologyforyou.org/new-age-tech-stocks-come-under-selling-pressure-fino-payments-only-gainer-this-week/</t>
  </si>
  <si>
    <t>technologyforyou</t>
  </si>
  <si>
    <t>La Cerveza Más Fina, Meet El Actor Más Fino&amp;nbsp;&amp;nbsp;Yahoo FinanceLa Cerveza Más Fina, Meet El Actor Más Fino - Yahoo Finance</t>
  </si>
  <si>
    <t>2024-03-06 02:30:00</t>
  </si>
  <si>
    <t>https://news.google.com/rss/articles/CBMiRGh0dHBzOi8vZmluYW5jZS55YWhvby5jb20vbmV3cy9sYS1jZXJ2ZXphLW0tZmluYS1tZWV0LTIxMDAwMDE5OS5odG1s0gEA?oc=5</t>
  </si>
  <si>
    <t>Fino Payments Bank Limited - Press Release&amp;nbsp;&amp;nbsp;IndiainfolineFino Payments Bank Limited - Press Release - Indiainfoline</t>
  </si>
  <si>
    <t>2024-03-04 01:50:55</t>
  </si>
  <si>
    <t>https://news.google.com/rss/articles/CBMiVWh0dHBzOi8vd3d3LmluZGlhaW5mb2xpbmUuY29tL25ld3MvY29tcGFuaWVzL2Zpbm8tcGF5bWVudHMtYmFuay1saW1pdGVkLXByZXNzLXJlbGVhc2XSAQA?oc=5</t>
  </si>
  <si>
    <t>Emerald Leasing Finance &amp; Investment Company Ltd, Emerald Leisures Ltd ... Finkurve Financial Services Ltd, Fino Payments Bank Limited, Finolex&amp;nbsp;...Veer Energy &amp; Infrastructure Ltd approves 1:3 rights issue | EquityBulls</t>
  </si>
  <si>
    <t>2024-02-28 20:25:04</t>
  </si>
  <si>
    <t>https://www.equitybulls.com/category.php%3Fid%3D343805</t>
  </si>
  <si>
    <t>Fino Payments Bank Seeks RBI Nod for Small Finance License, Eyes Massive Growth and MSME Focus&amp;nbsp;&amp;nbsp;BNN BreakingFino Payments Bank Seeks RBI Nod for Small Finance License, Eyes Massive Growth and MSME Focus - BNN Breaking</t>
  </si>
  <si>
    <t>2024-02-20 02:19:57</t>
  </si>
  <si>
    <t>https://news.google.com/rss/articles/CBMigQFodHRwczovL2JubmJyZWFraW5nLmNvbS9maW5hbmNlLW5hdi9maW5vLXBheW1lbnRzLWJhbmstc2Vla3MtcmJpLW5vZC1mb3Itc21hbGwtZmluYW5jZS1saWNlbnNlLWV5ZXMtbWFzc2l2ZS1ncm93dGgtYW5kLW1zbWUtZm9jdXPSAYEBaHR0cHM6Ly9ibm5icmVha2luZy5jb20vZmluYW5jZS1uYXYvZmluby1wYXltZW50cy1iYW5rLXNlZWtzLXJiaS1ub2QtZm9yLXNtYWxsLWZpbmFuY2UtbGljZW5zZS1leWVzLW1hc3NpdmUtZ3Jvd3RoLWFuZC1tc21lLWZvY3Vz?oc=5</t>
  </si>
  <si>
    <t>As Fino awaits small finance bank licence, a growth vs. valuation debate crops up&amp;nbsp;&amp;nbsp;The Economic TimesAs Fino awaits small finance bank licence, a growth vs. valuation debate crops up - The Economic Times</t>
  </si>
  <si>
    <t>2024-02-13 15:08:00</t>
  </si>
  <si>
    <t>https://news.google.com/rss/articles/CBMiogFodHRwczovL20uZWNvbm9taWN0aW1lcy5jb20vcHJpbWUvbW9uZXktYW5kLW1hcmtldHMvYXMtZmluby1hd2FpdHMtc21hbGwtZmluYW5jZS1iYW5rLWxpY2VuY2UtYS1ncm93dGgtdnMtdmFsdWF0aW9uLWRlYmF0ZS1jcm9wcy11cC9wcmltZWFydGljbGVzaG93LzEwNzYzNjEzNy5jbXPSAaYBaHR0cHM6Ly9tLmVjb25vbWljdGltZXMuY29tL3ByaW1lL21vbmV5LWFuZC1tYXJrZXRzL2FzLWZpbm8tYXdhaXRzLXNtYWxsLWZpbmFuY2UtYmFuay1saWNlbmNlLWEtZ3Jvd3RoLXZzLXZhbHVhdGlvbi1kZWJhdGUtY3JvcHMtdXAvYW1wX3ByaW1lYXJ0aWNsZXNob3cvMTA3NjM2MTM3LmNtcw?oc=5</t>
  </si>
  <si>
    <t>All private payment banks are owned by telecomm giants, except for Fino, which has evolved from Fino Paytech, with a track record of providing banking&amp;nbsp;...Paytm payments bank controversy: Unpacking regulatory challenges in India&amp;#39;s ... - Times of India</t>
  </si>
  <si>
    <t>2024-02-09 20:19:45</t>
  </si>
  <si>
    <t>https://timesofindia.indiatimes.com/blogs/voices/paytm-payments-bank-controversy-unpacking-regulatory-challenges-in-indias-payment-banking-landscape/</t>
  </si>
  <si>
    <t>indiatimes</t>
  </si>
  <si>
    <t>These are Aditya Birla Nuvo, Airtel M Commerce Services, Cholamandalam Distribution Services, Department of Posts, FINO PayTech, National&amp;nbsp;...Why have half of India&amp;#39;s payments banks shut shop? - Moneycontrol</t>
  </si>
  <si>
    <t>2024-02-07 04:02:02</t>
  </si>
  <si>
    <t>https://www.moneycontrol.com/news/business/why-have-half-of-indias-payments-banks-shut-shop-12204691.html</t>
  </si>
  <si>
    <t>... digital banks in 2022.JIO Payments, for Fino small finance bank The policy is beneficial. After the license of the digital bank, the scope of&amp;nbsp;...Jio Financial Services : Big News for Payments &amp; Small Finance Banks: RBI Set to Release ...</t>
  </si>
  <si>
    <t>2024-02-06 07:15:06</t>
  </si>
  <si>
    <t>https://www.zeebiz.com/market-news/video-gallery-jio-financial-services-big-news-for-payments-small-finance-banks-rbi-set-to-release-new-rules-275177</t>
  </si>
  <si>
    <t>zeebiz</t>
  </si>
  <si>
    <t>Fino Payments Bank shares, which competes with Paytm, hit the 20% upper circuit limit at Rs 372.30. Jio Financial or JFSL shares rallied 16% to hit a fresh high of Rs 295 after a newspaper reported that One 97 Communications is in talks with Jio to sell the Paytm wallet business.Paytm crisis makes investors hunt for other fertile fintechs. Top 2 stocks on radar</t>
  </si>
  <si>
    <t>2024-02-05 20:06:37</t>
  </si>
  <si>
    <t>https://economictimes.indiatimes.com/markets/stocks/news/paytm-crisis-makes-investors-hunt-for-other-fertile-fintechs-top-2-stocks-on-radar/articleshow/107424239.cms</t>
  </si>
  <si>
    <t>Fino Payments Bank shares, which competes with Paytm, hit the 20% upper circuit limit at Rs 372.30. Jio Financial or JFSL shares rallied 16% to&amp;nbsp;...Paytm crisis makes investors hunt for other fertile fintechs. Top 2 stocks on radar</t>
  </si>
  <si>
    <t>2024-02-05 18:21:43</t>
  </si>
  <si>
    <t>https://m.economictimes.com/markets/stocks/news/paytm-crisis-makes-investors-hunt-for-other-fertile-fintechs-top-2-stocks-on-radar/articleshow/107424239.cms</t>
  </si>
  <si>
    <t>economictimes</t>
  </si>
  <si>
    <t>Jio Fin, Unichem, Fino Payments gain on a volatile day. Details inside&amp;nbsp;&amp;nbsp;Business TodayJio Fin, Unichem, Fino Payments gain on a volatile day. Details inside - Business Today</t>
  </si>
  <si>
    <t>2024-02-05 17:09:47</t>
  </si>
  <si>
    <t>https://news.google.com/rss/articles/CBMihQFodHRwczovL3d3dy5idXNpbmVzc3RvZGF5LmluL3Zpc3VhbHN0b3JpZXMvc3RvY2svamlvLWZpbi11bmljaGVtLWZpbm8tcGF5bWVudHMtZ2Fpbi1vbi1hLXZvbGF0aWxlLWRheS1kZXRhaWxzLWluc2lkZS05OTc1MC0wNS0wMi0yMDI00gGFAWh0dHBzOi8vd3d3LmJ1c2luZXNzdG9kYXkuaW4vdmlzdWFsc3Rvcmllcy9zdG9jay9qaW8tZmluLXVuaWNoZW0tZmluby1wYXltZW50cy1nYWluLW9uLWEtdm9sYXRpbGUtZGF5LWRldGFpbHMtaW5zaWRlLTk5NzUwLTA1LTAyLTIwMjQ?oc=5</t>
  </si>
  <si>
    <t>Fino Payments Bank's 9M'24 revenue up 19% YoY to ₹1077.1 crore&amp;nbsp;&amp;nbsp;MediabriefFino Payments Bank's 9M'24 revenue up 19% YoY to ₹1077.1 crore - Mediabrief</t>
  </si>
  <si>
    <t>2024-02-02 19:15:52</t>
  </si>
  <si>
    <t>https://news.google.com/rss/articles/CBMiL2h0dHBzOi8vbWVkaWFicmllZi5jb20vZmluby1wYXltZW50cy1iYW5rLXEzMjQv0gEA?oc=5</t>
  </si>
  <si>
    <t>The Bank&amp;#39;s focus on digital and enhanced customer engagement paved the way for strong financial growth during this period. As each quarter unfolds,&amp;nbsp;...Fino Payments Bank Reports Strong Financial Growth in Q3 2023 - SMEStreet</t>
  </si>
  <si>
    <t>2024-02-02 16:33:33</t>
  </si>
  <si>
    <t>https://smestreet.in/banking/fino-payments-bank-reports-strong-financial-growth-in-q3-2023-2470917</t>
  </si>
  <si>
    <t>smestreet</t>
  </si>
  <si>
    <t>Fino Payments Bank Reports Strong Financial Growth in Q3 2023&amp;nbsp;&amp;nbsp;SMEStreetFino Payments Bank Reports Strong Financial Growth in Q3 2023 - SMEStreet</t>
  </si>
  <si>
    <t>2024-02-02 12:54:45</t>
  </si>
  <si>
    <t>https://news.google.com/rss/articles/CBMiYmh0dHBzOi8vc21lc3RyZWV0LmluL2JhbmtpbmcvZmluby1wYXltZW50cy1iYW5rLXJlcG9ydHMtc3Ryb25nLWZpbmFuY2lhbC1ncm93dGgtaW4tcTMtMjAyMy0yNDcwOTE30gEA?oc=5</t>
  </si>
  <si>
    <t>Fino Payments Bank net profit rises to Rs 22.8 cr in Q3&amp;nbsp;&amp;nbsp;Press Trust of IndiaFino Payments Bank net profit rises to Rs 22.8 cr in Q3 - Press Trust of India</t>
  </si>
  <si>
    <t>2024-02-02 02:33:52</t>
  </si>
  <si>
    <t>https://news.google.com/rss/articles/CBMiZmh0dHBzOi8vd3d3LnB0aW5ld3MuY29tL3N0b3J5L2J1c2luZXNzL2Zpbm8tcGF5bWVudHMtYmFuay1uZXQtcHJvZml0LXJpc2VzLXRvLXJzLTIyLTgtY3ItaW4tcTMvMTI1NjE3M9IBAA?oc=5</t>
  </si>
  <si>
    <t>Its revenue for the quarter was 18% higher at Rs 370 crore while EBITDA expanded by 30% to Rs 50.5 crore. Overall throughput value grew by 42% year-on-year to Rs 93,323 crore while digital throughput within it grew 184% to Rs 38,187 crore.Fino Payments Bank Q3 Results: Firm posts net profit of Rs 23 crore</t>
  </si>
  <si>
    <t>2024-02-01 04:16:47</t>
  </si>
  <si>
    <t>https://economictimes.indiatimes.com/markets/stocks/earnings/fino-payments-bank-q3-results-firm-posts-net-profit-of-rs-23-crore/articleshow/107301518.cms</t>
  </si>
  <si>
    <t>Fino Payments Bank Q3 results: The lender39;s average deposits grew 42 percent from Rs 955 crore in the reporting quarter to Rs 1,358 crore in the corresponding quarter last year.Fino Payments Bank Q3 results: Net profit jumps 19% to Rs 22.8 crore</t>
  </si>
  <si>
    <t>2024-01-31 22:51:56</t>
  </si>
  <si>
    <t>https://www.moneycontrol.com/news/results/fino-payments-bank-q3-results-net-profit-jumps-19-to-rs-228-crore_17422881.html</t>
  </si>
  <si>
    <t>Fino Payments Bank Q3 Results: Firm posts net profit of Rs 23 crore&amp;nbsp;&amp;nbsp;The Economic TimesFino Payments Bank Q3 Results: Firm posts net profit of Rs 23 crore - The Economic Times</t>
  </si>
  <si>
    <t>2024-01-31 22:46:47</t>
  </si>
  <si>
    <t>https://news.google.com/rss/articles/CBMikAFodHRwczovL20uZWNvbm9taWN0aW1lcy5jb20vbWFya2V0cy9zdG9ja3MvZWFybmluZ3MvZmluby1wYXltZW50cy1iYW5rLXEzLXJlc3VsdHMtZmlybS1wb3N0cy1uZXQtcHJvZml0LW9mLXJzLTIzLWNyb3JlL2FydGljbGVzaG93LzEwNzMwMTUxOC5jbXPSAZQBaHR0cHM6Ly9tLmVjb25vbWljdGltZXMuY29tL21hcmtldHMvc3RvY2tzL2Vhcm5pbmdzL2Zpbm8tcGF5bWVudHMtYmFuay1xMy1yZXN1bHRzLWZpcm0tcG9zdHMtbmV0LXByb2ZpdC1vZi1ycy0yMy1jcm9yZS9hbXBfYXJ0aWNsZXNob3cvMTA3MzAxNTE4LmNtcw?oc=5</t>
  </si>
  <si>
    <t>Fino Payments Bank’s Q3 net profit up 19% to ₹22.8 crore&amp;nbsp;&amp;nbsp;BusinessLineFino Payments Bank’s Q3 net profit up 19% to ₹22.8 crore - BusinessLine</t>
  </si>
  <si>
    <t>2024-01-31 22:24:36</t>
  </si>
  <si>
    <t>https://news.google.com/rss/articles/CBMif2h0dHBzOi8vd3d3LnRoZWhpbmR1YnVzaW5lc3NsaW5lLmNvbS9tb25leS1hbmQtYmFua2luZy9maW5vLXBheW1lbnRzLWJhbmtzLXEzLW5ldC1wcm9maXQtdXAtMTktdG8tMjI4LWNyb3JlL2FydGljbGU2Nzc5NzY3Ny5lY2XSAYQBaHR0cHM6Ly93d3cudGhlaGluZHVidXNpbmVzc2xpbmUuY29tL21vbmV5LWFuZC1iYW5raW5nL2Zpbm8tcGF5bWVudHMtYmFua3MtcTMtbmV0LXByb2ZpdC11cC0xOS10by0yMjgtY3JvcmUvYXJ0aWNsZTY3Nzk3Njc3LmVjZS9hbXAv?oc=5</t>
  </si>
  <si>
    <t>Fino Payments Bank net profit rises to Rs 22.8 crore in Q3&amp;nbsp;&amp;nbsp;Zee BusinessFino Payments Bank net profit rises to Rs 22.8 crore in Q3 - Zee Business</t>
  </si>
  <si>
    <t>2024-01-31 21:16:39</t>
  </si>
  <si>
    <t>https://news.google.com/rss/articles/CBMiZmh0dHBzOi8vd3d3LnplZWJpei5jb20vY29tcGFuaWVzL25ld3MtZmluby1wYXltZW50cy1iYW5rLW5ldC1wcm9maXQtcmlzZXMtdG8tcnMtMjI4LWNyb3JlLWluLXEzLTI3NDMwNNIBamh0dHBzOi8vd3d3LnplZWJpei5jb20vY29tcGFuaWVzL25ld3MtZmluby1wYXltZW50cy1iYW5rLW5ldC1wcm9maXQtcmlzZXMtdG8tcnMtMjI4LWNyb3JlLWluLXEzLTI3NDMwNC9hbXA?oc=5</t>
  </si>
  <si>
    <t>Fino Payments Bank Q3 results: Net profit rises by 19% to Rs 22.8 cr&amp;nbsp;&amp;nbsp;Business StandardFino Payments Bank Q3 results: Net profit rises by 19% to Rs 22.8 cr - Business Standard</t>
  </si>
  <si>
    <t>2024-01-31 20:57:29</t>
  </si>
  <si>
    <t>https://news.google.com/rss/articles/CBMiigFodHRwczovL3d3dy5idXNpbmVzcy1zdGFuZGFyZC5jb20vY29tcGFuaWVzL3Jlc3VsdHMvZmluby1wYXltZW50cy1iYW5rLXEzLXJlc3VsdHMtbmV0LXByb2ZpdC1yaXNlcy1ieS0xOS10by1ycy0yMi04LWNyLTEyNDAxMzEwMTAwNF8xLmh0bWzSAY4BaHR0cHM6Ly93d3cuYnVzaW5lc3Mtc3RhbmRhcmQuY29tL2FtcC9jb21wYW5pZXMvcmVzdWx0cy9maW5vLXBheW1lbnRzLWJhbmstcTMtcmVzdWx0cy1uZXQtcHJvZml0LXJpc2VzLWJ5LTE5LXRvLXJzLTIyLTgtY3ItMTI0MDEzMTAxMDA0XzEuaHRtbA?oc=5</t>
  </si>
  <si>
    <t>Latest News | Fino Payments Bank Net Profit Rises to Rs 22.8 Cr in Q3&amp;nbsp;&amp;nbsp;LatestLYLatest News | Fino Payments Bank Net Profit Rises to Rs 22.8 Cr in Q3 - LatestLY</t>
  </si>
  <si>
    <t>2024-01-31 20:28:07</t>
  </si>
  <si>
    <t>https://news.google.com/rss/articles/CBMidWh0dHBzOi8vd3d3LmxhdGVzdGx5LmNvbS9hZ2VuY3ktbmV3cy9sYXRlc3QtbmV3cy1maW5vLXBheW1lbnRzLWJhbmstbmV0LXByb2ZpdC1yaXNlcy10by1ycy0yMi04LWNyLWluLXEzLTU3Mjk4MDkuaHRtbNIBAA?oc=5</t>
  </si>
  <si>
    <t>https://news.google.com/rss/articles/CBMidWh0dHBzOi8vd3d3LmxhdGVzdGx5LmNvbS9hZ2VuY3ktbmV3cy9sYXRlc3QtbmV3cy1maW5vLXBheW1lbnRzLWJhbmstbmV0LXByb2ZpdC1yaXNlcy10by1ycy0yMi04LWNyLWluLXEzLTU3Mjk4MDkuaHRtbNIBeWh0dHBzOi8vd3d3LmxhdGVzdGx5LmNvbS9hZ2VuY3ktbmV3cy9sYXRlc3QtbmV3cy1maW5vLXBheW1lbnRzLWJhbmstbmV0LXByb2ZpdC1yaXNlcy10by1ycy0yMi04LWNyLWluLXEzLTU3Mjk4MDkuaHRtbC9hbXA?oc=5</t>
  </si>
  <si>
    <t>Fino Payments Bank Q3 results: Net profit jumps 19% to Rs 22.8 crore&amp;nbsp;&amp;nbsp;MoneycontrolFino Payments Bank Q3 results: Net profit jumps 19% to Rs 22.8 crore - Moneycontrol</t>
  </si>
  <si>
    <t>2024-01-31 17:21:56</t>
  </si>
  <si>
    <t>https://news.google.com/rss/articles/CBMihAFodHRwczovL3d3dy5tb25leWNvbnRyb2wuY29tL25ld3MvYnVzaW5lc3MvZWFybmluZ3MvZmluby1wYXltZW50cy1iYW5rLXEzLXJlc3VsdHMtbmV0LXByb2ZpdC1qdW1wcy0xOS10by1ycy0yMi04LWNyb3JlLTEyMTYyNzgxLmh0bWzSAQA?oc=5</t>
  </si>
  <si>
    <t>https://news.google.com/rss/articles/CBMihAFodHRwczovL3d3dy5tb25leWNvbnRyb2wuY29tL25ld3MvYnVzaW5lc3MvZWFybmluZ3MvZmluby1wYXltZW50cy1iYW5rLXEzLXJlc3VsdHMtbmV0LXByb2ZpdC1qdW1wcy0xOS10by1ycy0yMi04LWNyb3JlLTEyMTYyNzgxLmh0bWzSAYgBaHR0cHM6Ly93d3cubW9uZXljb250cm9sLmNvbS9uZXdzL2J1c2luZXNzL2Vhcm5pbmdzL2Zpbm8tcGF5bWVudHMtYmFuay1xMy1yZXN1bHRzLW5ldC1wcm9maXQtanVtcHMtMTktdG8tcnMtMjItOC1jcm9yZS0xMjE2Mjc4MS5odG1sL2FtcA?oc=5</t>
  </si>
  <si>
    <t>Maruti Suzuki, Shree Cement, Sun Pharma, Suzlon, Glenmark Pharma, Infosys, Sealmatic, Zydus, NTPC, TCS, Bank of Baroda, Ajanta Pharma, Ambuja Cements, Amara Raja Energy &amp; Mobility, Adani Wilmar, CUMI, Dabur India, Data Patterns, DB Realty, Emkay Global, Fino Payments, GE Shipping, GMR Infra, Godrej Consumer, Hidelberg, IDFC,Stocks that will see action today: January 31, 2024</t>
  </si>
  <si>
    <t>2024-01-31 13:29:22</t>
  </si>
  <si>
    <t>https://www.thehindubusinessline.com/markets/stocks-that-will-see-action-today-january-31-2024/article67795296.ece</t>
  </si>
  <si>
    <t>thehindubusinessline</t>
  </si>
  <si>
    <t>Fino Payments Bank to increase touchpoints in West Bengal, North-East&amp;nbsp;&amp;nbsp;B2BCHIEFFino Payments Bank to increase touchpoints in West Bengal, North-East - B2BCHIEF</t>
  </si>
  <si>
    <t>2024-01-19 10:14:56</t>
  </si>
  <si>
    <t>https://news.google.com/rss/articles/CBMiWmh0dHBzOi8vYjJiY2hpZWYuY29tL2Zpbm8tcGF5bWVudHMtYmFuay10by1pbmNyZWFzZS10b3VjaHBvaW50cy1pbi13ZXN0LWJlbmdhbC1ub3J0aC1lYXN0L9IBAA?oc=5</t>
  </si>
  <si>
    <t>They provide banking services using micro ATM (MATM) and Aadhaar enabled payment system (AePS) devices. ... pay utility bills and even access third&amp;nbsp;...Fino Bank to increase physical as well as digital footprint in West Bengal</t>
  </si>
  <si>
    <t>2024-01-16 17:04:55</t>
  </si>
  <si>
    <t>https://newspatrolling.com/fino-bank-to-increase-physical-as-well-as-digital-footprint-in-west-bengal/</t>
  </si>
  <si>
    <t>newspatrolling</t>
  </si>
  <si>
    <t>Fino Payments Bank, which began its operations in 2017, plans to expand its reach across West Bengal and the North Eastern region of India, according to a company official. Currently, the bank has approximately 35,000 touchpoints spread across all districts in West Bengal, as shared by Darpan Anand, Senior Divisional Head (North and East).Fino Payments Bank to increase touchpoints in West Bengal, North-East</t>
  </si>
  <si>
    <t>2024-01-15 22:39:20</t>
  </si>
  <si>
    <t>https://economictimes.indiatimes.com/industry/banking/finance/banking/fino-payments-bank-to-increase-touchpoints-in-west-bengal-north-east/articleshow/106867154.cms</t>
  </si>
  <si>
    <t>These touchpoints provide banking services using micro-ATM and Aadhaar-enabled payment systems. ... Digital. Contact us: feedback@theprint.in. Follow us.Fino Payments Bank to increase touchpoints in West Bengal, North-East - ThePrint</t>
  </si>
  <si>
    <t>2024-01-15 17:42:23</t>
  </si>
  <si>
    <t>https://theprint.in/economy/fino-payments-bank-to-increase-touchpoints-in-west-bengal-north-east/1924493/</t>
  </si>
  <si>
    <t>theprint</t>
  </si>
  <si>
    <t>Payment banks can take deposits, allow withdrawals and carry out other banking activities except lending, he said. Anand said Fino also applied to the&amp;nbsp;...Fino Payments Bank to increase touchpoints in West Bengal North-East - The Week</t>
  </si>
  <si>
    <t>2024-01-15 15:49:38</t>
  </si>
  <si>
    <t>https://www.theweek.in/wire-updates/business/2024/01/15/ccm1-biz-fino-payments-bank.html</t>
  </si>
  <si>
    <t>theweek</t>
  </si>
  <si>
    <t>Fino Payments Bank to increase touchpoints in West Bengal North-East&amp;nbsp;&amp;nbsp;The WeekFino Payments Bank to increase touchpoints in West Bengal North-East - The Week</t>
  </si>
  <si>
    <t>2024-01-15 15:49:09</t>
  </si>
  <si>
    <t>https://news.google.com/rss/articles/CBMiWGh0dHBzOi8vd3d3LnRoZXdlZWsuaW4vd2lyZS11cGRhdGVzL2J1c2luZXNzLzIwMjQvMDEvMTUvY2NtMS1iaXotZmluby1wYXltZW50cy1iYW5rLmh0bWzSAVxodHRwczovL3d3dy50aGV3ZWVrLmluL3dpcmUtdXBkYXRlcy9idXNpbmVzcy8yMDI0LzAxLzE1L2NjbTEtYml6LWZpbm8tcGF5bWVudHMtYmFuay5hbXAuaHRtbA?oc=5</t>
  </si>
  <si>
    <t>Fino Payments Bank to increase touchpoints in West Bengal, North-East&amp;nbsp;&amp;nbsp;DevdiscourseFino Payments Bank to increase touchpoints in West Bengal, North-East - Devdiscourse</t>
  </si>
  <si>
    <t>2024-01-15 15:37:56</t>
  </si>
  <si>
    <t>https://news.google.com/rss/articles/CBMihQFodHRwczovL3d3dy5kZXZkaXNjb3Vyc2UuY29tL2FydGljbGUvc2NpZW5jZS1lbnZpcm9ubWVudC8yNzc3MDU1LWZpbm8tcGF5bWVudHMtYmFuay10by1pbmNyZWFzZS10b3VjaHBvaW50cy1pbi13ZXN0LWJlbmdhbC1ub3J0aC1lYXN00gGJAWh0dHBzOi8vd3d3LmRldmRpc2NvdXJzZS5jb20vYXJ0aWNsZS9zY2llbmNlLWVudmlyb25tZW50LzI3NzcwNTUtZmluby1wYXltZW50cy1iYW5rLXRvLWluY3JlYXNlLXRvdWNocG9pbnRzLWluLXdlc3QtYmVuZ2FsLW5vcnRoLWVhc3Q_YW1w?oc=5</t>
  </si>
  <si>
    <t>Fino Payments Bank to increase touchpoints in West Bengal, North-East&amp;nbsp;&amp;nbsp;ThePrintFino Payments Bank to increase touchpoints in West Bengal, North-East - ThePrint</t>
  </si>
  <si>
    <t>2024-01-15 15:15:03</t>
  </si>
  <si>
    <t>https://news.google.com/rss/articles/CBMiaWh0dHBzOi8vdGhlcHJpbnQuaW4vZWNvbm9teS9maW5vLXBheW1lbnRzLWJhbmstdG8taW5jcmVhc2UtdG91Y2hwb2ludHMtaW4td2VzdC1iZW5nYWwtbm9ydGgtZWFzdC8xOTI0NDkzL9IBbWh0dHBzOi8vdGhlcHJpbnQuaW4vZWNvbm9teS9maW5vLXBheW1lbnRzLWJhbmstdG8taW5jcmVhc2UtdG91Y2hwb2ludHMtaW4td2VzdC1iZW5nYWwtbm9ydGgtZWFzdC8xOTI0NDkzLz9hbXA?oc=5</t>
  </si>
  <si>
    <t>Fino Payments Bank to increase touchpoints in West Bengal, North-East&amp;nbsp;&amp;nbsp;The Economic TimesFino Payments Bank to increase touchpoints in West Bengal, North-East - The Economic Times</t>
  </si>
  <si>
    <t>2024-01-15 13:30:00</t>
  </si>
  <si>
    <t>https://news.google.com/rss/articles/CBMimwFodHRwczovL20uZWNvbm9taWN0aW1lcy5jb20vaW5kdXN0cnkvYmFua2luZy9maW5hbmNlL2JhbmtpbmcvZmluby1wYXltZW50cy1iYW5rLXRvLWluY3JlYXNlLXRvdWNocG9pbnRzLWluLXdlc3QtYmVuZ2FsLW5vcnRoLWVhc3QvYXJ0aWNsZXNob3cvMTA2ODY3MTU0LmNtc9IBnwFodHRwczovL20uZWNvbm9taWN0aW1lcy5jb20vaW5kdXN0cnkvYmFua2luZy9maW5hbmNlL2JhbmtpbmcvZmluby1wYXltZW50cy1iYW5rLXRvLWluY3JlYXNlLXRvdWNocG9pbnRzLWluLXdlc3QtYmVuZ2FsLW5vcnRoLWVhc3QvYW1wX2FydGljbGVzaG93LzEwNjg2NzE1NC5jbXM?oc=5</t>
  </si>
  <si>
    <t>Fino Payments Bank to expand across TN&amp;nbsp;&amp;nbsp;DTNEXTFino Payments Bank to expand across TN - DTNEXT</t>
  </si>
  <si>
    <t>2024-01-11 02:21:28</t>
  </si>
  <si>
    <t>https://news.google.com/rss/articles/CBMiUWh0dHBzOi8vd3d3LmR0bmV4dC5pbi9uZXdzL2J1c2luZXNzL2Zpbm8tcGF5bWVudHMtYmFuay10by1leHBhbmQtYWNyb3NzLXRuLTc2MDM1NtIBVWh0dHBzOi8vd3d3LmR0bmV4dC5pbi9hbXAvbmV3cy9idXNpbmVzcy9maW5vLXBheW1lbnRzLWJhbmstdG8tZXhwYW5kLWFjcm9zcy10bi03NjAzNTY?oc=5</t>
  </si>
  <si>
    <t>Fino Payments Bank shares were up over 4 per cent after the company applied for a small finance bank licence with the Reserve Bank of India (RBI).FIRST TRADE: Sensex soars over 400 pts; Nifty above 21650; Bajaj Auto up over 2%</t>
  </si>
  <si>
    <t>2024-01-09 21:27:24</t>
  </si>
  <si>
    <t>https://www.zeebiz.com/market-news/news-first-trade-sensex-soars-over-400-pts-nifty-above-21650-bajaj-auto-up-over-2-percent-wipro-infosys-adani-ports-larsen-and-toubro-271365</t>
  </si>
  <si>
    <t>Fino applies for small fin bank licence</t>
  </si>
  <si>
    <t>2024-01-09 13:47:38</t>
  </si>
  <si>
    <t>https://timesofindia.indiatimes.com/city/mumbai/fino-applies-for-small-fin-bank-licence/articleshow/106651143.cms</t>
  </si>
  <si>
    <t>Stocks to Watch: Bajaj Auto, Metropolis, Zee Entertainment, Fino Payments&amp;nbsp;&amp;nbsp;Business StandardStocks to Watch: Bajaj Auto, Metropolis, Zee Entertainment, Fino Payments - Business Standard</t>
  </si>
  <si>
    <t>2024-01-09 13:30:00</t>
  </si>
  <si>
    <t>https://news.google.com/rss/articles/CBMiiAFodHRwczovL3d3dy5idXNpbmVzcy1zdGFuZGFyZC5jb20vbWFya2V0cy9uZXdzL3N0b2Nrcy10by13YXRjaC1iYWphai1hdXRvLW1ldHJvcG9saXMtemVlLWVudGVydGFpbm1lbnQtZmluby1wYXltZW50cy0xMjQwMTA5MDAxMDlfMS5odG1s0gEA?oc=5</t>
  </si>
  <si>
    <t>Fino Payments Shares Rise 7% As It Seeks Small Finance Bank Licence&amp;nbsp;&amp;nbsp;NDTV ProfitFino Payments Shares Rise 7% As It Seeks Small Finance Bank Licence - NDTV Profit</t>
  </si>
  <si>
    <t>https://news.google.com/rss/articles/CBMibGh0dHBzOi8vd3d3Lm5kdHZwcm9maXQuY29tL2J1enppbmctc3RvY2tzL2Zpbm8tcGF5bWVudHMtc2hhcmVzLXJpc2UtNy1hcy1pdC1zZWVrcy1zbWFsbC1maW5hbmNlLWJhbmstbGljZW5jZdIBAA?oc=5</t>
  </si>
  <si>
    <t>Fino Payments Bank applies for small finance bank licence&amp;nbsp;&amp;nbsp;IndiaTimesFino Payments Bank applies for small finance bank licence - IndiaTimes</t>
  </si>
  <si>
    <t>https://news.google.com/rss/articles/CBMiigFodHRwczovL20udGltZXNvZmluZGlhLmNvbS9idXNpbmVzcy9pbmRpYS1idXNpbmVzcy9maW5vLXBheW1lbnRzLWJhbmstYXBwbGllcy1mb3Itc21hbGwtZmluYW5jZS1iYW5rLWxpY2VuY2UvYW1wX2FydGljbGVzaG93LzEwNjY0OTY5MS5jbXPSAYoBaHR0cHM6Ly9tLnRpbWVzb2ZpbmRpYS5jb20vYnVzaW5lc3MvaW5kaWEtYnVzaW5lc3MvZmluby1wYXltZW50cy1iYW5rLWFwcGxpZXMtZm9yLXNtYWxsLWZpbmFuY2UtYmFuay1saWNlbmNlL2FtcF9hcnRpY2xlc2hvdy8xMDY2NDk2OTEuY21z?oc=5</t>
  </si>
  <si>
    <t>Fino Payments Bank applies for small finance bank licence&amp;nbsp;&amp;nbsp;Times of IndiaFino Payments Bank applies for small finance bank licence - Times of India</t>
  </si>
  <si>
    <t>https://news.google.com/rss/articles/CBMijwFodHRwczovL3RpbWVzb2ZpbmRpYS5pbmRpYXRpbWVzLmNvbS9idXNpbmVzcy9pbmRpYS1idXNpbmVzcy9maW5vLXBheW1lbnRzLWJhbmstYXBwbGllcy1mb3Itc21hbGwtZmluYW5jZS1iYW5rLWxpY2VuY2UvYXJ0aWNsZXNob3cvMTA2NjQ5NjkxLmNtc9IBkwFodHRwczovL3RpbWVzb2ZpbmRpYS5pbmRpYXRpbWVzLmNvbS9idXNpbmVzcy9pbmRpYS1idXNpbmVzcy9maW5vLXBheW1lbnRzLWJhbmstYXBwbGllcy1mb3Itc21hbGwtZmluYW5jZS1iYW5rLWxpY2VuY2UvYW1wX2FydGljbGVzaG93LzEwNjY0OTY5MS5jbXM?oc=5</t>
  </si>
  <si>
    <t>Fino Payments Bank Applies for Small Finance Bank License with RBI&amp;nbsp;&amp;nbsp;Startup StoryFino Payments Bank Applies for Small Finance Bank License with RBI - Startup Story</t>
  </si>
  <si>
    <t>https://news.google.com/rss/articles/CBMiamh0dHBzOi8vc3RhcnR1cHN0b3J5bWVkaWEuY29tL2luc2lnaHRzLWZpbm8tcGF5bWVudHMtYmFuay1hcHBsaWVzLWZvci1zbWFsbC1maW5hbmNlLWJhbmstbGljZW5zZS13aXRoLXJiaS_SAQA?oc=5</t>
  </si>
  <si>
    <t>https://news.google.com/rss/articles/CBMikwFodHRwczovL3RpbWVzb2ZpbmRpYS5pbmRpYXRpbWVzLmNvbS9idXNpbmVzcy9pbmRpYS1idXNpbmVzcy9maW5vLXBheW1lbnRzLWJhbmstYXBwbGllcy1mb3Itc21hbGwtZmluYW5jZS1iYW5rLWxpY2VuY2UvYW1wX2FydGljbGVzaG93LzEwNjY0OTY5MS5jbXPSAZMBaHR0cHM6Ly90aW1lc29maW5kaWEuaW5kaWF0aW1lcy5jb20vYnVzaW5lc3MvaW5kaWEtYnVzaW5lc3MvZmluby1wYXltZW50cy1iYW5rLWFwcGxpZXMtZm9yLXNtYWxsLWZpbmFuY2UtYmFuay1saWNlbmNlL2FtcF9hcnRpY2xlc2hvdy8xMDY2NDk2OTEuY21z?oc=5</t>
  </si>
  <si>
    <t>Fino Payments Bank Applies for Small Finance Bank License, Reports Strong Q2 Profits&amp;nbsp;&amp;nbsp;IndiainfolineFino Payments Bank Applies for Small Finance Bank License, Reports Strong Q2 Profits - Indiainfoline</t>
  </si>
  <si>
    <t>https://news.google.com/rss/articles/CBMifmh0dHBzOi8vd3d3LmluZGlhaW5mb2xpbmUuY29tL25ld3MvbWFya2V0cy9maW5vLXBheW1lbnRzLWJhbmstYXBwbGllcy1mb3Itc21hbGwtZmluYW5jZS1iYW5rLWxpY2Vuc2UtcmVwb3J0cy1zdHJvbmctcTItcHJvZml0c9IBAA?oc=5</t>
  </si>
  <si>
    <t>What is Outsourcing Business? &amp;middot; Mobikwik Revamps IPO Plans, Targets Rs 700 Cr Fundraising &amp;middot; HDFC Bank&amp;#39;s Q2FY24 Results Showcase Robust Performance with&amp;nbsp;...Fino Payments Bank Aims for Transformation: Applies for SFB License from RBI</t>
  </si>
  <si>
    <t>2024-01-09 12:44:30</t>
  </si>
  <si>
    <t>https://chennaiprint.in/business/fino-payments-bank-aims-for-transformation-applies-for-sfb-license-from-rbi/</t>
  </si>
  <si>
    <t>chennaiprint</t>
  </si>
  <si>
    <t>Stocks to watch: Shares of firms like Zee Ent, Bajaj Auto, Tata Motors, Fino Payments, Cipla, and others will be in focus on Tuesday&amp;#39;s trade.Stocks to Watch: Zee Ent, Bajaj Auto, Tata Motors, Fino Payments, Cipla, and Others - News18</t>
  </si>
  <si>
    <t>2024-01-09 12:14:04</t>
  </si>
  <si>
    <t>https://www.news18.com/business/stocks-to-watch-zee-ent-bajaj-auto-tata-motors-fino-payments-cipla-and-others-8732985.html</t>
  </si>
  <si>
    <t>news18</t>
  </si>
  <si>
    <t>Stock Market LIVE: Sensex up 600 pts; Nykaa zooms 5%, Fino Payments Bank 3%&amp;nbsp;&amp;nbsp;Business StandardStock Market LIVE: Sensex up 600 pts; Nykaa zooms 5%, Fino Payments Bank 3% - Business Standard</t>
  </si>
  <si>
    <t>2024-01-09 12:03:14</t>
  </si>
  <si>
    <t>https://news.google.com/rss/articles/CBMikwFodHRwczovL3d3dy5idXNpbmVzcy1zdGFuZGFyZC5jb20vbWFya2V0cy9uZXdzL3N0b2NrLW1hcmtldC1saXZlLXRvZGF5LWphbi05LXNlbnNleC1uaWZ0eS11cy1tYXJrZXQtYm9laW5nLWNoaW5hLWJhamFqLWF1dG8temVlLTEyNDAxMDkwMDEwMV8xLmh0bWzSAZcBaHR0cHM6Ly93d3cuYnVzaW5lc3Mtc3RhbmRhcmQuY29tL2FtcC9tYXJrZXRzL25ld3Mvc3RvY2stbWFya2V0LWxpdmUtdG9kYXktamFuLTktc2Vuc2V4LW5pZnR5LXVzLW1hcmtldC1ib2VpbmctY2hpbmEtYmFqYWotYXV0by16ZWUtMTI0MDEwOTAwMTAxXzEuaHRtbA?oc=5</t>
  </si>
  <si>
    <t>Fino Payments Bank, which commenced operations in 2017, received board approval in July 2023 to transition into a small finance bank,&amp;nbsp;...Fino Payments Bank Applies For SFB License After Board&amp;#39;s Approval: Report - BW Disrupt</t>
  </si>
  <si>
    <t>2024-01-09 12:00:16</t>
  </si>
  <si>
    <t>http://bwdisrupt.businessworld.in/article/Fino-Payments-Bank-Applies-For-SFB-License-After-Board-s-Approval-Report/09-01-2024-505233</t>
  </si>
  <si>
    <t>Fino Payments Bank Applies For SFB License After Board s Approval Report&amp;nbsp;&amp;nbsp;BW DisruptFino Payments Bank Applies For SFB License After Board s Approval Report - BW Disrupt</t>
  </si>
  <si>
    <t>2024-01-09 11:50:40</t>
  </si>
  <si>
    <t>https://news.google.com/rss/articles/CBMihAFodHRwOi8vYndkaXNydXB0LmJ1c2luZXNzd29ybGQuaW4vYXJ0aWNsZS9GaW5vLVBheW1lbnRzLUJhbmstQXBwbGllcy1Gb3ItU0ZCLUxpY2Vuc2UtQWZ0ZXItQm9hcmQtcy1BcHByb3ZhbC1SZXBvcnQvMDktMDEtMjAyNC01MDUyMzPSAQA?oc=5</t>
  </si>
  <si>
    <t>Fino Payments Bank Applies For SFB License After Board's Approval: Report&amp;nbsp;&amp;nbsp;BW DisruptFino Payments Bank Applies For SFB License After Board's Approval: Report - BW Disrupt</t>
  </si>
  <si>
    <t>https://news.google.com/rss/articles/CBMihAFodHRwOi8vYndkaXNydXB0LmJ1c2luZXNzd29ybGQuaW4vYXJ0aWNsZS9GaW5vLVBheW1lbnRzLUJhbmstQXBwbGllcy1Gb3ItU0ZCLUxpY2Vuc2UtQWZ0ZXItQm9hcmQtcy1BcHByb3ZhbC1SZXBvcnQvMDktMDEtMjAyNC01MDUyMzPSAYgBaHR0cDovL2J3ZGlzcnVwdC5idXNpbmVzc3dvcmxkLmluL2FtcC9hcnRpY2xlL0Zpbm8tUGF5bWVudHMtQmFuay1BcHBsaWVzLUZvci1TRkItTGljZW5zZS1BZnRlci1Cb2FyZC1zLUFwcHJvdmFsLVJlcG9ydC8wOS0wMS0yMDI0LTUwNTIzMw?oc=5</t>
  </si>
  <si>
    <t>Fino Payments Bank Aims for Transformation: Applies for SFB License from RBI&amp;nbsp;&amp;nbsp;Chennai PrintFino Payments Bank Aims for Transformation: Applies for SFB License from RBI - Chennai Print</t>
  </si>
  <si>
    <t>2024-01-09 11:27:04</t>
  </si>
  <si>
    <t>https://news.google.com/rss/articles/CBMibWh0dHBzOi8vY2hlbm5haXByaW50LmluL2J1c2luZXNzL2Zpbm8tcGF5bWVudHMtYmFuay1haW1zLWZvci10cmFuc2Zvcm1hdGlvbi1hcHBsaWVzLWZvci1zZmItbGljZW5zZS1mcm9tLXJiaS_SAQA?oc=5</t>
  </si>
  <si>
    <t>Fino Payments Bank Submits Application To RBI For Small Finance Bank License&amp;nbsp;&amp;nbsp;BW BusinessworldFino Payments Bank Submits Application To RBI For Small Finance Bank License - BW Businessworld</t>
  </si>
  <si>
    <t>2024-01-09 11:06:33</t>
  </si>
  <si>
    <t>https://news.google.com/rss/articles/CBMigwFodHRwczovL3d3dy5idXNpbmVzc3dvcmxkLmluL2FydGljbGUvRmluby1QYXltZW50cy1CYW5rLVN1Ym1pdHMtQXBwbGljYXRpb24tVG8tUkJJLUZvci1TbWFsbC1GaW5hbmNlLUJhbmstTGljZW5zZS8wOS0wMS0yMDI0LTUwNTIxOdIBAA?oc=5</t>
  </si>
  <si>
    <t>2024-01-09 10:54:17</t>
  </si>
  <si>
    <t>https://news.google.com/rss/articles/CBMibGh0dHBzOi8vd3d3Lm5kdHZwcm9maXQuY29tL2J1enppbmctc3RvY2tzL2Zpbm8tcGF5bWVudHMtc2hhcmVzLXJpc2UtNy1hcy1pdC1zZWVrcy1zbWFsbC1maW5hbmNlLWJhbmstbGljZW5jZdIBcGh0dHBzOi8vd3d3Lm5kdHZwcm9maXQuY29tL2FtcC9idXp6aW5nLXN0b2Nrcy9maW5vLXBheW1lbnRzLXNoYXJlcy1yaXNlLTctYXMtaXQtc2Vla3Mtc21hbGwtZmluYW5jZS1iYW5rLWxpY2VuY2U?oc=5</t>
  </si>
  <si>
    <t>Application Submitted: Fino Payments Bank Seeks SFB License from RBI&amp;nbsp;&amp;nbsp;News18Application Submitted: Fino Payments Bank Seeks SFB License from RBI - News18</t>
  </si>
  <si>
    <t>2024-01-09 10:25:08</t>
  </si>
  <si>
    <t>https://news.google.com/rss/articles/CBMicGh0dHBzOi8vd3d3Lm5ld3MxOC5jb20vYnVzaW5lc3MvYXBwbGljYXRpb24tc3VibWl0dGVkLWZpbm8tcGF5bWVudHMtYmFuay1zZWVrcy1zZmItbGljZW5zZS1mcm9tLXJiaS04NzMzMDc1Lmh0bWzSAXRodHRwczovL3d3dy5uZXdzMTguY29tL2FtcC9idXNpbmVzcy9hcHBsaWNhdGlvbi1zdWJtaXR0ZWQtZmluby1wYXltZW50cy1iYW5rLXNlZWtzLXNmYi1saWNlbnNlLWZyb20tcmJpLTg3MzMwNzUuaHRtbA?oc=5</t>
  </si>
  <si>
    <t>Stocks to Watch: Zee Ent, Bajaj Auto, Tata Motors, Fino Payments, Cipla, and Others&amp;nbsp;&amp;nbsp;News18Stocks to Watch: Zee Ent, Bajaj Auto, Tata Motors, Fino Payments, Cipla, and Others - News18</t>
  </si>
  <si>
    <t>2024-01-09 08:55:29</t>
  </si>
  <si>
    <t>https://news.google.com/rss/articles/CBMiemh0dHBzOi8vd3d3Lm5ld3MxOC5jb20vYnVzaW5lc3Mvc3RvY2tzLXRvLXdhdGNoLXplZS1lbnQtYmFqYWotYXV0by10YXRhLW1vdG9ycy1maW5vLXBheW1lbnRzLWNpcGxhLWFuZC1vdGhlcnMtODczMjk4NS5odG1s0gF-aHR0cHM6Ly93d3cubmV3czE4LmNvbS9hbXAvYnVzaW5lc3Mvc3RvY2tzLXRvLXdhdGNoLXplZS1lbnQtYmFqYWotYXV0by10YXRhLW1vdG9ycy1maW5vLXBheW1lbnRzLWNpcGxhLWFuZC1vdGhlcnMtODczMjk4NS5odG1s?oc=5</t>
  </si>
  <si>
    <t>Fino applies for small fin bank licence&amp;nbsp;&amp;nbsp;Times of IndiaFino applies for small fin bank licence - Times of India</t>
  </si>
  <si>
    <t>https://news.google.com/rss/articles/CBMicWh0dHBzOi8vdGltZXNvZmluZGlhLmluZGlhdGltZXMuY29tL2NpdHkvbXVtYmFpL2Zpbm8tYXBwbGllcy1mb3Itc21hbGwtZmluLWJhbmstbGljZW5jZS9hcnRpY2xlc2hvdy8xMDY2NTExNDMuY21z0gF1aHR0cHM6Ly90aW1lc29maW5kaWEuaW5kaWF0aW1lcy5jb20vY2l0eS9tdW1iYWkvZmluby1hcHBsaWVzLWZvci1zbWFsbC1maW4tYmFuay1saWNlbmNlL2FtcF9hcnRpY2xlc2hvdy8xMDY2NTExNDMuY21z?oc=5</t>
  </si>
  <si>
    <t>2024-01-09 07:57:50</t>
  </si>
  <si>
    <t>https://news.google.com/rss/articles/CBMiiAFodHRwczovL3d3dy5idXNpbmVzcy1zdGFuZGFyZC5jb20vbWFya2V0cy9uZXdzL3N0b2Nrcy10by13YXRjaC1iYWphai1hdXRvLW1ldHJvcG9saXMtemVlLWVudGVydGFpbm1lbnQtZmluby1wYXltZW50cy0xMjQwMTA5MDAxMDlfMS5odG1s0gGMAWh0dHBzOi8vd3d3LmJ1c2luZXNzLXN0YW5kYXJkLmNvbS9hbXAvbWFya2V0cy9uZXdzL3N0b2Nrcy10by13YXRjaC1iYWphai1hdXRvLW1ldHJvcG9saXMtemVlLWVudGVydGFpbm1lbnQtZmluby1wYXltZW50cy0xMjQwMTA5MDAxMDlfMS5odG1s?oc=5</t>
  </si>
  <si>
    <t>Fino Payments Bank applies for small finance bank licence&amp;nbsp;&amp;nbsp;MSNFino Payments Bank applies for small finance bank licence - MSN</t>
  </si>
  <si>
    <t>2024-01-09 06:11:09</t>
  </si>
  <si>
    <t>https://news.google.com/rss/articles/CBMicGh0dHBzOi8vd3d3Lm1zbi5jb20vZW4taW4vbW9uZXkvdG9wc3Rvcmllcy9maW5vLXBheW1lbnRzLWJhbmstYXBwbGllcy1mb3Itc21hbGwtZmluYW5jZS1iYW5rLWxpY2VuY2UvYXItQUExbUYyTFDSAQA?oc=5</t>
  </si>
  <si>
    <t>Fino Payments Bank applies to become Small Finance Bank By Investing.com&amp;nbsp;&amp;nbsp;Investing.com AustraliaFino Payments Bank applies to become Small Finance Bank By Investing.com - Investing.com Australia</t>
  </si>
  <si>
    <t>2024-01-09 05:55:40</t>
  </si>
  <si>
    <t>https://news.google.com/rss/articles/CBMidGh0dHBzOi8vYXUuaW52ZXN0aW5nLmNvbS9uZXdzL3N0b2NrLW1hcmtldC1uZXdzL2Zpbm8tcGF5bWVudHMtYmFuay1hcHBsaWVzLXRvLWJlY29tZS1zbWFsbC1maW5hbmNlLWJhbmstOTNDSC0zMDgwNDU50gEA?oc=5</t>
  </si>
  <si>
    <t>https://news.google.com/rss/articles/CBMihgFodHRwczovL20udGltZXNvZmluZGlhLmNvbS9idXNpbmVzcy9pbmRpYS1idXNpbmVzcy9maW5vLXBheW1lbnRzLWJhbmstYXBwbGllcy1mb3Itc21hbGwtZmluYW5jZS1iYW5rLWxpY2VuY2UvYXJ0aWNsZXNob3cvMTA2NjQ5NjkxLmNtc9IBigFodHRwczovL20udGltZXNvZmluZGlhLmNvbS9idXNpbmVzcy9pbmRpYS1idXNpbmVzcy9maW5vLXBheW1lbnRzLWJhbmstYXBwbGllcy1mb3Itc21hbGwtZmluYW5jZS1iYW5rLWxpY2VuY2UvYW1wX2FydGljbGVzaG93LzEwNjY0OTY5MS5jbXM?oc=5</t>
  </si>
  <si>
    <t>Fino Payments Bank applies for small finance bank licence - Times of India&amp;nbsp;&amp;nbsp;IndiaTimesFino Payments Bank applies for small finance bank licence - Times of India - IndiaTimes</t>
  </si>
  <si>
    <t>2024-01-09 05:55:00</t>
  </si>
  <si>
    <t>https://news.google.com/rss/articles/CBMihgFodHRwczovL20udGltZXNvZmluZGlhLmNvbS9idXNpbmVzcy9pbmRpYS1idXNpbmVzcy9maW5vLXBheW1lbnRzLWJhbmstYXBwbGllcy1mb3Itc21hbGwtZmluYW5jZS1iYW5rLWxpY2VuY2UvYXJ0aWNsZXNob3cvMTA2NjQ5NjkxLmNtc9IBAA?oc=5</t>
  </si>
  <si>
    <t>Fino Payments Bank applies to become Small Finance Bank By Investing.com&amp;nbsp;&amp;nbsp;Investing.com CanadaFino Payments Bank applies to become Small Finance Bank By Investing.com - Investing.com Canada</t>
  </si>
  <si>
    <t>2024-01-09 05:36:56</t>
  </si>
  <si>
    <t>https://news.google.com/rss/articles/CBMidGh0dHBzOi8vY2EuaW52ZXN0aW5nLmNvbS9uZXdzL3N0b2NrLW1hcmtldC1uZXdzL2Zpbm8tcGF5bWVudHMtYmFuay1hcHBsaWVzLXRvLWJlY29tZS1zbWFsbC1maW5hbmNlLWJhbmstOTNDSC0zMjIzODA30gEA?oc=5</t>
  </si>
  <si>
    <t>Fino Payments Bank applies to become Small Finance Bank&amp;nbsp;&amp;nbsp;Investing.com IndiaFino Payments Bank applies to become Small Finance Bank - Investing.com India</t>
  </si>
  <si>
    <t>2024-01-09 05:36:27</t>
  </si>
  <si>
    <t>https://news.google.com/rss/articles/CBMiYmh0dHBzOi8vaW4uaW52ZXN0aW5nLmNvbS9uZXdzL2Zpbm8tcGF5bWVudHMtYmFuay1hcHBsaWVzLXRvLWJlY29tZS1zbWFsbC1maW5hbmNlLWJhbmstOTNDSC0zOTY0NzY20gEA?oc=5</t>
  </si>
  <si>
    <t>Fino Payments Bank applies to become Small Finance Bank By Investing.com&amp;nbsp;&amp;nbsp;Investing.com UKFino Payments Bank applies to become Small Finance Bank By Investing.com - Investing.com UK</t>
  </si>
  <si>
    <t>2024-01-09 05:32:00</t>
  </si>
  <si>
    <t>https://news.google.com/rss/articles/CBMidGh0dHBzOi8vdWsuaW52ZXN0aW5nLmNvbS9uZXdzL3N0b2NrLW1hcmtldC1uZXdzL2Zpbm8tcGF5bWVudHMtYmFuay1hcHBsaWVzLXRvLWJlY29tZS1zbWFsbC1maW5hbmNlLWJhbmstOTNDSC0zMjkxMjE00gEA?oc=5</t>
  </si>
  <si>
    <t>Fino Payments Bank applies to become Small Finance Bank By Investing.com&amp;nbsp;&amp;nbsp;Investing.comFino Payments Bank applies to become Small Finance Bank By Investing.com - Investing.com</t>
  </si>
  <si>
    <t>2024-01-09 05:30:00</t>
  </si>
  <si>
    <t>https://news.google.com/rss/articles/CBMia2h0dHBzOi8vd3d3LmludmVzdGluZy5jb20vbmV3cy9lY29ub215L2Zpbm8tcGF5bWVudHMtYmFuay1hcHBsaWVzLXRvLWJlY29tZS1zbWFsbC1maW5hbmNlLWJhbmstOTNDSC0zMjY5ODk10gEA?oc=5</t>
  </si>
  <si>
    <t>Fino Payments Bank Seeks SFB Licence From RBI After Board’s Agreement&amp;nbsp;&amp;nbsp;StartupNews.fyiFino Payments Bank Seeks SFB Licence From RBI After Board’s Agreement - StartupNews.fyi</t>
  </si>
  <si>
    <t>2024-01-09 04:02:18</t>
  </si>
  <si>
    <t>https://news.google.com/rss/articles/CBMiaGh0dHBzOi8vc3RhcnR1cG5ld3MuZnlpLzIwMjQvMDEvMDkvZmluby1wYXltZW50cy1iYW5rLXNlZWtzLXNmYi1saWNlbmNlLWZyb20tcmJpLWFmdGVyLWJvYXJkcy1hZ3JlZW1lbnQv0gEA?oc=5</t>
  </si>
  <si>
    <t>The payments bank is a subsidiary of Fino Paytech, which is backed byinvestors such as Bharat Petroleum, ICICI Group, Blackstone, IFC, Intel, andLife Insurance Corporation of India, among othersFino Payments Bank applies to RBI for small finance bank license</t>
  </si>
  <si>
    <t>2024-01-09 02:22:33</t>
  </si>
  <si>
    <t>https://www.thehindubusinessline.com/money-and-banking/fino-payments-bank-applies-to-rbi-for-small-finance-bank-licence/article67719938.ece</t>
  </si>
  <si>
    <t>Fino Payments Bank has applied for a small finance bank license. The bank has been preparing itself for an upgrade in terms of banking activity for quite some time. Fino has around Rs 600 crore of net worth while the minimum capital requirement for small finance banks is Rs 200 crore at present.Fino Payments Bank applies for small finance bank license from RBI</t>
  </si>
  <si>
    <t>2024-01-09 00:21:46</t>
  </si>
  <si>
    <t>https://economictimes.indiatimes.com/industry/banking/finance/banking/fino-payments-bank-applies-for-small-finance-bank-license-from-rbi/articleshow/106642451.cms</t>
  </si>
  <si>
    <t>2024-01-08 21:37:00</t>
  </si>
  <si>
    <t>https://news.google.com/rss/articles/CBMipAFodHRwczovL3d3dy5pbmRpYWluZm9saW5lLmNvbS9hcnRpY2xlL2dlbmVyYWwtb3RoZXJzLWZhY3RpdmEvZmluby1wYXltZW50cy1iYW5rLWFwcGxpZXMtZm9yLXNtYWxsLWZpbmFuY2UtYmFuay1saWNlbnNlLXJlcG9ydHMtc3Ryb25nLXEtcHJvZml0cy0xNzA0Nzc4ODY5NTE3XzEuaHRtbNIBqAFodHRwczovL3d3dy5pbmRpYWluZm9saW5lLmNvbS9hcnRpY2xlLWFtcC9nZW5lcmFsLW90aGVycy1mYWN0aXZhL2Zpbm8tcGF5bWVudHMtYmFuay1hcHBsaWVzLWZvci1zbWFsbC1maW5hbmNlLWJhbmstbGljZW5zZS1yZXBvcnRzLXN0cm9uZy1xLXByb2ZpdHMtMTcwNDc3ODg2OTUxN18xLmh0bWw?oc=5</t>
  </si>
  <si>
    <t>The Reserve Bank of India (RBI) received the application from Fino Payments Bank for a Small Finance Bank license in the third quarter of FY24.Fino Payments Bank seeks Small Finance Bank license from RBI - CNBC TV18</t>
  </si>
  <si>
    <t>2024-01-08 21:27:54</t>
  </si>
  <si>
    <t>https://www.cnbctv18.com/finance/fino-payments-bank-seeks-small-finance-bank-license-from-rbi-18744381.htm</t>
  </si>
  <si>
    <t>cnbctv18</t>
  </si>
  <si>
    <t>Fino Payments Bank applies for SFB license after board's agreement&amp;nbsp;&amp;nbsp;Business StandardFino Payments Bank applies for SFB license after board's agreement - Business Standard</t>
  </si>
  <si>
    <t>2024-01-08 20:56:46</t>
  </si>
  <si>
    <t>https://news.google.com/rss/articles/CBMihwFodHRwczovL3d3dy5idXNpbmVzcy1zdGFuZGFyZC5jb20vZmluYW5jZS9uZXdzL2Zpbm8tcGF5bWVudHMtYmFuay1saW1pdGVkLWFwcGxpZXMtZm9yLXNmYi1saWNlbnNlLWFmdGVyLWJvYXJkLXMtbm9kLTEyNDAxMDgwMTE4NV8xLmh0bWzSAYsBaHR0cHM6Ly93d3cuYnVzaW5lc3Mtc3RhbmRhcmQuY29tL2FtcC9maW5hbmNlL25ld3MvZmluby1wYXltZW50cy1iYW5rLWxpbWl0ZWQtYXBwbGllcy1mb3Itc2ZiLWxpY2Vuc2UtYWZ0ZXItYm9hcmQtcy1ub2QtMTI0MDEwODAxMTg1XzEuaHRtbA?oc=5</t>
  </si>
  <si>
    <t>Fino Payments Bank applies to RBI for small finance bank license&amp;nbsp;&amp;nbsp;BusinessLineFino Payments Bank applies to RBI for small finance bank license - BusinessLine</t>
  </si>
  <si>
    <t>2024-01-08 20:53:57</t>
  </si>
  <si>
    <t>https://news.google.com/rss/articles/CBMiiwFodHRwczovL3d3dy50aGVoaW5kdWJ1c2luZXNzbGluZS5jb20vbW9uZXktYW5kLWJhbmtpbmcvZmluby1wYXltZW50cy1iYW5rLWFwcGxpZXMtdG8tcmJpLWZvci1zbWFsbC1maW5hbmNlLWJhbmstbGljZW5jZS9hcnRpY2xlNjc3MTk5MzguZWNl0gGQAWh0dHBzOi8vd3d3LnRoZWhpbmR1YnVzaW5lc3NsaW5lLmNvbS9tb25leS1hbmQtYmFua2luZy9maW5vLXBheW1lbnRzLWJhbmstYXBwbGllcy10by1yYmktZm9yLXNtYWxsLWZpbmFuY2UtYmFuay1saWNlbmNlL2FydGljbGU2NzcxOTkzOC5lY2UvYW1wLw?oc=5</t>
  </si>
  <si>
    <t>Fino Payments Bank applies for small finance bank license from RBI&amp;nbsp;&amp;nbsp;B2BCHIEFFino Payments Bank applies for small finance bank license from RBI - B2BCHIEF</t>
  </si>
  <si>
    <t>2024-01-08 20:48:40</t>
  </si>
  <si>
    <t>https://news.google.com/rss/articles/CBMiWGh0dHBzOi8vYjJiY2hpZWYuY29tL2Zpbm8tcGF5bWVudHMtYmFuay1hcHBsaWVzLWZvci1zbWFsbC1maW5hbmNlLWJhbmstbGljZW5zZS1mcm9tLXJiaS_SAQA?oc=5</t>
  </si>
  <si>
    <t>Fino Payments Bank: स्मॉल फाइनेंस बैंक के लिए किया आवेदन&amp;nbsp;&amp;nbsp;CNBCTV18 हिंदीFino Payments Bank: स्मॉल फाइनेंस बैंक के लिए किया आवेदन - CNBCTV18 हिंदी</t>
  </si>
  <si>
    <t>2024-01-08 20:16:29</t>
  </si>
  <si>
    <t>https://news.google.com/rss/articles/CBMiYWh0dHBzOi8vaGluZGkuY25iY3R2MTguY29tL2J1c2luZXNzL2Zpbm8tcGF5bWVudHMtYmFuay1hcHBsaWVzLWZvci1zZmItbGljZW5zZS13aXRoLXJiaS04NjI4OC5odG3SAWVodHRwczovL2hpbmRpLmNuYmN0djE4LmNvbS9idXNpbmVzcy9maW5vLXBheW1lbnRzLWJhbmstYXBwbGllcy1mb3Itc2ZiLWxpY2Vuc2Utd2l0aC1yYmktODYyODguaHRtL2FtcA?oc=5</t>
  </si>
  <si>
    <t>Fino Payments Bank बनेगा स्मॉल फाइनेंस बैंक? RBI के पास किया आवेदन&amp;nbsp;&amp;nbsp;मनी कंट्रोलFino Payments Bank बनेगा स्मॉल फाइनेंस बैंक? RBI के पास किया आवेदन - मनी कंट्रोल</t>
  </si>
  <si>
    <t>2024-01-08 19:19:43</t>
  </si>
  <si>
    <t>https://news.google.com/rss/articles/CBMijwFodHRwczovL2hpbmRpLm1vbmV5Y29udHJvbC5jb20vbmV3cy9tYXJrZXRzL2Zpbm8tcGF5bWVudHMtYmFuay1hcHBsaWVzLWZvci1zZmItbGljZW5zZS13aXRoLXJiaS1zaGFyZS1wcmljZS1zbGlwcy10b2RheS1vbi04dGgtamFuLTE3MDU0NDEuaHRtbNIBkwFodHRwczovL2hpbmRpLm1vbmV5Y29udHJvbC5jb20vbmV3cy9tYXJrZXRzL2Zpbm8tcGF5bWVudHMtYmFuay1hcHBsaWVzLWZvci1zZmItbGljZW5zZS13aXRoLXJiaS1zaGFyZS1wcmljZS1zbGlwcy10b2RheS1vbi04dGgtamFuLTE3MDU0NDEuaHRtbC9hbXA?oc=5</t>
  </si>
  <si>
    <t>Fino Payments Bank Applies for Small Finance Bank License: A Strategic Move for Growth&amp;nbsp;&amp;nbsp;BNN BreakingFino Payments Bank Applies for Small Finance Bank License: A Strategic Move for Growth - BNN Breaking</t>
  </si>
  <si>
    <t>2024-01-08 19:10:00</t>
  </si>
  <si>
    <t>https://news.google.com/rss/articles/CBMiemh0dHBzOi8vYm5uYnJlYWtpbmcuY29tL2ZpbmFuY2UtbmF2L2Zpbm8tcGF5bWVudHMtYmFuay1hcHBsaWVzLWZvci1zbWFsbC1maW5hbmNlLWJhbmstbGljZW5zZS1hLXN0cmF0ZWdpYy1tb3ZlLWZvci1ncm93dGgv0gEA?oc=5</t>
  </si>
  <si>
    <t>Fino Payments Bank seeks Small Finance Bank license from RBI&amp;nbsp;&amp;nbsp;CNBCTV18Fino Payments Bank seeks Small Finance Bank license from RBI - CNBCTV18</t>
  </si>
  <si>
    <t>2024-01-08 18:48:45</t>
  </si>
  <si>
    <t>https://news.google.com/rss/articles/CBMiamh0dHBzOi8vd3d3LmNuYmN0djE4LmNvbS9maW5hbmNlL2Zpbm8tcGF5bWVudHMtYmFuay1zZWVrcy1zbWFsbC1maW5hbmNlLWJhbmstbGljZW5zZS1mcm9tLXJiaS0xODc0NDM4MS5odG3SAW5odHRwczovL3d3dy5jbmJjdHYxOC5jb20vZmluYW5jZS9maW5vLXBheW1lbnRzLWJhbmstc2Vla3Mtc21hbGwtZmluYW5jZS1iYW5rLWxpY2Vuc2UtZnJvbS1yYmktMTg3NDQzODEuaHRtL2FtcA?oc=5</t>
  </si>
  <si>
    <t>Fino Payments Applies For Small Finance Bank Licence&amp;nbsp;&amp;nbsp;NDTV ProfitFino Payments Applies For Small Finance Bank Licence - NDTV Profit</t>
  </si>
  <si>
    <t>2024-01-08 18:36:23</t>
  </si>
  <si>
    <t>https://news.google.com/rss/articles/CBMiX2h0dHBzOi8vd3d3Lm5kdHZwcm9maXQuY29tL2Vjb25vbXktZmluYW5jZS9maW5vLXBheW1lbnRzLWFwcGxpZXMtZm9yLXNtYWxsLWZpbmFuY2UtYmFuay1saWNlbmNl0gFjaHR0cHM6Ly93d3cubmR0dnByb2ZpdC5jb20vYW1wL2Vjb25vbXktZmluYW5jZS9maW5vLXBheW1lbnRzLWFwcGxpZXMtZm9yLXNtYWxsLWZpbmFuY2UtYmFuay1saWNlbmNl?oc=5</t>
  </si>
  <si>
    <t>Fino Payments Bank applies for SFB license with RBI&amp;nbsp;&amp;nbsp;MoneycontrolFino Payments Bank applies for SFB license with RBI - Moneycontrol</t>
  </si>
  <si>
    <t>2024-01-08 18:27:36</t>
  </si>
  <si>
    <t>https://news.google.com/rss/articles/CBMicmh0dHBzOi8vd3d3Lm1vbmV5Y29udHJvbC5jb20vbmV3cy9idXNpbmVzcy9iYW5rcy9maW5vLXBheW1lbnRzLWJhbmstYXBwbGllcy1mb3Itc2ZiLWxpY2Vuc2Utd2l0aC1yYmktMTIwMTc4MzEuaHRtbNIBdmh0dHBzOi8vd3d3Lm1vbmV5Y29udHJvbC5jb20vbmV3cy9idXNpbmVzcy9iYW5rcy9maW5vLXBheW1lbnRzLWJhbmstYXBwbGllcy1mb3Itc2ZiLWxpY2Vuc2Utd2l0aC1yYmktMTIwMTc4MzEuaHRtbC9hbXA?oc=5</t>
  </si>
  <si>
    <t>Fino Payments Bank applies for small finance bank license from RBI&amp;nbsp;&amp;nbsp;The Economic TimesFino Payments Bank applies for small finance bank license from RBI - The Economic Times</t>
  </si>
  <si>
    <t>2024-01-08 13:30:00</t>
  </si>
  <si>
    <t>https://news.google.com/rss/articles/CBMimQFodHRwczovL20uZWNvbm9taWN0aW1lcy5jb20vaW5kdXN0cnkvYmFua2luZy9maW5hbmNlL2JhbmtpbmcvZmluby1wYXltZW50cy1iYW5rLWFwcGxpZXMtZm9yLXNtYWxsLWZpbmFuY2UtYmFuay1saWNlbnNlLWZyb20tcmJpL2FydGljbGVzaG93LzEwNjY0MjQ1MS5jbXPSAZ0BaHR0cHM6Ly9tLmVjb25vbWljdGltZXMuY29tL2luZHVzdHJ5L2JhbmtpbmcvZmluYW5jZS9iYW5raW5nL2Zpbm8tcGF5bWVudHMtYmFuay1hcHBsaWVzLWZvci1zbWFsbC1maW5hbmNlLWJhbmstbGljZW5zZS1mcm9tLXJiaS9hbXBfYXJ0aWNsZXNob3cvMTA2NjQyNDUxLmNtcw?oc=5</t>
  </si>
  <si>
    <t>https://news.google.com/rss/articles/CBMiamh0dHBzOi8vd3d3LmNuYmN0djE4LmNvbS9maW5hbmNlL2Zpbm8tcGF5bWVudHMtYmFuay1zZWVrcy1zbWFsbC1maW5hbmNlLWJhbmstbGljZW5zZS1mcm9tLXJiaS0xODc0NDM4MS5odG3SAQA?oc=5</t>
  </si>
  <si>
    <t>https://news.google.com/rss/articles/CBMijwFodHRwczovL2hpbmRpLm1vbmV5Y29udHJvbC5jb20vbmV3cy9tYXJrZXRzL2Zpbm8tcGF5bWVudHMtYmFuay1hcHBsaWVzLWZvci1zZmItbGljZW5zZS13aXRoLXJiaS1zaGFyZS1wcmljZS1zbGlwcy10b2RheS1vbi04dGgtamFuLTE3MDU0NDEuaHRtbNIBAA?oc=5</t>
  </si>
  <si>
    <t>Technical Analysis: Bank of Baroda, Yes Bank, Fino Payments Bank&amp;nbsp;&amp;nbsp;BusinessLineTechnical Analysis: Bank of Baroda, Yes Bank, Fino Payments Bank - BusinessLine</t>
  </si>
  <si>
    <t>2024-01-06 19:14:16</t>
  </si>
  <si>
    <t>https://news.google.com/rss/articles/CBMiowFodHRwczovL3d3dy50aGVoaW5kdWJ1c2luZXNzbGluZS5jb20vcG9ydGZvbGlvL3RlY2huaWNhbC1hbmFseXNpcy90ZWNoLXF1ZXJ5LXdoYXQtaXMtdGhlLW91dGxvb2stZm9yLWJhbmstb2YtYmFyb2RhLXllcy1iYW5rLWZpbm8tcGF5bWVudHMtYmFuay9hcnRpY2xlNjc3MTAxMTEuZWNl0gGoAWh0dHBzOi8vd3d3LnRoZWhpbmR1YnVzaW5lc3NsaW5lLmNvbS9wb3J0Zm9saW8vdGVjaG5pY2FsLWFuYWx5c2lzL3RlY2gtcXVlcnktd2hhdC1pcy10aGUtb3V0bG9vay1mb3ItYmFuay1vZi1iYXJvZGEteWVzLWJhbmstZmluby1wYXltZW50cy1iYW5rL2FydGljbGU2NzcxMDExMS5lY2UvYW1wLw?oc=5</t>
  </si>
  <si>
    <t>Two Odia men arrested for Cheating in the name of Fino Bank by Berhampur Police |&amp;nbsp;&amp;nbsp;Odishabarta.com |Two Odia men arrested for Cheating in the name of Fino Bank by Berhampur Police | - Odishabarta.com |</t>
  </si>
  <si>
    <t>2024-01-06 16:46:15</t>
  </si>
  <si>
    <t>https://news.google.com/rss/articles/CBMiaGh0dHBzOi8vb2Rpc2hhYmFydGEuY29tL3R3by1vZGlhLW1lbi1hcnJlc3RlZC1mb3ItY2hlYXRpbmctaW4tdGhlLW5hbWUtb2YtZmluby1iYW5rLWJ5LWJlcmhhbXB1ci1wb2xpY2Uv0gEA?oc=5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</si>
</sst>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tinyurl.com/4xy4sumw%0a" TargetMode="External"/><Relationship Id="rId117" Type="http://schemas.openxmlformats.org/officeDocument/2006/relationships/hyperlink" Target="https://news.google.com/rss/articles/CBMibGh0dHBzOi8vd3d3Lm5kdHZwcm9maXQuY29tL2J1enppbmctc3RvY2tzL2Zpbm8tcGF5bWVudHMtc2hhcmVzLXJpc2UtNy1hcy1pdC1zZWVrcy1zbWFsbC1maW5hbmNlLWJhbmstbGljZW5jZdIBcGh0dHBzOi8vd3d3Lm5kdHZwcm9maXQuY29tL2FtcC9idXp6aW5nLXN0b2Nrcy9maW5vLXBheW1lbnRzLXNoYXJlcy1yaXNlLTctYXMtaXQtc2Vla3Mtc21hbGwtZmluYW5jZS1iYW5rLWxpY2VuY2U?oc=5" TargetMode="External"/><Relationship Id="rId21" Type="http://schemas.openxmlformats.org/officeDocument/2006/relationships/hyperlink" Target="https://t.me/+HS0YgRFQjLxhZTg0" TargetMode="External"/><Relationship Id="rId42" Type="http://schemas.openxmlformats.org/officeDocument/2006/relationships/hyperlink" Target="https://www.reddit.com/r/ItaliaPersonalFinance/comments/194qdko/abbassare_isee_24_investendo_in_titoli_di_stato/" TargetMode="External"/><Relationship Id="rId47" Type="http://schemas.openxmlformats.org/officeDocument/2006/relationships/hyperlink" Target="https://www.reddit.com/r/ItaliaPersonalFinance/comments/18xs26l/irpef_e_ritenute_alla_fonte/" TargetMode="External"/><Relationship Id="rId63" Type="http://schemas.openxmlformats.org/officeDocument/2006/relationships/hyperlink" Target="https://www.technologyforyou.org/new-age-tech-stocks-come-under-selling-pressure-fino-payments-only-gainer-this-week/" TargetMode="External"/><Relationship Id="rId68" Type="http://schemas.openxmlformats.org/officeDocument/2006/relationships/hyperlink" Target="https://news.google.com/rss/articles/CBMiogFodHRwczovL20uZWNvbm9taWN0aW1lcy5jb20vcHJpbWUvbW9uZXktYW5kLW1hcmtldHMvYXMtZmluby1hd2FpdHMtc21hbGwtZmluYW5jZS1iYW5rLWxpY2VuY2UtYS1ncm93dGgtdnMtdmFsdWF0aW9uLWRlYmF0ZS1jcm9wcy11cC9wcmltZWFydGljbGVzaG93LzEwNzYzNjEzNy5jbXPSAaYBaHR0cHM6Ly9tLmVjb25vbWljdGltZXMuY29tL3ByaW1lL21vbmV5LWFuZC1tYXJrZXRzL2FzLWZpbm8tYXdhaXRzLXNtYWxsLWZpbmFuY2UtYmFuay1saWNlbmNlLWEtZ3Jvd3RoLXZzLXZhbHVhdGlvbi1kZWJhdGUtY3JvcHMtdXAvYW1wX3ByaW1lYXJ0aWNsZXNob3cvMTA3NjM2MTM3LmNtcw?oc=5" TargetMode="External"/><Relationship Id="rId84" Type="http://schemas.openxmlformats.org/officeDocument/2006/relationships/hyperlink" Target="https://news.google.com/rss/articles/CBMiigFodHRwczovL3d3dy5idXNpbmVzcy1zdGFuZGFyZC5jb20vY29tcGFuaWVzL3Jlc3VsdHMvZmluby1wYXltZW50cy1iYW5rLXEzLXJlc3VsdHMtbmV0LXByb2ZpdC1yaXNlcy1ieS0xOS10by1ycy0yMi04LWNyLTEyNDAxMzEwMTAwNF8xLmh0bWzSAY4BaHR0cHM6Ly93d3cuYnVzaW5lc3Mtc3RhbmRhcmQuY29tL2FtcC9jb21wYW5pZXMvcmVzdWx0cy9maW5vLXBheW1lbnRzLWJhbmstcTMtcmVzdWx0cy1uZXQtcHJvZml0LXJpc2VzLWJ5LTE5LXRvLXJzLTIyLTgtY3ItMTI0MDEzMTAxMDA0XzEuaHRtbA?oc=5" TargetMode="External"/><Relationship Id="rId89" Type="http://schemas.openxmlformats.org/officeDocument/2006/relationships/hyperlink" Target="https://www.thehindubusinessline.com/markets/stocks-that-will-see-action-today-january-31-2024/article67795296.ece" TargetMode="External"/><Relationship Id="rId112" Type="http://schemas.openxmlformats.org/officeDocument/2006/relationships/hyperlink" Target="http://bwdisrupt.businessworld.in/article/Fino-Payments-Bank-Applies-For-SFB-License-After-Board-s-Approval-Report/09-01-2024-505233" TargetMode="External"/><Relationship Id="rId133" Type="http://schemas.openxmlformats.org/officeDocument/2006/relationships/hyperlink" Target="https://news.google.com/rss/articles/CBMipAFodHRwczovL3d3dy5pbmRpYWluZm9saW5lLmNvbS9hcnRpY2xlL2dlbmVyYWwtb3RoZXJzLWZhY3RpdmEvZmluby1wYXltZW50cy1iYW5rLWFwcGxpZXMtZm9yLXNtYWxsLWZpbmFuY2UtYmFuay1saWNlbnNlLXJlcG9ydHMtc3Ryb25nLXEtcHJvZml0cy0xNzA0Nzc4ODY5NTE3XzEuaHRtbNIBqAFodHRwczovL3d3dy5pbmRpYWluZm9saW5lLmNvbS9hcnRpY2xlLWFtcC9nZW5lcmFsLW90aGVycy1mYWN0aXZhL2Zpbm8tcGF5bWVudHMtYmFuay1hcHBsaWVzLWZvci1zbWFsbC1maW5hbmNlLWJhbmstbGljZW5zZS1yZXBvcnRzLXN0cm9uZy1xLXByb2ZpdHMtMTcwNDc3ODg2OTUxN18xLmh0bWw?oc=5" TargetMode="External"/><Relationship Id="rId138" Type="http://schemas.openxmlformats.org/officeDocument/2006/relationships/hyperlink" Target="https://news.google.com/rss/articles/CBMiYWh0dHBzOi8vaGluZGkuY25iY3R2MTguY29tL2J1c2luZXNzL2Zpbm8tcGF5bWVudHMtYmFuay1hcHBsaWVzLWZvci1zZmItbGljZW5zZS13aXRoLXJiaS04NjI4OC5odG3SAWVodHRwczovL2hpbmRpLmNuYmN0djE4LmNvbS9idXNpbmVzcy9maW5vLXBheW1lbnRzLWJhbmstYXBwbGllcy1mb3Itc2ZiLWxpY2Vuc2Utd2l0aC1yYmktODYyODguaHRtL2FtcA?oc=5" TargetMode="External"/><Relationship Id="rId16" Type="http://schemas.openxmlformats.org/officeDocument/2006/relationships/hyperlink" Target="https://www.facebook.com/groups/891011629434342/?ref=share" TargetMode="External"/><Relationship Id="rId107" Type="http://schemas.openxmlformats.org/officeDocument/2006/relationships/hyperlink" Target="https://news.google.com/rss/articles/CBMikwFodHRwczovL3RpbWVzb2ZpbmRpYS5pbmRpYXRpbWVzLmNvbS9idXNpbmVzcy9pbmRpYS1idXNpbmVzcy9maW5vLXBheW1lbnRzLWJhbmstYXBwbGllcy1mb3Itc21hbGwtZmluYW5jZS1iYW5rLWxpY2VuY2UvYW1wX2FydGljbGVzaG93LzEwNjY0OTY5MS5jbXPSAZMBaHR0cHM6Ly90aW1lc29maW5kaWEuaW5kaWF0aW1lcy5jb20vYnVzaW5lc3MvaW5kaWEtYnVzaW5lc3MvZmluby1wYXltZW50cy1iYW5rLWFwcGxpZXMtZm9yLXNtYWxsLWZpbmFuY2UtYmFuay1saWNlbmNlL2FtcF9hcnRpY2xlc2hvdy8xMDY2NDk2OTEuY21z?oc=5" TargetMode="External"/><Relationship Id="rId11"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160;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0a" TargetMode="External"/><Relationship Id="rId32" Type="http://schemas.openxmlformats.org/officeDocument/2006/relationships/hyperlink" Target="https://www.reddit.com/r/ItaliaPersonalFinance/comments/1b4meh7/italia_vs_uk_investimenti_esentasse_e_opzioni_di/" TargetMode="External"/><Relationship Id="rId37" Type="http://schemas.openxmlformats.org/officeDocument/2006/relationships/hyperlink" Target="https://www.reddit.com/r/redditinitaliano/comments/1ahhxxz/eupersonalfinance_non_riesci_a_vedere_le/" TargetMode="External"/><Relationship Id="rId53" Type="http://schemas.openxmlformats.org/officeDocument/2006/relationships/hyperlink" Target="https://www.moneycontrol.com/news/business/fino-payments-bank-appoints-2-women-independent-directors-on-board-12454131.html" TargetMode="External"/><Relationship Id="rId58" Type="http://schemas.openxmlformats.org/officeDocument/2006/relationships/hyperlink" Target="https://news.google.com/rss/articles/CBMihwFodHRwczovL3d3dy5idXNpbmVzc3dvcmxkLmluL2FydGljbGUvQW5pdGEtUGFpLU5lZXRhLU11a2VyamktQXBwb2ludGVkLUFzLUFkZGl0aW9uYWwtRGlyZWN0b3JzLUluLUZpbm8tUGF5bWVudHMtQmFua3MvMTMtMDMtMjAyNC01MTMzMzPSAQA?oc=5" TargetMode="External"/><Relationship Id="rId74" Type="http://schemas.openxmlformats.org/officeDocument/2006/relationships/hyperlink" Target="https://news.google.com/rss/articles/CBMihQFodHRwczovL3d3dy5idXNpbmVzc3RvZGF5LmluL3Zpc3VhbHN0b3JpZXMvc3RvY2svamlvLWZpbi11bmljaGVtLWZpbm8tcGF5bWVudHMtZ2Fpbi1vbi1hLXZvbGF0aWxlLWRheS1kZXRhaWxzLWluc2lkZS05OTc1MC0wNS0wMi0yMDI00gGFAWh0dHBzOi8vd3d3LmJ1c2luZXNzdG9kYXkuaW4vdmlzdWFsc3Rvcmllcy9zdG9jay9qaW8tZmluLXVuaWNoZW0tZmluby1wYXltZW50cy1nYWluLW9uLWEtdm9sYXRpbGUtZGF5LWRldGFpbHMtaW5zaWRlLTk5NzUwLTA1LTAyLTIwMjQ?oc=5" TargetMode="External"/><Relationship Id="rId79" Type="http://schemas.openxmlformats.org/officeDocument/2006/relationships/hyperlink" Target="https://economictimes.indiatimes.com/markets/stocks/earnings/fino-payments-bank-q3-results-firm-posts-net-profit-of-rs-23-crore/articleshow/107301518.cms" TargetMode="External"/><Relationship Id="rId102" Type="http://schemas.openxmlformats.org/officeDocument/2006/relationships/hyperlink" Target="https://news.google.com/rss/articles/CBMiiAFodHRwczovL3d3dy5idXNpbmVzcy1zdGFuZGFyZC5jb20vbWFya2V0cy9uZXdzL3N0b2Nrcy10by13YXRjaC1iYWphai1hdXRvLW1ldHJvcG9saXMtemVlLWVudGVydGFpbm1lbnQtZmluby1wYXltZW50cy0xMjQwMTA5MDAxMDlfMS5odG1s0gEA?oc=5" TargetMode="External"/><Relationship Id="rId123" Type="http://schemas.openxmlformats.org/officeDocument/2006/relationships/hyperlink" Target="https://news.google.com/rss/articles/CBMidGh0dHBzOi8vYXUuaW52ZXN0aW5nLmNvbS9uZXdzL3N0b2NrLW1hcmtldC1uZXdzL2Zpbm8tcGF5bWVudHMtYmFuay1hcHBsaWVzLXRvLWJlY29tZS1zbWFsbC1maW5hbmNlLWJhbmstOTNDSC0zMDgwNDU50gEA?oc=5" TargetMode="External"/><Relationship Id="rId128" Type="http://schemas.openxmlformats.org/officeDocument/2006/relationships/hyperlink" Target="https://news.google.com/rss/articles/CBMidGh0dHBzOi8vdWsuaW52ZXN0aW5nLmNvbS9uZXdzL3N0b2NrLW1hcmtldC1uZXdzL2Zpbm8tcGF5bWVudHMtYmFuay1hcHBsaWVzLXRvLWJlY29tZS1zbWFsbC1maW5hbmNlLWJhbmstOTNDSC0zMjkxMjE00gEA?oc=5" TargetMode="External"/><Relationship Id="rId144" Type="http://schemas.openxmlformats.org/officeDocument/2006/relationships/hyperlink" Target="https://news.google.com/rss/articles/CBMimQFodHRwczovL20uZWNvbm9taWN0aW1lcy5jb20vaW5kdXN0cnkvYmFua2luZy9maW5hbmNlL2JhbmtpbmcvZmluby1wYXltZW50cy1iYW5rLWFwcGxpZXMtZm9yLXNtYWxsLWZpbmFuY2UtYmFuay1saWNlbnNlLWZyb20tcmJpL2FydGljbGVzaG93LzEwNjY0MjQ1MS5jbXPSAZ0BaHR0cHM6Ly9tLmVjb25vbWljdGltZXMuY29tL2luZHVzdHJ5L2JhbmtpbmcvZmluYW5jZS9iYW5raW5nL2Zpbm8tcGF5bWVudHMtYmFuay1hcHBsaWVzLWZvci1zbWFsbC1maW5hbmNlLWJhbmstbGljZW5zZS1mcm9tLXJiaS9hbXBfYXJ0aWNsZXNob3cvMTA2NjQyNDUxLmNtcw?oc=5" TargetMode="External"/><Relationship Id="rId5"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160;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0a" TargetMode="External"/><Relationship Id="rId90" Type="http://schemas.openxmlformats.org/officeDocument/2006/relationships/hyperlink" Target="https://news.google.com/rss/articles/CBMiWmh0dHBzOi8vYjJiY2hpZWYuY29tL2Zpbm8tcGF5bWVudHMtYmFuay10by1pbmNyZWFzZS10b3VjaHBvaW50cy1pbi13ZXN0LWJlbmdhbC1ub3J0aC1lYXN0L9IBAA?oc=5" TargetMode="External"/><Relationship Id="rId95" Type="http://schemas.openxmlformats.org/officeDocument/2006/relationships/hyperlink" Target="https://news.google.com/rss/articles/CBMiWGh0dHBzOi8vd3d3LnRoZXdlZWsuaW4vd2lyZS11cGRhdGVzL2J1c2luZXNzLzIwMjQvMDEvMTUvY2NtMS1iaXotZmluby1wYXltZW50cy1iYW5rLmh0bWzSAVxodHRwczovL3d3dy50aGV3ZWVrLmluL3dpcmUtdXBkYXRlcy9idXNpbmVzcy8yMDI0LzAxLzE1L2NjbTEtYml6LWZpbm8tcGF5bWVudHMtYmFuay5hbXAuaHRtbA?oc=5" TargetMode="External"/><Relationship Id="rId22" Type="http://schemas.openxmlformats.org/officeDocument/2006/relationships/hyperlink" Target="https://t.me/+HS0YgRFQjLxhZTg0" TargetMode="External"/><Relationship Id="rId27" Type="http://schemas.openxmlformats.org/officeDocument/2006/relationships/hyperlink" Target="https://tinyurl.com/4xy4sumw%0a" TargetMode="External"/><Relationship Id="rId43" Type="http://schemas.openxmlformats.org/officeDocument/2006/relationships/hyperlink" Target="https://www.reddit.com/r/ItaliaPersonalFinance/comments/190wzhy/filosofie_su_costo_ter_nel_lungo_periodo/" TargetMode="External"/><Relationship Id="rId48" Type="http://schemas.openxmlformats.org/officeDocument/2006/relationships/hyperlink" Target="https://news.google.com/rss/articles/CBMifGh0dHBzOi8vd3d3LmV4Y2hhbmdlNG1lZGlhLmNvbS9tYXJrZXRpbmctbmV3cy9wYW5rYWotdHJpcGF0aGktaXMtYnJhbmQtYW1iYXNzYWRvci1mb3ItZmluby1wYXltZW50cy1iYW5rLWxpbWl0ZWQtMTE1NjM1Lmh0bWzSAQA?oc=5" TargetMode="External"/><Relationship Id="rId64" Type="http://schemas.openxmlformats.org/officeDocument/2006/relationships/hyperlink" Target="https://news.google.com/rss/articles/CBMiRGh0dHBzOi8vZmluYW5jZS55YWhvby5jb20vbmV3cy9sYS1jZXJ2ZXphLW0tZmluYS1tZWV0LTIxMDAwMDE5OS5odG1s0gEA?oc=5" TargetMode="External"/><Relationship Id="rId69" Type="http://schemas.openxmlformats.org/officeDocument/2006/relationships/hyperlink" Target="https://timesofindia.indiatimes.com/blogs/voices/paytm-payments-bank-controversy-unpacking-regulatory-challenges-in-indias-payment-banking-landscape/" TargetMode="External"/><Relationship Id="rId113" Type="http://schemas.openxmlformats.org/officeDocument/2006/relationships/hyperlink" Target="https://news.google.com/rss/articles/CBMihAFodHRwOi8vYndkaXNydXB0LmJ1c2luZXNzd29ybGQuaW4vYXJ0aWNsZS9GaW5vLVBheW1lbnRzLUJhbmstQXBwbGllcy1Gb3ItU0ZCLUxpY2Vuc2UtQWZ0ZXItQm9hcmQtcy1BcHByb3ZhbC1SZXBvcnQvMDktMDEtMjAyNC01MDUyMzPSAQA?oc=5" TargetMode="External"/><Relationship Id="rId118" Type="http://schemas.openxmlformats.org/officeDocument/2006/relationships/hyperlink" Target="https://news.google.com/rss/articles/CBMicGh0dHBzOi8vd3d3Lm5ld3MxOC5jb20vYnVzaW5lc3MvYXBwbGljYXRpb24tc3VibWl0dGVkLWZpbm8tcGF5bWVudHMtYmFuay1zZWVrcy1zZmItbGljZW5zZS1mcm9tLXJiaS04NzMzMDc1Lmh0bWzSAXRodHRwczovL3d3dy5uZXdzMTguY29tL2FtcC9idXNpbmVzcy9hcHBsaWNhdGlvbi1zdWJtaXR0ZWQtZmluby1wYXltZW50cy1iYW5rLXNlZWtzLXNmYi1saWNlbnNlLWZyb20tcmJpLTg3MzMwNzUuaHRtbA?oc=5" TargetMode="External"/><Relationship Id="rId134" Type="http://schemas.openxmlformats.org/officeDocument/2006/relationships/hyperlink" Target="https://www.cnbctv18.com/finance/fino-payments-bank-seeks-small-finance-bank-license-from-rbi-18744381.htm" TargetMode="External"/><Relationship Id="rId139" Type="http://schemas.openxmlformats.org/officeDocument/2006/relationships/hyperlink" Target="https://news.google.com/rss/articles/CBMijwFodHRwczovL2hpbmRpLm1vbmV5Y29udHJvbC5jb20vbmV3cy9tYXJrZXRzL2Zpbm8tcGF5bWVudHMtYmFuay1hcHBsaWVzLWZvci1zZmItbGljZW5zZS13aXRoLXJiaS1zaGFyZS1wcmljZS1zbGlwcy10b2RheS1vbi04dGgtamFuLTE3MDU0NDEuaHRtbNIBkwFodHRwczovL2hpbmRpLm1vbmV5Y29udHJvbC5jb20vbmV3cy9tYXJrZXRzL2Zpbm8tcGF5bWVudHMtYmFuay1hcHBsaWVzLWZvci1zZmItbGljZW5zZS13aXRoLXJiaS1zaGFyZS1wcmljZS1zbGlwcy10b2RheS1vbi04dGgtamFuLTE3MDU0NDEuaHRtbC9hbXA?oc=5" TargetMode="External"/><Relationship Id="rId80" Type="http://schemas.openxmlformats.org/officeDocument/2006/relationships/hyperlink" Target="https://www.moneycontrol.com/news/results/fino-payments-bank-q3-results-net-profit-jumps-19-to-rs-228-crore_17422881.html" TargetMode="External"/><Relationship Id="rId85" Type="http://schemas.openxmlformats.org/officeDocument/2006/relationships/hyperlink" Target="https://news.google.com/rss/articles/CBMidWh0dHBzOi8vd3d3LmxhdGVzdGx5LmNvbS9hZ2VuY3ktbmV3cy9sYXRlc3QtbmV3cy1maW5vLXBheW1lbnRzLWJhbmstbmV0LXByb2ZpdC1yaXNlcy10by1ycy0yMi04LWNyLWluLXEzLTU3Mjk4MDkuaHRtbNIBAA?oc=5" TargetMode="External"/><Relationship Id="rId3" Type="http://schemas.openxmlformats.org/officeDocument/2006/relationships/hyperlink" Target="https://t.co/RYFzSUVQQI%20%0a%0aHERE%20ON%20TWITTER%20ARE%20GOOD%20AND%20LEGIT%20IN%20ALL%20ACCOUNTS%20RECOVERY%20THEY%20DID%20MINE%20ALSO%20WHEN%20MY%20ACCOUNT%20GOT%20HACKED%20I%20THINK%20YOU%20SHOULD%20CHECK%20THEM%20OUT%20ALSO%20%0a%20%20Quoted%20Tweet%20:%20@PrincyG39657148%20:%20@RBI%20please%20help%20@FinoPaymntsBank%20fraud%20hai%20.%20Isme%20%20mere%2026k%20hai%20aur%20is%20bank%20ne%20last%20year%20se%20mere%20account%20pr%20debit%20restriction%20lga%20rakhi%20hai%20.bank%20koi%20help%20ni%20krta%20hai%20..bs%20ek%20farji%20mail%20ID%20dete%20hai%20help%20ke%20Naam%20pr%20jiskpr%20koi%20reply%20ni%20krta%20hai%20customer%20support%20baat%20ni%20sunta%20hai%20." TargetMode="External"/><Relationship Id="rId12"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 TargetMode="External"/><Relationship Id="rId17" Type="http://schemas.openxmlformats.org/officeDocument/2006/relationships/hyperlink" Target="https://t.me/+IZpLfuPyVbEwNjc0" TargetMode="External"/><Relationship Id="rId25" Type="http://schemas.openxmlformats.org/officeDocument/2006/relationships/hyperlink" Target="https://tinyurl.com/4xy4sumw%0a" TargetMode="External"/><Relationship Id="rId33" Type="http://schemas.openxmlformats.org/officeDocument/2006/relationships/hyperlink" Target="https://www.reddit.com/r/BBVABank/comments/1b46yg3/codice_passaparola/" TargetMode="External"/><Relationship Id="rId38" Type="http://schemas.openxmlformats.org/officeDocument/2006/relationships/hyperlink" Target="https://www.reddit.com/r/ItaliaPersonalFinance/comments/1aey2my/acquisto_immobile_in_pre_asta/" TargetMode="External"/><Relationship Id="rId46" Type="http://schemas.openxmlformats.org/officeDocument/2006/relationships/hyperlink" Target="https://www.reddit.com/r/ItaliaPersonalFinance/comments/18xswke/ca_auto_bank_conferma_i_tassi_dei_conti_deposito/" TargetMode="External"/><Relationship Id="rId59" Type="http://schemas.openxmlformats.org/officeDocument/2006/relationships/hyperlink" Target="https://www.adgully.com/fino-payments-bank-adds-two-women-independent-directors-143004.html" TargetMode="External"/><Relationship Id="rId67" Type="http://schemas.openxmlformats.org/officeDocument/2006/relationships/hyperlink" Target="https://news.google.com/rss/articles/CBMigQFodHRwczovL2JubmJyZWFraW5nLmNvbS9maW5hbmNlLW5hdi9maW5vLXBheW1lbnRzLWJhbmstc2Vla3MtcmJpLW5vZC1mb3Itc21hbGwtZmluYW5jZS1saWNlbnNlLWV5ZXMtbWFzc2l2ZS1ncm93dGgtYW5kLW1zbWUtZm9jdXPSAYEBaHR0cHM6Ly9ibm5icmVha2luZy5jb20vZmluYW5jZS1uYXYvZmluby1wYXltZW50cy1iYW5rLXNlZWtzLXJiaS1ub2QtZm9yLXNtYWxsLWZpbmFuY2UtbGljZW5zZS1leWVzLW1hc3NpdmUtZ3Jvd3RoLWFuZC1tc21lLWZvY3Vz?oc=5" TargetMode="External"/><Relationship Id="rId103" Type="http://schemas.openxmlformats.org/officeDocument/2006/relationships/hyperlink" Target="https://news.google.com/rss/articles/CBMibGh0dHBzOi8vd3d3Lm5kdHZwcm9maXQuY29tL2J1enppbmctc3RvY2tzL2Zpbm8tcGF5bWVudHMtc2hhcmVzLXJpc2UtNy1hcy1pdC1zZWVrcy1zbWFsbC1maW5hbmNlLWJhbmstbGljZW5jZdIBAA?oc=5" TargetMode="External"/><Relationship Id="rId108" Type="http://schemas.openxmlformats.org/officeDocument/2006/relationships/hyperlink" Target="https://news.google.com/rss/articles/CBMifmh0dHBzOi8vd3d3LmluZGlhaW5mb2xpbmUuY29tL25ld3MvbWFya2V0cy9maW5vLXBheW1lbnRzLWJhbmstYXBwbGllcy1mb3Itc21hbGwtZmluYW5jZS1iYW5rLWxpY2Vuc2UtcmVwb3J0cy1zdHJvbmctcTItcHJvZml0c9IBAA?oc=5" TargetMode="External"/><Relationship Id="rId116" Type="http://schemas.openxmlformats.org/officeDocument/2006/relationships/hyperlink" Target="https://news.google.com/rss/articles/CBMigwFodHRwczovL3d3dy5idXNpbmVzc3dvcmxkLmluL2FydGljbGUvRmluby1QYXltZW50cy1CYW5rLVN1Ym1pdHMtQXBwbGljYXRpb24tVG8tUkJJLUZvci1TbWFsbC1GaW5hbmNlLUJhbmstTGljZW5zZS8wOS0wMS0yMDI0LTUwNTIxOdIBAA?oc=5" TargetMode="External"/><Relationship Id="rId124" Type="http://schemas.openxmlformats.org/officeDocument/2006/relationships/hyperlink" Target="https://news.google.com/rss/articles/CBMihgFodHRwczovL20udGltZXNvZmluZGlhLmNvbS9idXNpbmVzcy9pbmRpYS1idXNpbmVzcy9maW5vLXBheW1lbnRzLWJhbmstYXBwbGllcy1mb3Itc21hbGwtZmluYW5jZS1iYW5rLWxpY2VuY2UvYXJ0aWNsZXNob3cvMTA2NjQ5NjkxLmNtc9IBigFodHRwczovL20udGltZXNvZmluZGlhLmNvbS9idXNpbmVzcy9pbmRpYS1idXNpbmVzcy9maW5vLXBheW1lbnRzLWJhbmstYXBwbGllcy1mb3Itc21hbGwtZmluYW5jZS1iYW5rLWxpY2VuY2UvYW1wX2FydGljbGVzaG93LzEwNjY0OTY5MS5jbXM?oc=5" TargetMode="External"/><Relationship Id="rId129" Type="http://schemas.openxmlformats.org/officeDocument/2006/relationships/hyperlink" Target="https://news.google.com/rss/articles/CBMia2h0dHBzOi8vd3d3LmludmVzdGluZy5jb20vbmV3cy9lY29ub215L2Zpbm8tcGF5bWVudHMtYmFuay1hcHBsaWVzLXRvLWJlY29tZS1zbWFsbC1maW5hbmNlLWJhbmstOTNDSC0zMjY5ODk10gEA?oc=5" TargetMode="External"/><Relationship Id="rId137" Type="http://schemas.openxmlformats.org/officeDocument/2006/relationships/hyperlink" Target="https://news.google.com/rss/articles/CBMiWGh0dHBzOi8vYjJiY2hpZWYuY29tL2Zpbm8tcGF5bWVudHMtYmFuay1hcHBsaWVzLWZvci1zbWFsbC1maW5hbmNlLWJhbmstbGljZW5zZS1mcm9tLXJiaS_SAQA?oc=5" TargetMode="External"/><Relationship Id="rId20" Type="http://schemas.openxmlformats.org/officeDocument/2006/relationships/hyperlink" Target="https://www.youtube.com/live/CyocbM409XY?si=FAOO-pg3aGwWaafc%0ahttps://tinyurl.com/4xy4sumw%0a" TargetMode="External"/><Relationship Id="rId41" Type="http://schemas.openxmlformats.org/officeDocument/2006/relationships/hyperlink" Target="https://www.reddit.com/r/ItaliaPersonalFinance/comments/197zn1p/malattia_non_retribuita_per_una_serie_di_equivoci/" TargetMode="External"/><Relationship Id="rId54" Type="http://schemas.openxmlformats.org/officeDocument/2006/relationships/hyperlink" Target="https://www.business-standard.com/companies/news/fino-payments-bank-appoints-two-new-independent-directors-on-its-board-124031301134_1.html" TargetMode="External"/><Relationship Id="rId62" Type="http://schemas.openxmlformats.org/officeDocument/2006/relationships/hyperlink" Target="https://news.google.com/rss/articles/CBMiMmh0dHBzOi8vd3d3LmVxdWl0eWJ1bGxzLmNvbS9jYXRlZ29yeS5waHA_aWQ9MzQ0Mzcy0gEA?oc=5" TargetMode="External"/><Relationship Id="rId70" Type="http://schemas.openxmlformats.org/officeDocument/2006/relationships/hyperlink" Target="https://www.moneycontrol.com/news/business/why-have-half-of-indias-payments-banks-shut-shop-12204691.html" TargetMode="External"/><Relationship Id="rId75" Type="http://schemas.openxmlformats.org/officeDocument/2006/relationships/hyperlink" Target="https://news.google.com/rss/articles/CBMiL2h0dHBzOi8vbWVkaWFicmllZi5jb20vZmluby1wYXltZW50cy1iYW5rLXEzMjQv0gEA?oc=5" TargetMode="External"/><Relationship Id="rId83" Type="http://schemas.openxmlformats.org/officeDocument/2006/relationships/hyperlink" Target="https://news.google.com/rss/articles/CBMiZmh0dHBzOi8vd3d3LnplZWJpei5jb20vY29tcGFuaWVzL25ld3MtZmluby1wYXltZW50cy1iYW5rLW5ldC1wcm9maXQtcmlzZXMtdG8tcnMtMjI4LWNyb3JlLWluLXEzLTI3NDMwNNIBamh0dHBzOi8vd3d3LnplZWJpei5jb20vY29tcGFuaWVzL25ld3MtZmluby1wYXltZW50cy1iYW5rLW5ldC1wcm9maXQtcmlzZXMtdG8tcnMtMjI4LWNyb3JlLWluLXEzLTI3NDMwNC9hbXA?oc=5" TargetMode="External"/><Relationship Id="rId88" Type="http://schemas.openxmlformats.org/officeDocument/2006/relationships/hyperlink" Target="https://news.google.com/rss/articles/CBMihAFodHRwczovL3d3dy5tb25leWNvbnRyb2wuY29tL25ld3MvYnVzaW5lc3MvZWFybmluZ3MvZmluby1wYXltZW50cy1iYW5rLXEzLXJlc3VsdHMtbmV0LXByb2ZpdC1qdW1wcy0xOS10by1ycy0yMi04LWNyb3JlLTEyMTYyNzgxLmh0bWzSAYgBaHR0cHM6Ly93d3cubW9uZXljb250cm9sLmNvbS9uZXdzL2J1c2luZXNzL2Vhcm5pbmdzL2Zpbm8tcGF5bWVudHMtYmFuay1xMy1yZXN1bHRzLW5ldC1wcm9maXQtanVtcHMtMTktdG8tcnMtMjItOC1jcm9yZS0xMjE2Mjc4MS5odG1sL2FtcA?oc=5" TargetMode="External"/><Relationship Id="rId91" Type="http://schemas.openxmlformats.org/officeDocument/2006/relationships/hyperlink" Target="https://newspatrolling.com/fino-bank-to-increase-physical-as-well-as-digital-footprint-in-west-bengal/" TargetMode="External"/><Relationship Id="rId96" Type="http://schemas.openxmlformats.org/officeDocument/2006/relationships/hyperlink" Target="https://news.google.com/rss/articles/CBMihQFodHRwczovL3d3dy5kZXZkaXNjb3Vyc2UuY29tL2FydGljbGUvc2NpZW5jZS1lbnZpcm9ubWVudC8yNzc3MDU1LWZpbm8tcGF5bWVudHMtYmFuay10by1pbmNyZWFzZS10b3VjaHBvaW50cy1pbi13ZXN0LWJlbmdhbC1ub3J0aC1lYXN00gGJAWh0dHBzOi8vd3d3LmRldmRpc2NvdXJzZS5jb20vYXJ0aWNsZS9zY2llbmNlLWVudmlyb25tZW50LzI3NzcwNTUtZmluby1wYXltZW50cy1iYW5rLXRvLWluY3JlYXNlLXRvdWNocG9pbnRzLWluLXdlc3QtYmVuZ2FsLW5vcnRoLWVhc3Q_YW1w?oc=5" TargetMode="External"/><Relationship Id="rId111" Type="http://schemas.openxmlformats.org/officeDocument/2006/relationships/hyperlink" Target="https://news.google.com/rss/articles/CBMikwFodHRwczovL3d3dy5idXNpbmVzcy1zdGFuZGFyZC5jb20vbWFya2V0cy9uZXdzL3N0b2NrLW1hcmtldC1saXZlLXRvZGF5LWphbi05LXNlbnNleC1uaWZ0eS11cy1tYXJrZXQtYm9laW5nLWNoaW5hLWJhamFqLWF1dG8temVlLTEyNDAxMDkwMDEwMV8xLmh0bWzSAZcBaHR0cHM6Ly93d3cuYnVzaW5lc3Mtc3RhbmRhcmQuY29tL2FtcC9tYXJrZXRzL25ld3Mvc3RvY2stbWFya2V0LWxpdmUtdG9kYXktamFuLTktc2Vuc2V4LW5pZnR5LXVzLW1hcmtldC1ib2VpbmctY2hpbmEtYmFqYWotYXV0by16ZWUtMTI0MDEwOTAwMTAxXzEuaHRtbA?oc=5" TargetMode="External"/><Relationship Id="rId132" Type="http://schemas.openxmlformats.org/officeDocument/2006/relationships/hyperlink" Target="https://economictimes.indiatimes.com/industry/banking/finance/banking/fino-payments-bank-applies-for-small-finance-bank-license-from-rbi/articleshow/106642451.cms" TargetMode="External"/><Relationship Id="rId140" Type="http://schemas.openxmlformats.org/officeDocument/2006/relationships/hyperlink" Target="https://news.google.com/rss/articles/CBMiemh0dHBzOi8vYm5uYnJlYWtpbmcuY29tL2ZpbmFuY2UtbmF2L2Zpbm8tcGF5bWVudHMtYmFuay1hcHBsaWVzLWZvci1zbWFsbC1maW5hbmNlLWJhbmstbGljZW5zZS1hLXN0cmF0ZWdpYy1tb3ZlLWZvci1ncm93dGgv0gEA?oc=5" TargetMode="External"/><Relationship Id="rId145" Type="http://schemas.openxmlformats.org/officeDocument/2006/relationships/hyperlink" Target="https://news.google.com/rss/articles/CBMiamh0dHBzOi8vd3d3LmNuYmN0djE4LmNvbS9maW5hbmNlL2Zpbm8tcGF5bWVudHMtYmFuay1zZWVrcy1zbWFsbC1maW5hbmNlLWJhbmstbGljZW5zZS1mcm9tLXJiaS0xODc0NDM4MS5odG3SAQA?oc=5" TargetMode="External"/><Relationship Id="rId1" Type="http://schemas.openxmlformats.org/officeDocument/2006/relationships/hyperlink" Target="https://refer9.com/gold/7nb60" TargetMode="External"/><Relationship Id="rId6"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160;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0a" TargetMode="External"/><Relationship Id="rId15" Type="http://schemas.openxmlformats.org/officeDocument/2006/relationships/hyperlink" Target="https://t.co/1YFJ65ljKr%20%0a%20%20Quoted%20Tweet%20:%20@Ravisutanjani%20:%20&#128680;%20Active%20Payments%20Banks%20in%20India%0a%0a&#8226;%20Airtel%20Payments%20Bank%0a&#8226;%20India%20Post%20Payments%20Bank%0a&#8226;%20Fino%20Payments%20Bank%0a&#8226;%20Jio%20Payments%20Bank%0a&#8226;%20Paytm%20Payments%20Bank%0a&#8226;%20NSDL%20Payments%20Bank%0a%0aPayments%20Bank%20in%20India%20Cannot%20Issue%20Loans%20&amp;%20Credit%20Cards%20To%20Customers" TargetMode="External"/><Relationship Id="rId23" Type="http://schemas.openxmlformats.org/officeDocument/2006/relationships/hyperlink" Target="https://www.youtube.com/@Vimleshedit100k" TargetMode="External"/><Relationship Id="rId28" Type="http://schemas.openxmlformats.org/officeDocument/2006/relationships/hyperlink" Target="https://play.google.com/store/apps/details?id=com.bss.oflep&amp;referrer=6261869551" TargetMode="External"/><Relationship Id="rId36" Type="http://schemas.openxmlformats.org/officeDocument/2006/relationships/hyperlink" Target="https://www.reddit.com/r/ItaliaPersonalFinance/comments/1aipoyj/ha_senso_cambiare_banca_nel_mio_caso/" TargetMode="External"/><Relationship Id="rId49" Type="http://schemas.openxmlformats.org/officeDocument/2006/relationships/hyperlink" Target="https://news.google.com/rss/articles/CBMib2h0dHBzOi8vbWVkaWFicmllZi5jb20vZmluby1wYXltZW50cy1iYW5rLWFwcG9pbnRzLWFuaXRhLXN1ZGhpci1wYWktYW5kLW5lZXRhLW11a2VyamktYXMtaW5kZXBlbmRlbnQtZGlyZWN0b3JzL9IBAA?oc=5" TargetMode="External"/><Relationship Id="rId57" Type="http://schemas.openxmlformats.org/officeDocument/2006/relationships/hyperlink" Target="https://news.google.com/rss/articles/CBMingFodHRwczovL3d3dy50aGVoaW5kdWJ1c2luZXNzbGluZS5jb20vbW9uZXktYW5kLWJhbmtpbmcvYW5pdGEtc3VkaGlyLXBhaS1hbmQtbmVldGEtbXVrZXJqaS1qb2luLWZpbm8tcGF5bWVudHMtYmFuay1hcy1pbmRlcGVuZGVudC1kaXJlY3RvcnMvYXJ0aWNsZTY3OTQ3ODY3LmVjZdIBowFodHRwczovL3d3dy50aGVoaW5kdWJ1c2luZXNzbGluZS5jb20vbW9uZXktYW5kLWJhbmtpbmcvYW5pdGEtc3VkaGlyLXBhaS1hbmQtbmVldGEtbXVrZXJqaS1qb2luLWZpbm8tcGF5bWVudHMtYmFuay1hcy1pbmRlcGVuZGVudC1kaXJlY3RvcnMvYXJ0aWNsZTY3OTQ3ODY3LmVjZS9hbXAv?oc=5" TargetMode="External"/><Relationship Id="rId106" Type="http://schemas.openxmlformats.org/officeDocument/2006/relationships/hyperlink" Target="https://news.google.com/rss/articles/CBMiamh0dHBzOi8vc3RhcnR1cHN0b3J5bWVkaWEuY29tL2luc2lnaHRzLWZpbm8tcGF5bWVudHMtYmFuay1hcHBsaWVzLWZvci1zbWFsbC1maW5hbmNlLWJhbmstbGljZW5zZS13aXRoLXJiaS_SAQA?oc=5" TargetMode="External"/><Relationship Id="rId114" Type="http://schemas.openxmlformats.org/officeDocument/2006/relationships/hyperlink" Target="https://news.google.com/rss/articles/CBMihAFodHRwOi8vYndkaXNydXB0LmJ1c2luZXNzd29ybGQuaW4vYXJ0aWNsZS9GaW5vLVBheW1lbnRzLUJhbmstQXBwbGllcy1Gb3ItU0ZCLUxpY2Vuc2UtQWZ0ZXItQm9hcmQtcy1BcHByb3ZhbC1SZXBvcnQvMDktMDEtMjAyNC01MDUyMzPSAYgBaHR0cDovL2J3ZGlzcnVwdC5idXNpbmVzc3dvcmxkLmluL2FtcC9hcnRpY2xlL0Zpbm8tUGF5bWVudHMtQmFuay1BcHBsaWVzLUZvci1TRkItTGljZW5zZS1BZnRlci1Cb2FyZC1zLUFwcHJvdmFsLVJlcG9ydC8wOS0wMS0yMDI0LTUwNTIzMw?oc=5" TargetMode="External"/><Relationship Id="rId119" Type="http://schemas.openxmlformats.org/officeDocument/2006/relationships/hyperlink" Target="https://news.google.com/rss/articles/CBMiemh0dHBzOi8vd3d3Lm5ld3MxOC5jb20vYnVzaW5lc3Mvc3RvY2tzLXRvLXdhdGNoLXplZS1lbnQtYmFqYWotYXV0by10YXRhLW1vdG9ycy1maW5vLXBheW1lbnRzLWNpcGxhLWFuZC1vdGhlcnMtODczMjk4NS5odG1s0gF-aHR0cHM6Ly93d3cubmV3czE4LmNvbS9hbXAvYnVzaW5lc3Mvc3RvY2tzLXRvLXdhdGNoLXplZS1lbnQtYmFqYWotYXV0by10YXRhLW1vdG9ycy1maW5vLXBheW1lbnRzLWNpcGxhLWFuZC1vdGhlcnMtODczMjk4NS5odG1s?oc=5" TargetMode="External"/><Relationship Id="rId127" Type="http://schemas.openxmlformats.org/officeDocument/2006/relationships/hyperlink" Target="https://news.google.com/rss/articles/CBMiYmh0dHBzOi8vaW4uaW52ZXN0aW5nLmNvbS9uZXdzL2Zpbm8tcGF5bWVudHMtYmFuay1hcHBsaWVzLXRvLWJlY29tZS1zbWFsbC1maW5hbmNlLWJhbmstOTNDSC0zOTY0NzY20gEA?oc=5" TargetMode="External"/><Relationship Id="rId10"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160;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0a" TargetMode="External"/><Relationship Id="rId31" Type="http://schemas.openxmlformats.org/officeDocument/2006/relationships/hyperlink" Target="https://www.reddit.com/r/ItaliaPersonalFinance/comments/1b6oj83/i_soldi_della_zia/" TargetMode="External"/><Relationship Id="rId44" Type="http://schemas.openxmlformats.org/officeDocument/2006/relationships/hyperlink" Target="https://www.reddit.com/r/ItaliaPersonalFinance/comments/190q04d/se_dave_ramsey_fosse_nato_a_pioltello_come/" TargetMode="External"/><Relationship Id="rId52" Type="http://schemas.openxmlformats.org/officeDocument/2006/relationships/hyperlink" Target="https://www.businessworld.in/article/Anita-Pai-Neeta-Mukerji-Appointed-As-Additional-Directors-In-Fino-Payments-Banks/13-03-2024-513333" TargetMode="External"/><Relationship Id="rId60" Type="http://schemas.openxmlformats.org/officeDocument/2006/relationships/hyperlink" Target="https://news.google.com/rss/articles/CBMie2h0dHBzOi8vd3d3Lm1vbmV5Y29udHJvbC5jb20vbmV3cy9idXNpbmVzcy9maW5vLXBheW1lbnRzLWJhbmstYXBwb2ludHMtMi13b21lbi1pbmRlcGVuZGVudC1kaXJlY3RvcnMtb24tYm9hcmQtMTI0NTQxMzEuaHRtbNIBf2h0dHBzOi8vd3d3Lm1vbmV5Y29udHJvbC5jb20vbmV3cy9idXNpbmVzcy9maW5vLXBheW1lbnRzLWJhbmstYXBwb2ludHMtMi13b21lbi1pbmRlcGVuZGVudC1kaXJlY3RvcnMtb24tYm9hcmQtMTI0NTQxMzEuaHRtbC9hbXA?oc=5" TargetMode="External"/><Relationship Id="rId65" Type="http://schemas.openxmlformats.org/officeDocument/2006/relationships/hyperlink" Target="https://news.google.com/rss/articles/CBMiVWh0dHBzOi8vd3d3LmluZGlhaW5mb2xpbmUuY29tL25ld3MvY29tcGFuaWVzL2Zpbm8tcGF5bWVudHMtYmFuay1saW1pdGVkLXByZXNzLXJlbGVhc2XSAQA?oc=5" TargetMode="External"/><Relationship Id="rId73" Type="http://schemas.openxmlformats.org/officeDocument/2006/relationships/hyperlink" Target="https://m.economictimes.com/markets/stocks/news/paytm-crisis-makes-investors-hunt-for-other-fertile-fintechs-top-2-stocks-on-radar/articleshow/107424239.cms" TargetMode="External"/><Relationship Id="rId78" Type="http://schemas.openxmlformats.org/officeDocument/2006/relationships/hyperlink" Target="https://news.google.com/rss/articles/CBMiZmh0dHBzOi8vd3d3LnB0aW5ld3MuY29tL3N0b3J5L2J1c2luZXNzL2Zpbm8tcGF5bWVudHMtYmFuay1uZXQtcHJvZml0LXJpc2VzLXRvLXJzLTIyLTgtY3ItaW4tcTMvMTI1NjE3M9IBAA?oc=5" TargetMode="External"/><Relationship Id="rId81" Type="http://schemas.openxmlformats.org/officeDocument/2006/relationships/hyperlink" Target="https://news.google.com/rss/articles/CBMikAFodHRwczovL20uZWNvbm9taWN0aW1lcy5jb20vbWFya2V0cy9zdG9ja3MvZWFybmluZ3MvZmluby1wYXltZW50cy1iYW5rLXEzLXJlc3VsdHMtZmlybS1wb3N0cy1uZXQtcHJvZml0LW9mLXJzLTIzLWNyb3JlL2FydGljbGVzaG93LzEwNzMwMTUxOC5jbXPSAZQBaHR0cHM6Ly9tLmVjb25vbWljdGltZXMuY29tL21hcmtldHMvc3RvY2tzL2Vhcm5pbmdzL2Zpbm8tcGF5bWVudHMtYmFuay1xMy1yZXN1bHRzLWZpcm0tcG9zdHMtbmV0LXByb2ZpdC1vZi1ycy0yMy1jcm9yZS9hbXBfYXJ0aWNsZXNob3cvMTA3MzAxNTE4LmNtcw?oc=5" TargetMode="External"/><Relationship Id="rId86" Type="http://schemas.openxmlformats.org/officeDocument/2006/relationships/hyperlink" Target="https://news.google.com/rss/articles/CBMidWh0dHBzOi8vd3d3LmxhdGVzdGx5LmNvbS9hZ2VuY3ktbmV3cy9sYXRlc3QtbmV3cy1maW5vLXBheW1lbnRzLWJhbmstbmV0LXByb2ZpdC1yaXNlcy10by1ycy0yMi04LWNyLWluLXEzLTU3Mjk4MDkuaHRtbNIBeWh0dHBzOi8vd3d3LmxhdGVzdGx5LmNvbS9hZ2VuY3ktbmV3cy9sYXRlc3QtbmV3cy1maW5vLXBheW1lbnRzLWJhbmstbmV0LXByb2ZpdC1yaXNlcy10by1ycy0yMi04LWNyLWluLXEzLTU3Mjk4MDkuaHRtbC9hbXA?oc=5" TargetMode="External"/><Relationship Id="rId94" Type="http://schemas.openxmlformats.org/officeDocument/2006/relationships/hyperlink" Target="https://www.theweek.in/wire-updates/business/2024/01/15/ccm1-biz-fino-payments-bank.html" TargetMode="External"/><Relationship Id="rId99" Type="http://schemas.openxmlformats.org/officeDocument/2006/relationships/hyperlink" Target="https://news.google.com/rss/articles/CBMiUWh0dHBzOi8vd3d3LmR0bmV4dC5pbi9uZXdzL2J1c2luZXNzL2Zpbm8tcGF5bWVudHMtYmFuay10by1leHBhbmQtYWNyb3NzLXRuLTc2MDM1NtIBVWh0dHBzOi8vd3d3LmR0bmV4dC5pbi9hbXAvbmV3cy9idXNpbmVzcy9maW5vLXBheW1lbnRzLWJhbmstdG8tZXhwYW5kLWFjcm9zcy10bi03NjAzNTY?oc=5" TargetMode="External"/><Relationship Id="rId101" Type="http://schemas.openxmlformats.org/officeDocument/2006/relationships/hyperlink" Target="https://timesofindia.indiatimes.com/city/mumbai/fino-applies-for-small-fin-bank-licence/articleshow/106651143.cms" TargetMode="External"/><Relationship Id="rId122" Type="http://schemas.openxmlformats.org/officeDocument/2006/relationships/hyperlink" Target="https://news.google.com/rss/articles/CBMicGh0dHBzOi8vd3d3Lm1zbi5jb20vZW4taW4vbW9uZXkvdG9wc3Rvcmllcy9maW5vLXBheW1lbnRzLWJhbmstYXBwbGllcy1mb3Itc21hbGwtZmluYW5jZS1iYW5rLWxpY2VuY2UvYXItQUExbUYyTFDSAQA?oc=5" TargetMode="External"/><Relationship Id="rId130" Type="http://schemas.openxmlformats.org/officeDocument/2006/relationships/hyperlink" Target="https://news.google.com/rss/articles/CBMiaGh0dHBzOi8vc3RhcnR1cG5ld3MuZnlpLzIwMjQvMDEvMDkvZmluby1wYXltZW50cy1iYW5rLXNlZWtzLXNmYi1saWNlbmNlLWZyb20tcmJpLWFmdGVyLWJvYXJkcy1hZ3JlZW1lbnQv0gEA?oc=5" TargetMode="External"/><Relationship Id="rId135" Type="http://schemas.openxmlformats.org/officeDocument/2006/relationships/hyperlink" Target="https://news.google.com/rss/articles/CBMihwFodHRwczovL3d3dy5idXNpbmVzcy1zdGFuZGFyZC5jb20vZmluYW5jZS9uZXdzL2Zpbm8tcGF5bWVudHMtYmFuay1saW1pdGVkLWFwcGxpZXMtZm9yLXNmYi1saWNlbnNlLWFmdGVyLWJvYXJkLXMtbm9kLTEyNDAxMDgwMTE4NV8xLmh0bWzSAYsBaHR0cHM6Ly93d3cuYnVzaW5lc3Mtc3RhbmRhcmQuY29tL2FtcC9maW5hbmNlL25ld3MvZmluby1wYXltZW50cy1iYW5rLWxpbWl0ZWQtYXBwbGllcy1mb3Itc2ZiLWxpY2Vuc2UtYWZ0ZXItYm9hcmQtcy1ub2QtMTI0MDEwODAxMTg1XzEuaHRtbA?oc=5" TargetMode="External"/><Relationship Id="rId143" Type="http://schemas.openxmlformats.org/officeDocument/2006/relationships/hyperlink" Target="https://news.google.com/rss/articles/CBMicmh0dHBzOi8vd3d3Lm1vbmV5Y29udHJvbC5jb20vbmV3cy9idXNpbmVzcy9iYW5rcy9maW5vLXBheW1lbnRzLWJhbmstYXBwbGllcy1mb3Itc2ZiLWxpY2Vuc2Utd2l0aC1yYmktMTIwMTc4MzEuaHRtbNIBdmh0dHBzOi8vd3d3Lm1vbmV5Y29udHJvbC5jb20vbmV3cy9idXNpbmVzcy9iYW5rcy9maW5vLXBheW1lbnRzLWJhbmstYXBwbGllcy1mb3Itc2ZiLWxpY2Vuc2Utd2l0aC1yYmktMTIwMTc4MzEuaHRtbC9hbXA?oc=5" TargetMode="External"/><Relationship Id="rId148" Type="http://schemas.openxmlformats.org/officeDocument/2006/relationships/hyperlink" Target="https://news.google.com/rss/articles/CBMiaGh0dHBzOi8vb2Rpc2hhYmFydGEuY29tL3R3by1vZGlhLW1lbi1hcnJlc3RlZC1mb3ItY2hlYXRpbmctaW4tdGhlLW5hbWUtb2YtZmluby1iYW5rLWJ5LWJlcmhhbXB1ci1wb2xpY2Uv0gEA?oc=5" TargetMode="External"/><Relationship Id="rId4"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160;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0a" TargetMode="External"/><Relationship Id="rId9"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160;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0a" TargetMode="External"/><Relationship Id="rId13"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160;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0a" TargetMode="External"/><Relationship Id="rId18" Type="http://schemas.openxmlformats.org/officeDocument/2006/relationships/hyperlink" Target="https://t.me/+IZpLfuPyVbEwNjc0" TargetMode="External"/><Relationship Id="rId39" Type="http://schemas.openxmlformats.org/officeDocument/2006/relationships/hyperlink" Target="https://www.reddit.com/r/ItaliaPersonalFinance/comments/1adyfk7/su_quale_fondo_versare_il_tfr/" TargetMode="External"/><Relationship Id="rId109" Type="http://schemas.openxmlformats.org/officeDocument/2006/relationships/hyperlink" Target="https://chennaiprint.in/business/fino-payments-bank-aims-for-transformation-applies-for-sfb-license-from-rbi/" TargetMode="External"/><Relationship Id="rId34" Type="http://schemas.openxmlformats.org/officeDocument/2006/relationships/hyperlink" Target="https://www.reddit.com/r/ItaliaPersonalFinance/comments/1b2v6bs/ecco_quanto_rende_realmente_bbva/" TargetMode="External"/><Relationship Id="rId50" Type="http://schemas.openxmlformats.org/officeDocument/2006/relationships/hyperlink" Target="https://news.google.com/rss/articles/CBMijgFodHRwczovL3d3dy5hcG5uZXdzLmNvbS9maW5vLXBheW1lbnRzLWJhbmstc3RyZW5ndGhlbnMtaXRzLWJvYXJkLWFwcG9pbnRzLXR3by13b21lbi1pbmRlcGVuZGVudC1kaXJlY3RvcnMtd2l0aC1kaXZlcnNlLXByb2Zlc3Npb25hbC1leHBlcnRpc2Uv0gGOAWh0dHBzOi8vd3d3LmFwbm5ld3MuY29tL2Zpbm8tcGF5bWVudHMtYmFuay1zdHJlbmd0aGVucy1pdHMtYm9hcmQtYXBwb2ludHMtdHdvLXdvbWVuLWluZGVwZW5kZW50LWRpcmVjdG9ycy13aXRoLWRpdmVyc2UtcHJvZmVzc2lvbmFsLWV4cGVydGlzZS8?oc=5" TargetMode="External"/><Relationship Id="rId55" Type="http://schemas.openxmlformats.org/officeDocument/2006/relationships/hyperlink" Target="https://news.google.com/rss/articles/CBMiamh0dHBzOi8vd3d3LnRoZWhpbmR1LmNvbS9idXNpbmVzcy9maW5vLXBheW1lbnRzLWJhbmstYXBwb2ludHMtdHdvLWFkZGl0aW9uYWwtZGlyZWN0b3JzL2FydGljbGU2Nzk0ODE2NC5lY2XSAW9odHRwczovL3d3dy50aGVoaW5kdS5jb20vYnVzaW5lc3MvZmluby1wYXltZW50cy1iYW5rLWFwcG9pbnRzLXR3by1hZGRpdGlvbmFsLWRpcmVjdG9ycy9hcnRpY2xlNjc5NDgxNjQuZWNlL2FtcC8?oc=5" TargetMode="External"/><Relationship Id="rId76" Type="http://schemas.openxmlformats.org/officeDocument/2006/relationships/hyperlink" Target="https://smestreet.in/banking/fino-payments-bank-reports-strong-financial-growth-in-q3-2023-2470917" TargetMode="External"/><Relationship Id="rId97" Type="http://schemas.openxmlformats.org/officeDocument/2006/relationships/hyperlink" Target="https://news.google.com/rss/articles/CBMiaWh0dHBzOi8vdGhlcHJpbnQuaW4vZWNvbm9teS9maW5vLXBheW1lbnRzLWJhbmstdG8taW5jcmVhc2UtdG91Y2hwb2ludHMtaW4td2VzdC1iZW5nYWwtbm9ydGgtZWFzdC8xOTI0NDkzL9IBbWh0dHBzOi8vdGhlcHJpbnQuaW4vZWNvbm9teS9maW5vLXBheW1lbnRzLWJhbmstdG8taW5jcmVhc2UtdG91Y2hwb2ludHMtaW4td2VzdC1iZW5nYWwtbm9ydGgtZWFzdC8xOTI0NDkzLz9hbXA?oc=5" TargetMode="External"/><Relationship Id="rId104" Type="http://schemas.openxmlformats.org/officeDocument/2006/relationships/hyperlink" Target="https://news.google.com/rss/articles/CBMiigFodHRwczovL20udGltZXNvZmluZGlhLmNvbS9idXNpbmVzcy9pbmRpYS1idXNpbmVzcy9maW5vLXBheW1lbnRzLWJhbmstYXBwbGllcy1mb3Itc21hbGwtZmluYW5jZS1iYW5rLWxpY2VuY2UvYW1wX2FydGljbGVzaG93LzEwNjY0OTY5MS5jbXPSAYoBaHR0cHM6Ly9tLnRpbWVzb2ZpbmRpYS5jb20vYnVzaW5lc3MvaW5kaWEtYnVzaW5lc3MvZmluby1wYXltZW50cy1iYW5rLWFwcGxpZXMtZm9yLXNtYWxsLWZpbmFuY2UtYmFuay1saWNlbmNlL2FtcF9hcnRpY2xlc2hvdy8xMDY2NDk2OTEuY21z?oc=5" TargetMode="External"/><Relationship Id="rId120" Type="http://schemas.openxmlformats.org/officeDocument/2006/relationships/hyperlink" Target="https://news.google.com/rss/articles/CBMicWh0dHBzOi8vdGltZXNvZmluZGlhLmluZGlhdGltZXMuY29tL2NpdHkvbXVtYmFpL2Zpbm8tYXBwbGllcy1mb3Itc21hbGwtZmluLWJhbmstbGljZW5jZS9hcnRpY2xlc2hvdy8xMDY2NTExNDMuY21z0gF1aHR0cHM6Ly90aW1lc29maW5kaWEuaW5kaWF0aW1lcy5jb20vY2l0eS9tdW1iYWkvZmluby1hcHBsaWVzLWZvci1zbWFsbC1maW4tYmFuay1saWNlbmNlL2FtcF9hcnRpY2xlc2hvdy8xMDY2NTExNDMuY21z?oc=5" TargetMode="External"/><Relationship Id="rId125" Type="http://schemas.openxmlformats.org/officeDocument/2006/relationships/hyperlink" Target="https://news.google.com/rss/articles/CBMihgFodHRwczovL20udGltZXNvZmluZGlhLmNvbS9idXNpbmVzcy9pbmRpYS1idXNpbmVzcy9maW5vLXBheW1lbnRzLWJhbmstYXBwbGllcy1mb3Itc21hbGwtZmluYW5jZS1iYW5rLWxpY2VuY2UvYXJ0aWNsZXNob3cvMTA2NjQ5NjkxLmNtc9IBAA?oc=5" TargetMode="External"/><Relationship Id="rId141" Type="http://schemas.openxmlformats.org/officeDocument/2006/relationships/hyperlink" Target="https://news.google.com/rss/articles/CBMiamh0dHBzOi8vd3d3LmNuYmN0djE4LmNvbS9maW5hbmNlL2Zpbm8tcGF5bWVudHMtYmFuay1zZWVrcy1zbWFsbC1maW5hbmNlLWJhbmstbGljZW5zZS1mcm9tLXJiaS0xODc0NDM4MS5odG3SAW5odHRwczovL3d3dy5jbmJjdHYxOC5jb20vZmluYW5jZS9maW5vLXBheW1lbnRzLWJhbmstc2Vla3Mtc21hbGwtZmluYW5jZS1iYW5rLWxpY2Vuc2UtZnJvbS1yYmktMTg3NDQzODEuaHRtL2FtcA?oc=5" TargetMode="External"/><Relationship Id="rId146" Type="http://schemas.openxmlformats.org/officeDocument/2006/relationships/hyperlink" Target="https://news.google.com/rss/articles/CBMijwFodHRwczovL2hpbmRpLm1vbmV5Y29udHJvbC5jb20vbmV3cy9tYXJrZXRzL2Zpbm8tcGF5bWVudHMtYmFuay1hcHBsaWVzLWZvci1zZmItbGljZW5zZS13aXRoLXJiaS1zaGFyZS1wcmljZS1zbGlwcy10b2RheS1vbi04dGgtamFuLTE3MDU0NDEuaHRtbNIBAA?oc=5" TargetMode="External"/><Relationship Id="rId7"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160;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0a" TargetMode="External"/><Relationship Id="rId71" Type="http://schemas.openxmlformats.org/officeDocument/2006/relationships/hyperlink" Target="https://www.zeebiz.com/market-news/video-gallery-jio-financial-services-big-news-for-payments-small-finance-banks-rbi-set-to-release-new-rules-275177" TargetMode="External"/><Relationship Id="rId92" Type="http://schemas.openxmlformats.org/officeDocument/2006/relationships/hyperlink" Target="https://economictimes.indiatimes.com/industry/banking/finance/banking/fino-payments-bank-to-increase-touchpoints-in-west-bengal-north-east/articleshow/106867154.cms" TargetMode="External"/><Relationship Id="rId2" Type="http://schemas.openxmlformats.org/officeDocument/2006/relationships/hyperlink" Target="https://t.co/xwiirZEBpW%20%0a%20%20Quoted%20Tweet%20:%20@StocktwitsIndia%20:%20Banking%20Stocks%20Ranked%20by%20P/B%20Ratio%20&#127974;%0a%0a1.%20Indian%20Overseas%20Bank:%204.3%0a2.%20FINO%20Payments%20Bank:%204.2%0a3.%20ICICI%20Bank:%203.5%0a4.%20AU%20Small%20Finance%20Bank:%203.4%0a5.%20Kotak%20Mahindra%20Bank:%203.2%0a6.%20HDFC%20Bank:%202.8%0a7.%20Punjab%20&amp;%20Sind%20Bank:%202.5%0a8.%20Bank%20of%20Maharashtra:%202.5%0a9.%20Axis%20Bank:%202.5%0a10.%20UCO%20Bank:%202.3&#8230;" TargetMode="External"/><Relationship Id="rId29" Type="http://schemas.openxmlformats.org/officeDocument/2006/relationships/hyperlink" Target="https://youtu.be/TFZzVyrxxuM" TargetMode="External"/><Relationship Id="rId24" Type="http://schemas.openxmlformats.org/officeDocument/2006/relationships/hyperlink" Target="https://tinyurl.com/4xy4sumw%0a" TargetMode="External"/><Relationship Id="rId40" Type="http://schemas.openxmlformats.org/officeDocument/2006/relationships/hyperlink" Target="https://www.reddit.com/r/ItaliaPersonalFinance/comments/19ethkb/la_svolta_del_15_il_percorso_di_un_quasi/" TargetMode="External"/><Relationship Id="rId45" Type="http://schemas.openxmlformats.org/officeDocument/2006/relationships/hyperlink" Target="https://www.reddit.com/r/ItaliaPersonalFinance/comments/18ychvm/single_a_zurigo_partito_da_zero/" TargetMode="External"/><Relationship Id="rId66" Type="http://schemas.openxmlformats.org/officeDocument/2006/relationships/hyperlink" Target="https://www.equitybulls.com/category.php%3Fid%3D343805" TargetMode="External"/><Relationship Id="rId87" Type="http://schemas.openxmlformats.org/officeDocument/2006/relationships/hyperlink" Target="https://news.google.com/rss/articles/CBMihAFodHRwczovL3d3dy5tb25leWNvbnRyb2wuY29tL25ld3MvYnVzaW5lc3MvZWFybmluZ3MvZmluby1wYXltZW50cy1iYW5rLXEzLXJlc3VsdHMtbmV0LXByb2ZpdC1qdW1wcy0xOS10by1ycy0yMi04LWNyb3JlLTEyMTYyNzgxLmh0bWzSAQA?oc=5" TargetMode="External"/><Relationship Id="rId110" Type="http://schemas.openxmlformats.org/officeDocument/2006/relationships/hyperlink" Target="https://www.news18.com/business/stocks-to-watch-zee-ent-bajaj-auto-tata-motors-fino-payments-cipla-and-others-8732985.html" TargetMode="External"/><Relationship Id="rId115" Type="http://schemas.openxmlformats.org/officeDocument/2006/relationships/hyperlink" Target="https://news.google.com/rss/articles/CBMibWh0dHBzOi8vY2hlbm5haXByaW50LmluL2J1c2luZXNzL2Zpbm8tcGF5bWVudHMtYmFuay1haW1zLWZvci10cmFuc2Zvcm1hdGlvbi1hcHBsaWVzLWZvci1zZmItbGljZW5zZS1mcm9tLXJiaS_SAQA?oc=5" TargetMode="External"/><Relationship Id="rId131" Type="http://schemas.openxmlformats.org/officeDocument/2006/relationships/hyperlink" Target="https://www.thehindubusinessline.com/money-and-banking/fino-payments-bank-applies-to-rbi-for-small-finance-bank-licence/article67719938.ece" TargetMode="External"/><Relationship Id="rId136" Type="http://schemas.openxmlformats.org/officeDocument/2006/relationships/hyperlink" Target="https://news.google.com/rss/articles/CBMiiwFodHRwczovL3d3dy50aGVoaW5kdWJ1c2luZXNzbGluZS5jb20vbW9uZXktYW5kLWJhbmtpbmcvZmluby1wYXltZW50cy1iYW5rLWFwcGxpZXMtdG8tcmJpLWZvci1zbWFsbC1maW5hbmNlLWJhbmstbGljZW5jZS9hcnRpY2xlNjc3MTk5MzguZWNl0gGQAWh0dHBzOi8vd3d3LnRoZWhpbmR1YnVzaW5lc3NsaW5lLmNvbS9tb25leS1hbmQtYmFua2luZy9maW5vLXBheW1lbnRzLWJhbmstYXBwbGllcy10by1yYmktZm9yLXNtYWxsLWZpbmFuY2UtYmFuay1saWNlbmNlL2FydGljbGU2NzcxOTkzOC5lY2UvYW1wLw?oc=5" TargetMode="External"/><Relationship Id="rId61" Type="http://schemas.openxmlformats.org/officeDocument/2006/relationships/hyperlink" Target="https://news.google.com/rss/articles/CBMiW2h0dHBzOi8vd3d3LmFkZ3VsbHkuY29tL2Zpbm8tcGF5bWVudHMtYmFuay1hZGRzLXR3by13b21lbi1pbmRlcGVuZGVudC1kaXJlY3RvcnMtMTQzMDA0Lmh0bWzSAQA?oc=5" TargetMode="External"/><Relationship Id="rId82" Type="http://schemas.openxmlformats.org/officeDocument/2006/relationships/hyperlink" Target="https://news.google.com/rss/articles/CBMif2h0dHBzOi8vd3d3LnRoZWhpbmR1YnVzaW5lc3NsaW5lLmNvbS9tb25leS1hbmQtYmFua2luZy9maW5vLXBheW1lbnRzLWJhbmtzLXEzLW5ldC1wcm9maXQtdXAtMTktdG8tMjI4LWNyb3JlL2FydGljbGU2Nzc5NzY3Ny5lY2XSAYQBaHR0cHM6Ly93d3cudGhlaGluZHVidXNpbmVzc2xpbmUuY29tL21vbmV5LWFuZC1iYW5raW5nL2Zpbm8tcGF5bWVudHMtYmFua3MtcTMtbmV0LXByb2ZpdC11cC0xOS10by0yMjgtY3JvcmUvYXJ0aWNsZTY3Nzk3Njc3LmVjZS9hbXAv?oc=5" TargetMode="External"/><Relationship Id="rId19" Type="http://schemas.openxmlformats.org/officeDocument/2006/relationships/hyperlink" Target="https://www.finobank.com/individual%20Pls%20check!" TargetMode="External"/><Relationship Id="rId14" Type="http://schemas.openxmlformats.org/officeDocument/2006/relationships/hyperlink" Target="https://h27.in/m/vy7kc" TargetMode="External"/><Relationship Id="rId30" Type="http://schemas.openxmlformats.org/officeDocument/2006/relationships/hyperlink" Target="https://www.reddit.com/r/ItaliaPersonalFinance/comments/1bcus90/isee_per_assegno_unico_2024/" TargetMode="External"/><Relationship Id="rId35" Type="http://schemas.openxmlformats.org/officeDocument/2006/relationships/hyperlink" Target="https://www.reddit.com/r/ItaliaPersonalFinance/comments/1atl3ku/fondo_pensione/" TargetMode="External"/><Relationship Id="rId56" Type="http://schemas.openxmlformats.org/officeDocument/2006/relationships/hyperlink" Target="https://news.google.com/rss/articles/CBMiiwFodHRwczovL3d3dy5idXNpbmVzcy1zdGFuZGFyZC5jb20vY29tcGFuaWVzL25ld3MvZmluby1wYXltZW50cy1iYW5rLWFwcG9pbnRzLXR3by1uZXctaW5kZXBlbmRlbnQtZGlyZWN0b3JzLW9uLWl0cy1ib2FyZC0xMjQwMzEzMDExMzRfMS5odG1s0gGPAWh0dHBzOi8vd3d3LmJ1c2luZXNzLXN0YW5kYXJkLmNvbS9hbXAvY29tcGFuaWVzL25ld3MvZmluby1wYXltZW50cy1iYW5rLWFwcG9pbnRzLXR3by1uZXctaW5kZXBlbmRlbnQtZGlyZWN0b3JzLW9uLWl0cy1ib2FyZC0xMjQwMzEzMDExMzRfMS5odG1s?oc=5" TargetMode="External"/><Relationship Id="rId77" Type="http://schemas.openxmlformats.org/officeDocument/2006/relationships/hyperlink" Target="https://news.google.com/rss/articles/CBMiYmh0dHBzOi8vc21lc3RyZWV0LmluL2JhbmtpbmcvZmluby1wYXltZW50cy1iYW5rLXJlcG9ydHMtc3Ryb25nLWZpbmFuY2lhbC1ncm93dGgtaW4tcTMtMjAyMy0yNDcwOTE30gEA?oc=5" TargetMode="External"/><Relationship Id="rId100" Type="http://schemas.openxmlformats.org/officeDocument/2006/relationships/hyperlink" Target="https://www.zeebiz.com/market-news/news-first-trade-sensex-soars-over-400-pts-nifty-above-21650-bajaj-auto-up-over-2-percent-wipro-infosys-adani-ports-larsen-and-toubro-271365" TargetMode="External"/><Relationship Id="rId105" Type="http://schemas.openxmlformats.org/officeDocument/2006/relationships/hyperlink" Target="https://news.google.com/rss/articles/CBMijwFodHRwczovL3RpbWVzb2ZpbmRpYS5pbmRpYXRpbWVzLmNvbS9idXNpbmVzcy9pbmRpYS1idXNpbmVzcy9maW5vLXBheW1lbnRzLWJhbmstYXBwbGllcy1mb3Itc21hbGwtZmluYW5jZS1iYW5rLWxpY2VuY2UvYXJ0aWNsZXNob3cvMTA2NjQ5NjkxLmNtc9IBkwFodHRwczovL3RpbWVzb2ZpbmRpYS5pbmRpYXRpbWVzLmNvbS9idXNpbmVzcy9pbmRpYS1idXNpbmVzcy9maW5vLXBheW1lbnRzLWJhbmstYXBwbGllcy1mb3Itc21hbGwtZmluYW5jZS1iYW5rLWxpY2VuY2UvYW1wX2FydGljbGVzaG93LzEwNjY0OTY5MS5jbXM?oc=5" TargetMode="External"/><Relationship Id="rId126" Type="http://schemas.openxmlformats.org/officeDocument/2006/relationships/hyperlink" Target="https://news.google.com/rss/articles/CBMidGh0dHBzOi8vY2EuaW52ZXN0aW5nLmNvbS9uZXdzL3N0b2NrLW1hcmtldC1uZXdzL2Zpbm8tcGF5bWVudHMtYmFuay1hcHBsaWVzLXRvLWJlY29tZS1zbWFsbC1maW5hbmNlLWJhbmstOTNDSC0zMjIzODA30gEA?oc=5" TargetMode="External"/><Relationship Id="rId147" Type="http://schemas.openxmlformats.org/officeDocument/2006/relationships/hyperlink" Target="https://news.google.com/rss/articles/CBMiowFodHRwczovL3d3dy50aGVoaW5kdWJ1c2luZXNzbGluZS5jb20vcG9ydGZvbGlvL3RlY2huaWNhbC1hbmFseXNpcy90ZWNoLXF1ZXJ5LXdoYXQtaXMtdGhlLW91dGxvb2stZm9yLWJhbmstb2YtYmFyb2RhLXllcy1iYW5rLWZpbm8tcGF5bWVudHMtYmFuay9hcnRpY2xlNjc3MTAxMTEuZWNl0gGoAWh0dHBzOi8vd3d3LnRoZWhpbmR1YnVzaW5lc3NsaW5lLmNvbS9wb3J0Zm9saW8vdGVjaG5pY2FsLWFuYWx5c2lzL3RlY2gtcXVlcnktd2hhdC1pcy10aGUtb3V0bG9vay1mb3ItYmFuay1vZi1iYXJvZGEteWVzLWJhbmstZmluby1wYXltZW50cy1iYW5rL2FydGljbGU2NzcxMDExMS5lY2UvYW1wLw?oc=5" TargetMode="External"/><Relationship Id="rId8" Type="http://schemas.openxmlformats.org/officeDocument/2006/relationships/hyperlink" Target="https://leig.dnb.co.in/BFSI_PP_2024.html%0aGreetings%20from%20Dun%20and%20Bradstreet!%20We%20are%20conducting%20complimentary%20BFSI%20&amp;%20Fintech%20Summit%20for%20all%20valuable%20people%20and%20higher%20designated%20prospects%20from&#160;Finance%20and%20IT%20vertical%20General%20Manager,%20VP,CEO,CXO,%20CFO,%20Director,%20President,%20Chairman,%20Director,%20Managing%20Director,Senior%20VP%20on%2027th%20Feb%20at%20Taj%20hotel%20Santacruz,%20Mumbai%20from%204.00PM%20followed%20with%20dinner%20and%20cocktail.%20Please%20its%20a%20request%20to%20all%20the%20higher%20management%20prospects%20to%20spare%20sometime%20and%20register%20today%20if%20possible%20https:/leig.dnb.co.in/BFSI_PP_2024.html%0aIts%20a%20complimentary%20Summit%20no%20charge%20involved%0ahttps:/leig.dnb.co.in/BFSI_PP_2024.html%0a" TargetMode="External"/><Relationship Id="rId51" Type="http://schemas.openxmlformats.org/officeDocument/2006/relationships/hyperlink" Target="https://www.thehindu.com/business/fino-payments-bank-appoints-two-additional-directors/article67948164.ece" TargetMode="External"/><Relationship Id="rId72" Type="http://schemas.openxmlformats.org/officeDocument/2006/relationships/hyperlink" Target="https://economictimes.indiatimes.com/markets/stocks/news/paytm-crisis-makes-investors-hunt-for-other-fertile-fintechs-top-2-stocks-on-radar/articleshow/107424239.cms" TargetMode="External"/><Relationship Id="rId93" Type="http://schemas.openxmlformats.org/officeDocument/2006/relationships/hyperlink" Target="https://theprint.in/economy/fino-payments-bank-to-increase-touchpoints-in-west-bengal-north-east/1924493/" TargetMode="External"/><Relationship Id="rId98" Type="http://schemas.openxmlformats.org/officeDocument/2006/relationships/hyperlink" Target="https://news.google.com/rss/articles/CBMimwFodHRwczovL20uZWNvbm9taWN0aW1lcy5jb20vaW5kdXN0cnkvYmFua2luZy9maW5hbmNlL2JhbmtpbmcvZmluby1wYXltZW50cy1iYW5rLXRvLWluY3JlYXNlLXRvdWNocG9pbnRzLWluLXdlc3QtYmVuZ2FsLW5vcnRoLWVhc3QvYXJ0aWNsZXNob3cvMTA2ODY3MTU0LmNtc9IBnwFodHRwczovL20uZWNvbm9taWN0aW1lcy5jb20vaW5kdXN0cnkvYmFua2luZy9maW5hbmNlL2JhbmtpbmcvZmluby1wYXltZW50cy1iYW5rLXRvLWluY3JlYXNlLXRvdWNocG9pbnRzLWluLXdlc3QtYmVuZ2FsLW5vcnRoLWVhc3QvYW1wX2FydGljbGVzaG93LzEwNjg2NzE1NC5jbXM?oc=5" TargetMode="External"/><Relationship Id="rId121" Type="http://schemas.openxmlformats.org/officeDocument/2006/relationships/hyperlink" Target="https://news.google.com/rss/articles/CBMiiAFodHRwczovL3d3dy5idXNpbmVzcy1zdGFuZGFyZC5jb20vbWFya2V0cy9uZXdzL3N0b2Nrcy10by13YXRjaC1iYWphai1hdXRvLW1ldHJvcG9saXMtemVlLWVudGVydGFpbm1lbnQtZmluby1wYXltZW50cy0xMjQwMTA5MDAxMDlfMS5odG1s0gGMAWh0dHBzOi8vd3d3LmJ1c2luZXNzLXN0YW5kYXJkLmNvbS9hbXAvbWFya2V0cy9uZXdzL3N0b2Nrcy10by13YXRjaC1iYWphai1hdXRvLW1ldHJvcG9saXMtemVlLWVudGVydGFpbm1lbnQtZmluby1wYXltZW50cy0xMjQwMTA5MDAxMDlfMS5odG1s?oc=5" TargetMode="External"/><Relationship Id="rId142" Type="http://schemas.openxmlformats.org/officeDocument/2006/relationships/hyperlink" Target="https://news.google.com/rss/articles/CBMiX2h0dHBzOi8vd3d3Lm5kdHZwcm9maXQuY29tL2Vjb25vbXktZmluYW5jZS9maW5vLXBheW1lbnRzLWFwcGxpZXMtZm9yLXNtYWxsLWZpbmFuY2UtYmFuay1saWNlbmNl0gFjaHR0cHM6Ly93d3cubmR0dnByb2ZpdC5jb20vYW1wL2Vjb25vbXktZmluYW5jZS9maW5vLXBheW1lbnRzLWFwcGxpZXMtZm9yLXNtYWxsLWZpbmFuY2UtYmFuay1saWNlbmNl?oc=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5819"/>
  <sheetViews>
    <sheetView tabSelected="1" workbookViewId="0">
      <selection activeCell="C8" sqref="C8"/>
    </sheetView>
  </sheetViews>
  <sheetFormatPr defaultRowHeight="14.5" x14ac:dyDescent="0.35"/>
  <sheetData>
    <row r="1" spans="1:45"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x14ac:dyDescent="0.35">
      <c r="A2" t="s">
        <v>45</v>
      </c>
      <c r="B2" t="s">
        <v>46</v>
      </c>
      <c r="C2" t="s">
        <v>47</v>
      </c>
      <c r="D2" t="s">
        <v>48</v>
      </c>
      <c r="E2" t="s">
        <v>48</v>
      </c>
      <c r="F2" t="s">
        <v>49</v>
      </c>
      <c r="G2" t="s">
        <v>50</v>
      </c>
      <c r="H2" t="s">
        <v>51</v>
      </c>
      <c r="J2" t="str">
        <f>HYPERLINK("https://www.facebook.com/357267201017935/inbox/6609083622502897/","https://www.facebook.com/357267201017935/inbox/6609083622502897/")</f>
        <v>https://www.facebook.com/357267201017935/inbox/6609083622502897/</v>
      </c>
      <c r="O2">
        <v>0</v>
      </c>
      <c r="P2">
        <v>0</v>
      </c>
      <c r="Q2">
        <v>0</v>
      </c>
      <c r="S2">
        <v>0</v>
      </c>
      <c r="T2">
        <v>0</v>
      </c>
      <c r="U2">
        <v>0</v>
      </c>
      <c r="W2" t="s">
        <v>52</v>
      </c>
    </row>
    <row r="3" spans="1:45" x14ac:dyDescent="0.35">
      <c r="A3" t="s">
        <v>45</v>
      </c>
      <c r="B3" t="s">
        <v>46</v>
      </c>
      <c r="C3" t="s">
        <v>47</v>
      </c>
      <c r="D3" t="s">
        <v>53</v>
      </c>
      <c r="E3" t="s">
        <v>53</v>
      </c>
      <c r="F3" t="s">
        <v>49</v>
      </c>
      <c r="G3" t="s">
        <v>50</v>
      </c>
      <c r="H3" t="s">
        <v>54</v>
      </c>
      <c r="J3" t="str">
        <f>HYPERLINK("https://www.facebook.com/357267201017935/inbox/7223615461049707/","https://www.facebook.com/357267201017935/inbox/7223615461049707/")</f>
        <v>https://www.facebook.com/357267201017935/inbox/7223615461049707/</v>
      </c>
      <c r="O3">
        <v>0</v>
      </c>
      <c r="P3">
        <v>0</v>
      </c>
      <c r="Q3">
        <v>0</v>
      </c>
      <c r="S3">
        <v>0</v>
      </c>
      <c r="T3">
        <v>0</v>
      </c>
      <c r="U3">
        <v>0</v>
      </c>
      <c r="W3" t="s">
        <v>52</v>
      </c>
    </row>
    <row r="4" spans="1:45" x14ac:dyDescent="0.35">
      <c r="A4" t="s">
        <v>45</v>
      </c>
      <c r="B4" t="s">
        <v>46</v>
      </c>
      <c r="C4" t="s">
        <v>47</v>
      </c>
      <c r="D4" t="s">
        <v>55</v>
      </c>
      <c r="E4" t="s">
        <v>55</v>
      </c>
      <c r="F4" t="s">
        <v>49</v>
      </c>
      <c r="G4" t="s">
        <v>56</v>
      </c>
      <c r="H4" t="s">
        <v>57</v>
      </c>
      <c r="J4" t="str">
        <f>HYPERLINK("https://www.facebook.com/357267201017935/inbox/7223366617741258/","https://www.facebook.com/357267201017935/inbox/7223366617741258/")</f>
        <v>https://www.facebook.com/357267201017935/inbox/7223366617741258/</v>
      </c>
      <c r="O4">
        <v>0</v>
      </c>
      <c r="P4">
        <v>0</v>
      </c>
      <c r="Q4">
        <v>0</v>
      </c>
      <c r="S4">
        <v>0</v>
      </c>
      <c r="T4">
        <v>0</v>
      </c>
      <c r="U4">
        <v>0</v>
      </c>
      <c r="W4" t="s">
        <v>52</v>
      </c>
    </row>
    <row r="5" spans="1:45" x14ac:dyDescent="0.35">
      <c r="A5" t="s">
        <v>45</v>
      </c>
      <c r="B5" t="s">
        <v>46</v>
      </c>
      <c r="C5" t="s">
        <v>58</v>
      </c>
      <c r="D5" t="s">
        <v>59</v>
      </c>
      <c r="E5" t="s">
        <v>59</v>
      </c>
      <c r="F5" t="s">
        <v>49</v>
      </c>
      <c r="G5" t="s">
        <v>60</v>
      </c>
      <c r="H5" t="s">
        <v>61</v>
      </c>
      <c r="J5" t="str">
        <f>HYPERLINK("https://www.youtube.com/watch?v=VHL4pXNkX8k&amp;lc=Ugwnr_ZjiUKC_iESjHF4AaABAg","https://www.youtube.com/watch?v=VHL4pXNkX8k&amp;lc=Ugwnr_ZjiUKC_iESjHF4AaABAg")</f>
        <v>https://www.youtube.com/watch?v=VHL4pXNkX8k&amp;lc=Ugwnr_ZjiUKC_iESjHF4AaABAg</v>
      </c>
      <c r="O5">
        <v>0</v>
      </c>
      <c r="P5">
        <v>0</v>
      </c>
      <c r="Q5">
        <v>0</v>
      </c>
      <c r="S5">
        <v>0</v>
      </c>
      <c r="T5">
        <v>0</v>
      </c>
      <c r="U5">
        <v>0</v>
      </c>
      <c r="W5" t="s">
        <v>62</v>
      </c>
    </row>
    <row r="6" spans="1:45" x14ac:dyDescent="0.35">
      <c r="A6" t="s">
        <v>45</v>
      </c>
      <c r="B6" t="s">
        <v>46</v>
      </c>
      <c r="C6" t="s">
        <v>63</v>
      </c>
      <c r="D6" t="s">
        <v>64</v>
      </c>
      <c r="E6" t="s">
        <v>64</v>
      </c>
      <c r="F6" t="s">
        <v>49</v>
      </c>
      <c r="G6" t="s">
        <v>65</v>
      </c>
      <c r="H6" t="s">
        <v>66</v>
      </c>
      <c r="J6" t="str">
        <f>HYPERLINK("https://www.instagram.com/reel/C5BPxOoI0c3/","https://www.instagram.com/reel/C5BPxOoI0c3/")</f>
        <v>https://www.instagram.com/reel/C5BPxOoI0c3/</v>
      </c>
      <c r="O6">
        <v>0</v>
      </c>
      <c r="P6">
        <v>0</v>
      </c>
      <c r="Q6">
        <v>0</v>
      </c>
      <c r="S6">
        <v>0</v>
      </c>
      <c r="T6">
        <v>0</v>
      </c>
      <c r="U6">
        <v>0</v>
      </c>
      <c r="W6" t="s">
        <v>62</v>
      </c>
      <c r="AO6" t="s">
        <v>67</v>
      </c>
    </row>
    <row r="7" spans="1:45" x14ac:dyDescent="0.35">
      <c r="A7" t="s">
        <v>45</v>
      </c>
      <c r="B7" t="s">
        <v>46</v>
      </c>
      <c r="C7" t="s">
        <v>47</v>
      </c>
      <c r="D7" t="s">
        <v>68</v>
      </c>
      <c r="E7" t="s">
        <v>68</v>
      </c>
      <c r="F7" t="s">
        <v>49</v>
      </c>
      <c r="G7" t="s">
        <v>69</v>
      </c>
      <c r="H7" t="s">
        <v>70</v>
      </c>
      <c r="J7" t="str">
        <f>HYPERLINK("https://www.facebook.com/357267201017935/inbox/7223314307746489/","https://www.facebook.com/357267201017935/inbox/7223314307746489/")</f>
        <v>https://www.facebook.com/357267201017935/inbox/7223314307746489/</v>
      </c>
      <c r="O7">
        <v>0</v>
      </c>
      <c r="P7">
        <v>0</v>
      </c>
      <c r="Q7">
        <v>0</v>
      </c>
      <c r="S7">
        <v>0</v>
      </c>
      <c r="T7">
        <v>0</v>
      </c>
      <c r="U7">
        <v>0</v>
      </c>
      <c r="W7" t="s">
        <v>52</v>
      </c>
    </row>
    <row r="8" spans="1:45" x14ac:dyDescent="0.35">
      <c r="A8" t="s">
        <v>45</v>
      </c>
      <c r="B8" t="s">
        <v>46</v>
      </c>
      <c r="C8" t="s">
        <v>47</v>
      </c>
      <c r="D8" t="s">
        <v>68</v>
      </c>
      <c r="E8" t="s">
        <v>68</v>
      </c>
      <c r="F8" t="s">
        <v>49</v>
      </c>
      <c r="G8" t="s">
        <v>71</v>
      </c>
      <c r="H8" t="s">
        <v>72</v>
      </c>
      <c r="J8" t="str">
        <f>HYPERLINK("https://www.facebook.com/357267201017935/inbox/7223314307746489/","https://www.facebook.com/357267201017935/inbox/7223314307746489/")</f>
        <v>https://www.facebook.com/357267201017935/inbox/7223314307746489/</v>
      </c>
      <c r="O8">
        <v>0</v>
      </c>
      <c r="P8">
        <v>0</v>
      </c>
      <c r="Q8">
        <v>0</v>
      </c>
      <c r="S8">
        <v>0</v>
      </c>
      <c r="T8">
        <v>0</v>
      </c>
      <c r="U8">
        <v>0</v>
      </c>
      <c r="W8" t="s">
        <v>52</v>
      </c>
    </row>
    <row r="9" spans="1:45" x14ac:dyDescent="0.35">
      <c r="A9" t="s">
        <v>45</v>
      </c>
      <c r="B9" t="s">
        <v>46</v>
      </c>
      <c r="C9" t="s">
        <v>47</v>
      </c>
      <c r="D9" t="s">
        <v>68</v>
      </c>
      <c r="E9" t="s">
        <v>68</v>
      </c>
      <c r="F9" t="s">
        <v>49</v>
      </c>
      <c r="G9" t="s">
        <v>73</v>
      </c>
      <c r="H9" t="s">
        <v>74</v>
      </c>
      <c r="J9" t="str">
        <f>HYPERLINK("https://www.facebook.com/357267201017935/inbox/7223314307746489/","https://www.facebook.com/357267201017935/inbox/7223314307746489/")</f>
        <v>https://www.facebook.com/357267201017935/inbox/7223314307746489/</v>
      </c>
      <c r="O9">
        <v>0</v>
      </c>
      <c r="P9">
        <v>0</v>
      </c>
      <c r="Q9">
        <v>0</v>
      </c>
      <c r="S9">
        <v>0</v>
      </c>
      <c r="T9">
        <v>0</v>
      </c>
      <c r="U9">
        <v>0</v>
      </c>
      <c r="W9" t="s">
        <v>52</v>
      </c>
    </row>
    <row r="10" spans="1:45" x14ac:dyDescent="0.35">
      <c r="A10" t="s">
        <v>45</v>
      </c>
      <c r="B10" t="s">
        <v>46</v>
      </c>
      <c r="C10" t="s">
        <v>63</v>
      </c>
      <c r="D10" t="s">
        <v>75</v>
      </c>
      <c r="E10" t="s">
        <v>75</v>
      </c>
      <c r="F10" t="s">
        <v>76</v>
      </c>
      <c r="G10" t="s">
        <v>77</v>
      </c>
      <c r="H10" t="s">
        <v>78</v>
      </c>
      <c r="J10" t="str">
        <f>HYPERLINK("https://www.instagram.com/p/C3VES0FgrdQ/","https://www.instagram.com/p/C3VES0FgrdQ/")</f>
        <v>https://www.instagram.com/p/C3VES0FgrdQ/</v>
      </c>
      <c r="O10">
        <v>0</v>
      </c>
      <c r="P10">
        <v>0</v>
      </c>
      <c r="Q10">
        <v>0</v>
      </c>
      <c r="S10">
        <v>0</v>
      </c>
      <c r="T10">
        <v>0</v>
      </c>
      <c r="U10">
        <v>0</v>
      </c>
      <c r="W10" t="s">
        <v>62</v>
      </c>
    </row>
    <row r="11" spans="1:45" x14ac:dyDescent="0.35">
      <c r="A11" t="s">
        <v>45</v>
      </c>
      <c r="B11" t="s">
        <v>46</v>
      </c>
      <c r="C11" t="s">
        <v>63</v>
      </c>
      <c r="D11" t="s">
        <v>79</v>
      </c>
      <c r="E11" t="s">
        <v>79</v>
      </c>
      <c r="F11" t="s">
        <v>49</v>
      </c>
      <c r="G11" t="s">
        <v>80</v>
      </c>
      <c r="H11" t="s">
        <v>81</v>
      </c>
      <c r="J11" t="str">
        <f>HYPERLINK("https://www.instagram.com/reel/C4zMGLgL19h/","https://www.instagram.com/reel/C4zMGLgL19h/")</f>
        <v>https://www.instagram.com/reel/C4zMGLgL19h/</v>
      </c>
      <c r="O11">
        <v>0</v>
      </c>
      <c r="P11">
        <v>0</v>
      </c>
      <c r="Q11">
        <v>0</v>
      </c>
      <c r="S11">
        <v>0</v>
      </c>
      <c r="T11">
        <v>0</v>
      </c>
      <c r="U11">
        <v>0</v>
      </c>
      <c r="W11" t="s">
        <v>62</v>
      </c>
    </row>
    <row r="12" spans="1:45" x14ac:dyDescent="0.35">
      <c r="A12" t="s">
        <v>45</v>
      </c>
      <c r="B12" t="s">
        <v>46</v>
      </c>
      <c r="C12" t="s">
        <v>63</v>
      </c>
      <c r="D12" t="s">
        <v>82</v>
      </c>
      <c r="E12" t="s">
        <v>82</v>
      </c>
      <c r="F12" t="s">
        <v>49</v>
      </c>
      <c r="G12" t="s">
        <v>83</v>
      </c>
      <c r="H12" t="s">
        <v>84</v>
      </c>
      <c r="J12" t="str">
        <f>HYPERLINK("https://www.instagram.com/p/C4ucfvtgGcP/","https://www.instagram.com/p/C4ucfvtgGcP/")</f>
        <v>https://www.instagram.com/p/C4ucfvtgGcP/</v>
      </c>
      <c r="O12">
        <v>0</v>
      </c>
      <c r="P12">
        <v>0</v>
      </c>
      <c r="Q12">
        <v>0</v>
      </c>
      <c r="S12">
        <v>0</v>
      </c>
      <c r="T12">
        <v>0</v>
      </c>
      <c r="U12">
        <v>0</v>
      </c>
      <c r="W12" t="s">
        <v>62</v>
      </c>
    </row>
    <row r="13" spans="1:45" x14ac:dyDescent="0.35">
      <c r="A13" t="s">
        <v>45</v>
      </c>
      <c r="B13" t="s">
        <v>46</v>
      </c>
      <c r="C13" t="s">
        <v>63</v>
      </c>
      <c r="D13" t="s">
        <v>85</v>
      </c>
      <c r="E13" t="s">
        <v>85</v>
      </c>
      <c r="F13" t="s">
        <v>49</v>
      </c>
      <c r="G13" t="s">
        <v>86</v>
      </c>
      <c r="H13" t="s">
        <v>87</v>
      </c>
      <c r="J13" t="str">
        <f>HYPERLINK("https://www.instagram.com/p/C4ucfvtgGcP/","https://www.instagram.com/p/C4ucfvtgGcP/")</f>
        <v>https://www.instagram.com/p/C4ucfvtgGcP/</v>
      </c>
      <c r="O13">
        <v>0</v>
      </c>
      <c r="P13">
        <v>0</v>
      </c>
      <c r="Q13">
        <v>0</v>
      </c>
      <c r="S13">
        <v>0</v>
      </c>
      <c r="T13">
        <v>0</v>
      </c>
      <c r="U13">
        <v>0</v>
      </c>
      <c r="W13" t="s">
        <v>62</v>
      </c>
    </row>
    <row r="14" spans="1:45" x14ac:dyDescent="0.35">
      <c r="A14" t="s">
        <v>45</v>
      </c>
      <c r="B14" t="s">
        <v>46</v>
      </c>
      <c r="C14" t="s">
        <v>63</v>
      </c>
      <c r="D14" t="s">
        <v>88</v>
      </c>
      <c r="E14" t="s">
        <v>88</v>
      </c>
      <c r="F14" t="s">
        <v>49</v>
      </c>
      <c r="G14" t="s">
        <v>89</v>
      </c>
      <c r="H14" t="s">
        <v>90</v>
      </c>
      <c r="J14" t="str">
        <f>HYPERLINK("https://www.instagram.com/p/C4ucfvtgGcP/","https://www.instagram.com/p/C4ucfvtgGcP/")</f>
        <v>https://www.instagram.com/p/C4ucfvtgGcP/</v>
      </c>
      <c r="O14">
        <v>0</v>
      </c>
      <c r="P14">
        <v>0</v>
      </c>
      <c r="Q14">
        <v>0</v>
      </c>
      <c r="S14">
        <v>0</v>
      </c>
      <c r="T14">
        <v>0</v>
      </c>
      <c r="U14">
        <v>0</v>
      </c>
      <c r="W14" t="s">
        <v>62</v>
      </c>
    </row>
    <row r="15" spans="1:45" x14ac:dyDescent="0.35">
      <c r="A15" t="s">
        <v>45</v>
      </c>
      <c r="B15" t="s">
        <v>46</v>
      </c>
      <c r="C15" t="s">
        <v>47</v>
      </c>
      <c r="D15" t="s">
        <v>91</v>
      </c>
      <c r="E15" t="s">
        <v>91</v>
      </c>
      <c r="F15" t="s">
        <v>49</v>
      </c>
      <c r="G15" t="s">
        <v>92</v>
      </c>
      <c r="H15" t="s">
        <v>93</v>
      </c>
      <c r="J15" t="str">
        <f>HYPERLINK("https://www.facebook.com/454965103328545/posts/791649272993458?comment_id=372854109064931","https://www.facebook.com/454965103328545/posts/791649272993458?comment_id=372854109064931")</f>
        <v>https://www.facebook.com/454965103328545/posts/791649272993458?comment_id=372854109064931</v>
      </c>
      <c r="O15">
        <v>0</v>
      </c>
      <c r="P15">
        <v>0</v>
      </c>
      <c r="Q15">
        <v>0</v>
      </c>
      <c r="S15">
        <v>0</v>
      </c>
      <c r="T15">
        <v>0</v>
      </c>
      <c r="U15">
        <v>0</v>
      </c>
      <c r="W15" t="s">
        <v>62</v>
      </c>
      <c r="AO15" t="s">
        <v>67</v>
      </c>
      <c r="AP15" t="s">
        <v>94</v>
      </c>
    </row>
    <row r="16" spans="1:45" x14ac:dyDescent="0.35">
      <c r="A16" t="s">
        <v>45</v>
      </c>
      <c r="B16" t="s">
        <v>46</v>
      </c>
      <c r="C16" t="s">
        <v>47</v>
      </c>
      <c r="D16" t="s">
        <v>95</v>
      </c>
      <c r="E16" t="s">
        <v>95</v>
      </c>
      <c r="F16" t="s">
        <v>49</v>
      </c>
      <c r="G16" t="s">
        <v>96</v>
      </c>
      <c r="H16" t="s">
        <v>97</v>
      </c>
      <c r="J16" t="str">
        <f>HYPERLINK("https://www.facebook.com/454965103328545/posts/795259719299080?comment_id=299633889658912","https://www.facebook.com/454965103328545/posts/795259719299080?comment_id=299633889658912")</f>
        <v>https://www.facebook.com/454965103328545/posts/795259719299080?comment_id=299633889658912</v>
      </c>
      <c r="O16">
        <v>0</v>
      </c>
      <c r="P16">
        <v>0</v>
      </c>
      <c r="Q16">
        <v>0</v>
      </c>
      <c r="S16">
        <v>0</v>
      </c>
      <c r="T16">
        <v>0</v>
      </c>
      <c r="U16">
        <v>0</v>
      </c>
      <c r="W16" t="s">
        <v>62</v>
      </c>
    </row>
    <row r="17" spans="1:45" x14ac:dyDescent="0.35">
      <c r="A17" t="s">
        <v>45</v>
      </c>
      <c r="B17" t="s">
        <v>46</v>
      </c>
      <c r="C17" t="s">
        <v>47</v>
      </c>
      <c r="D17" t="s">
        <v>98</v>
      </c>
      <c r="E17" t="s">
        <v>98</v>
      </c>
      <c r="F17" t="s">
        <v>49</v>
      </c>
      <c r="G17" t="s">
        <v>99</v>
      </c>
      <c r="H17" t="s">
        <v>100</v>
      </c>
      <c r="J17" t="str">
        <f>HYPERLINK("https://www.facebook.com/454965103328545/posts/788107050014347?comment_id=308357412029917","https://www.facebook.com/454965103328545/posts/788107050014347?comment_id=308357412029917")</f>
        <v>https://www.facebook.com/454965103328545/posts/788107050014347?comment_id=308357412029917</v>
      </c>
      <c r="O17">
        <v>0</v>
      </c>
      <c r="P17">
        <v>0</v>
      </c>
      <c r="Q17">
        <v>0</v>
      </c>
      <c r="S17">
        <v>0</v>
      </c>
      <c r="T17">
        <v>0</v>
      </c>
      <c r="U17">
        <v>0</v>
      </c>
      <c r="W17" t="s">
        <v>62</v>
      </c>
      <c r="AP17" t="s">
        <v>101</v>
      </c>
    </row>
    <row r="18" spans="1:45" x14ac:dyDescent="0.35">
      <c r="A18" t="s">
        <v>45</v>
      </c>
      <c r="B18" t="s">
        <v>46</v>
      </c>
      <c r="C18" t="s">
        <v>102</v>
      </c>
      <c r="D18" t="s">
        <v>103</v>
      </c>
      <c r="E18" t="s">
        <v>103</v>
      </c>
      <c r="F18" t="s">
        <v>49</v>
      </c>
      <c r="G18" t="s">
        <v>104</v>
      </c>
      <c r="H18" t="s">
        <v>105</v>
      </c>
      <c r="J18" t="str">
        <f>HYPERLINK("https://www.linkedin.com/feed/update/urn:li:activity:7180188309200027649","https://www.linkedin.com/feed/update/urn:li:activity:7180188309200027649")</f>
        <v>https://www.linkedin.com/feed/update/urn:li:activity:7180188309200027649</v>
      </c>
      <c r="O18">
        <v>0</v>
      </c>
      <c r="P18">
        <v>0</v>
      </c>
      <c r="Q18">
        <v>0</v>
      </c>
      <c r="S18">
        <v>0</v>
      </c>
      <c r="T18">
        <v>0</v>
      </c>
      <c r="U18">
        <v>0</v>
      </c>
      <c r="W18" t="s">
        <v>106</v>
      </c>
    </row>
    <row r="19" spans="1:45" x14ac:dyDescent="0.35">
      <c r="A19" t="s">
        <v>45</v>
      </c>
      <c r="B19" t="s">
        <v>46</v>
      </c>
      <c r="C19" t="s">
        <v>63</v>
      </c>
      <c r="D19" t="s">
        <v>107</v>
      </c>
      <c r="E19" t="s">
        <v>107</v>
      </c>
      <c r="F19" t="s">
        <v>49</v>
      </c>
      <c r="G19" t="s">
        <v>108</v>
      </c>
      <c r="H19" t="s">
        <v>109</v>
      </c>
      <c r="J19" t="str">
        <f>HYPERLINK("https://www.instagram.com/reel/C5BPxOoI0c3/","https://www.instagram.com/reel/C5BPxOoI0c3/")</f>
        <v>https://www.instagram.com/reel/C5BPxOoI0c3/</v>
      </c>
      <c r="O19">
        <v>0</v>
      </c>
      <c r="P19">
        <v>0</v>
      </c>
      <c r="Q19">
        <v>0</v>
      </c>
      <c r="S19">
        <v>0</v>
      </c>
      <c r="T19">
        <v>0</v>
      </c>
      <c r="U19">
        <v>0</v>
      </c>
      <c r="W19" t="s">
        <v>62</v>
      </c>
    </row>
    <row r="20" spans="1:45" x14ac:dyDescent="0.35">
      <c r="A20" t="s">
        <v>45</v>
      </c>
      <c r="B20" t="s">
        <v>46</v>
      </c>
      <c r="C20" t="s">
        <v>63</v>
      </c>
      <c r="D20" t="s">
        <v>110</v>
      </c>
      <c r="E20" t="s">
        <v>110</v>
      </c>
      <c r="F20" t="s">
        <v>49</v>
      </c>
      <c r="G20" t="s">
        <v>111</v>
      </c>
      <c r="H20" t="s">
        <v>112</v>
      </c>
      <c r="J20" t="str">
        <f>HYPERLINK("https://www.instagram.com/p/C4ucfvtgGcP/","https://www.instagram.com/p/C4ucfvtgGcP/")</f>
        <v>https://www.instagram.com/p/C4ucfvtgGcP/</v>
      </c>
      <c r="O20">
        <v>0</v>
      </c>
      <c r="P20">
        <v>0</v>
      </c>
      <c r="Q20">
        <v>0</v>
      </c>
      <c r="S20">
        <v>0</v>
      </c>
      <c r="T20">
        <v>0</v>
      </c>
      <c r="U20">
        <v>0</v>
      </c>
      <c r="W20" t="s">
        <v>62</v>
      </c>
    </row>
    <row r="21" spans="1:45" x14ac:dyDescent="0.35">
      <c r="A21" t="s">
        <v>45</v>
      </c>
      <c r="B21" t="s">
        <v>46</v>
      </c>
      <c r="C21" t="s">
        <v>47</v>
      </c>
      <c r="D21" t="s">
        <v>45</v>
      </c>
      <c r="E21" t="s">
        <v>45</v>
      </c>
      <c r="F21" t="s">
        <v>49</v>
      </c>
      <c r="G21" t="s">
        <v>113</v>
      </c>
      <c r="H21" t="s">
        <v>114</v>
      </c>
      <c r="J21" t="str">
        <f>HYPERLINK("https://www.facebook.com/357267201017935_798375905654128","https://www.facebook.com/357267201017935_798375905654128")</f>
        <v>https://www.facebook.com/357267201017935_798375905654128</v>
      </c>
      <c r="O21">
        <v>0</v>
      </c>
      <c r="P21">
        <v>0</v>
      </c>
      <c r="Q21">
        <v>0</v>
      </c>
      <c r="S21">
        <v>0</v>
      </c>
      <c r="T21">
        <v>0</v>
      </c>
      <c r="U21">
        <v>0</v>
      </c>
      <c r="W21" t="s">
        <v>106</v>
      </c>
      <c r="AS21" t="s">
        <v>115</v>
      </c>
    </row>
    <row r="22" spans="1:45" x14ac:dyDescent="0.35">
      <c r="A22" t="s">
        <v>45</v>
      </c>
      <c r="B22" t="s">
        <v>46</v>
      </c>
      <c r="C22" t="s">
        <v>102</v>
      </c>
      <c r="D22" t="s">
        <v>116</v>
      </c>
      <c r="E22" t="s">
        <v>116</v>
      </c>
      <c r="F22" t="s">
        <v>76</v>
      </c>
      <c r="G22" t="s">
        <v>117</v>
      </c>
      <c r="H22" t="s">
        <v>118</v>
      </c>
      <c r="J22" t="str">
        <f>HYPERLINK("https://www.linkedin.com/feed/update/urn:li:activity:7180158259406802944","https://www.linkedin.com/feed/update/urn:li:activity:7180158259406802944")</f>
        <v>https://www.linkedin.com/feed/update/urn:li:activity:7180158259406802944</v>
      </c>
      <c r="O22">
        <v>0</v>
      </c>
      <c r="P22">
        <v>0</v>
      </c>
      <c r="Q22">
        <v>0</v>
      </c>
      <c r="S22">
        <v>0</v>
      </c>
      <c r="T22">
        <v>0</v>
      </c>
      <c r="U22">
        <v>0</v>
      </c>
      <c r="W22" t="s">
        <v>106</v>
      </c>
      <c r="AO22" t="s">
        <v>119</v>
      </c>
    </row>
    <row r="23" spans="1:45" x14ac:dyDescent="0.35">
      <c r="A23" t="s">
        <v>45</v>
      </c>
      <c r="B23" t="s">
        <v>46</v>
      </c>
      <c r="C23" t="s">
        <v>47</v>
      </c>
      <c r="D23" t="s">
        <v>120</v>
      </c>
      <c r="E23" t="s">
        <v>120</v>
      </c>
      <c r="F23" t="s">
        <v>49</v>
      </c>
      <c r="G23" t="s">
        <v>121</v>
      </c>
      <c r="H23" t="s">
        <v>122</v>
      </c>
      <c r="J23" t="str">
        <f>HYPERLINK("https://www.facebook.com/357267201017935/inbox/2180804871997483/","https://www.facebook.com/357267201017935/inbox/2180804871997483/")</f>
        <v>https://www.facebook.com/357267201017935/inbox/2180804871997483/</v>
      </c>
      <c r="O23">
        <v>0</v>
      </c>
      <c r="P23">
        <v>0</v>
      </c>
      <c r="Q23">
        <v>0</v>
      </c>
      <c r="S23">
        <v>0</v>
      </c>
      <c r="T23">
        <v>0</v>
      </c>
      <c r="U23">
        <v>0</v>
      </c>
      <c r="W23" t="s">
        <v>52</v>
      </c>
    </row>
    <row r="24" spans="1:45" x14ac:dyDescent="0.35">
      <c r="A24" t="s">
        <v>45</v>
      </c>
      <c r="B24" t="s">
        <v>46</v>
      </c>
      <c r="C24" t="s">
        <v>47</v>
      </c>
      <c r="D24" t="s">
        <v>120</v>
      </c>
      <c r="E24" t="s">
        <v>120</v>
      </c>
      <c r="F24" t="s">
        <v>49</v>
      </c>
      <c r="G24" t="s">
        <v>123</v>
      </c>
      <c r="H24" t="s">
        <v>124</v>
      </c>
      <c r="J24" t="str">
        <f>HYPERLINK("https://www.facebook.com/357267201017935/inbox/2180804871997483/","https://www.facebook.com/357267201017935/inbox/2180804871997483/")</f>
        <v>https://www.facebook.com/357267201017935/inbox/2180804871997483/</v>
      </c>
      <c r="O24">
        <v>0</v>
      </c>
      <c r="P24">
        <v>0</v>
      </c>
      <c r="Q24">
        <v>0</v>
      </c>
      <c r="S24">
        <v>0</v>
      </c>
      <c r="T24">
        <v>0</v>
      </c>
      <c r="U24">
        <v>0</v>
      </c>
      <c r="W24" t="s">
        <v>52</v>
      </c>
    </row>
    <row r="25" spans="1:45" x14ac:dyDescent="0.35">
      <c r="A25" t="s">
        <v>45</v>
      </c>
      <c r="B25" t="s">
        <v>46</v>
      </c>
      <c r="C25" t="s">
        <v>47</v>
      </c>
      <c r="D25" t="s">
        <v>120</v>
      </c>
      <c r="E25" t="s">
        <v>120</v>
      </c>
      <c r="F25" t="s">
        <v>49</v>
      </c>
      <c r="G25" t="s">
        <v>125</v>
      </c>
      <c r="H25" t="s">
        <v>126</v>
      </c>
      <c r="J25" t="str">
        <f>HYPERLINK("https://www.facebook.com/357267201017935/inbox/2180804871997483/","https://www.facebook.com/357267201017935/inbox/2180804871997483/")</f>
        <v>https://www.facebook.com/357267201017935/inbox/2180804871997483/</v>
      </c>
      <c r="O25">
        <v>0</v>
      </c>
      <c r="P25">
        <v>0</v>
      </c>
      <c r="Q25">
        <v>0</v>
      </c>
      <c r="S25">
        <v>0</v>
      </c>
      <c r="T25">
        <v>0</v>
      </c>
      <c r="U25">
        <v>0</v>
      </c>
      <c r="W25" t="s">
        <v>52</v>
      </c>
    </row>
    <row r="26" spans="1:45" x14ac:dyDescent="0.35">
      <c r="A26" t="s">
        <v>45</v>
      </c>
      <c r="B26" t="s">
        <v>46</v>
      </c>
      <c r="C26" t="s">
        <v>47</v>
      </c>
      <c r="D26" t="s">
        <v>127</v>
      </c>
      <c r="E26" t="s">
        <v>127</v>
      </c>
      <c r="F26" t="s">
        <v>49</v>
      </c>
      <c r="G26" t="s">
        <v>128</v>
      </c>
      <c r="H26" t="s">
        <v>129</v>
      </c>
      <c r="J26" t="str">
        <f>HYPERLINK("https://www.facebook.com/454965103328545/videos/1792369101228633?comment_id=738624658081227","https://www.facebook.com/454965103328545/videos/1792369101228633?comment_id=738624658081227")</f>
        <v>https://www.facebook.com/454965103328545/videos/1792369101228633?comment_id=738624658081227</v>
      </c>
      <c r="O26">
        <v>0</v>
      </c>
      <c r="P26">
        <v>0</v>
      </c>
      <c r="Q26">
        <v>0</v>
      </c>
      <c r="S26">
        <v>0</v>
      </c>
      <c r="T26">
        <v>0</v>
      </c>
      <c r="U26">
        <v>0</v>
      </c>
      <c r="W26" t="s">
        <v>62</v>
      </c>
    </row>
    <row r="27" spans="1:45" x14ac:dyDescent="0.35">
      <c r="A27" t="s">
        <v>45</v>
      </c>
      <c r="B27" t="s">
        <v>46</v>
      </c>
      <c r="C27" t="s">
        <v>47</v>
      </c>
      <c r="D27" t="s">
        <v>130</v>
      </c>
      <c r="E27" t="s">
        <v>130</v>
      </c>
      <c r="F27" t="s">
        <v>49</v>
      </c>
      <c r="G27" t="s">
        <v>131</v>
      </c>
      <c r="H27" t="s">
        <v>132</v>
      </c>
      <c r="J27" t="str">
        <f>HYPERLINK("https://www.facebook.com/454965103328545/posts/771906841634368?comment_id=950392833103247","https://www.facebook.com/454965103328545/posts/771906841634368?comment_id=950392833103247")</f>
        <v>https://www.facebook.com/454965103328545/posts/771906841634368?comment_id=950392833103247</v>
      </c>
      <c r="O27">
        <v>0</v>
      </c>
      <c r="P27">
        <v>0</v>
      </c>
      <c r="Q27">
        <v>0</v>
      </c>
      <c r="S27">
        <v>0</v>
      </c>
      <c r="T27">
        <v>0</v>
      </c>
      <c r="U27">
        <v>0</v>
      </c>
      <c r="W27" t="s">
        <v>62</v>
      </c>
    </row>
    <row r="28" spans="1:45" x14ac:dyDescent="0.35">
      <c r="A28" t="s">
        <v>45</v>
      </c>
      <c r="B28" t="s">
        <v>46</v>
      </c>
      <c r="C28" t="s">
        <v>47</v>
      </c>
      <c r="D28" t="s">
        <v>133</v>
      </c>
      <c r="E28" t="s">
        <v>133</v>
      </c>
      <c r="F28" t="s">
        <v>49</v>
      </c>
      <c r="G28" t="s">
        <v>134</v>
      </c>
      <c r="H28" t="s">
        <v>135</v>
      </c>
      <c r="J28" t="str">
        <f>HYPERLINK("https://www.facebook.com/357267201017935/inbox/7178829288861658/","https://www.facebook.com/357267201017935/inbox/7178829288861658/")</f>
        <v>https://www.facebook.com/357267201017935/inbox/7178829288861658/</v>
      </c>
      <c r="O28">
        <v>0</v>
      </c>
      <c r="P28">
        <v>0</v>
      </c>
      <c r="Q28">
        <v>0</v>
      </c>
      <c r="S28">
        <v>0</v>
      </c>
      <c r="T28">
        <v>0</v>
      </c>
      <c r="U28">
        <v>0</v>
      </c>
      <c r="W28" t="s">
        <v>52</v>
      </c>
    </row>
    <row r="29" spans="1:45" x14ac:dyDescent="0.35">
      <c r="A29" t="s">
        <v>45</v>
      </c>
      <c r="B29" t="s">
        <v>46</v>
      </c>
      <c r="C29" t="s">
        <v>102</v>
      </c>
      <c r="D29" t="s">
        <v>136</v>
      </c>
      <c r="E29" t="s">
        <v>136</v>
      </c>
      <c r="F29" t="s">
        <v>49</v>
      </c>
      <c r="G29" t="s">
        <v>137</v>
      </c>
      <c r="H29" t="s">
        <v>138</v>
      </c>
      <c r="J29" t="str">
        <f>HYPERLINK("https://www.linkedin.com/feed/update/urn:li:activity:7180028733230092289/?commentUrn=urn:li:comment:(urn:li:activity:7180028733230092289,7180093577379651584)","https://www.linkedin.com/feed/update/urn:li:activity:7180028733230092289/?commentUrn=urn:li:comment:(urn:li:activity:7180028733230092289,7180093577379651584)")</f>
        <v>https://www.linkedin.com/feed/update/urn:li:activity:7180028733230092289/?commentUrn=urn:li:comment:(urn:li:activity:7180028733230092289,7180093577379651584)</v>
      </c>
      <c r="O29">
        <v>0</v>
      </c>
      <c r="P29">
        <v>0</v>
      </c>
      <c r="Q29">
        <v>0</v>
      </c>
      <c r="S29">
        <v>0</v>
      </c>
      <c r="T29">
        <v>0</v>
      </c>
      <c r="U29">
        <v>0</v>
      </c>
      <c r="W29" t="s">
        <v>62</v>
      </c>
      <c r="AO29" t="s">
        <v>119</v>
      </c>
    </row>
    <row r="30" spans="1:45" x14ac:dyDescent="0.35">
      <c r="A30" t="s">
        <v>45</v>
      </c>
      <c r="B30" t="s">
        <v>46</v>
      </c>
      <c r="C30" t="s">
        <v>139</v>
      </c>
      <c r="D30" t="s">
        <v>140</v>
      </c>
      <c r="E30" t="s">
        <v>141</v>
      </c>
      <c r="F30" t="s">
        <v>142</v>
      </c>
      <c r="G30" t="s">
        <v>143</v>
      </c>
      <c r="H30" t="s">
        <v>144</v>
      </c>
      <c r="J30" t="str">
        <f>HYPERLINK("https://twitter.com/LokeshSahu89225/status/1774327815263113721","https://twitter.com/LokeshSahu89225/status/1774327815263113721")</f>
        <v>https://twitter.com/LokeshSahu89225/status/1774327815263113721</v>
      </c>
      <c r="K30" t="s">
        <v>145</v>
      </c>
      <c r="O30">
        <v>0</v>
      </c>
      <c r="P30">
        <v>0</v>
      </c>
      <c r="Q30">
        <v>0</v>
      </c>
      <c r="S30">
        <v>0</v>
      </c>
      <c r="T30">
        <v>0</v>
      </c>
      <c r="U30">
        <v>0</v>
      </c>
      <c r="W30" t="s">
        <v>146</v>
      </c>
      <c r="AO30" t="s">
        <v>67</v>
      </c>
      <c r="AP30" t="s">
        <v>147</v>
      </c>
    </row>
    <row r="31" spans="1:45" x14ac:dyDescent="0.35">
      <c r="A31" t="s">
        <v>45</v>
      </c>
      <c r="B31" t="s">
        <v>46</v>
      </c>
      <c r="C31" t="s">
        <v>47</v>
      </c>
      <c r="D31" t="s">
        <v>148</v>
      </c>
      <c r="E31" t="s">
        <v>148</v>
      </c>
      <c r="F31" t="s">
        <v>49</v>
      </c>
      <c r="G31" t="s">
        <v>149</v>
      </c>
      <c r="H31" t="s">
        <v>150</v>
      </c>
      <c r="J31" t="str">
        <f>HYPERLINK("https://www.facebook.com/454965103328545/posts/795259719299080?comment_id=918117686519154","https://www.facebook.com/454965103328545/posts/795259719299080?comment_id=918117686519154")</f>
        <v>https://www.facebook.com/454965103328545/posts/795259719299080?comment_id=918117686519154</v>
      </c>
      <c r="O31">
        <v>0</v>
      </c>
      <c r="P31">
        <v>0</v>
      </c>
      <c r="Q31">
        <v>0</v>
      </c>
      <c r="S31">
        <v>0</v>
      </c>
      <c r="T31">
        <v>0</v>
      </c>
      <c r="U31">
        <v>0</v>
      </c>
      <c r="W31" t="s">
        <v>62</v>
      </c>
    </row>
    <row r="32" spans="1:45" x14ac:dyDescent="0.35">
      <c r="A32" t="s">
        <v>45</v>
      </c>
      <c r="B32" t="s">
        <v>46</v>
      </c>
      <c r="C32" t="s">
        <v>47</v>
      </c>
      <c r="D32" t="s">
        <v>151</v>
      </c>
      <c r="E32" t="s">
        <v>151</v>
      </c>
      <c r="F32" t="s">
        <v>49</v>
      </c>
      <c r="G32" t="s">
        <v>152</v>
      </c>
      <c r="H32" t="s">
        <v>153</v>
      </c>
      <c r="J32" t="str">
        <f>HYPERLINK("https://www.facebook.com/454965103328545/posts/795263512632034?comment_id=729458882671288&amp;reply_comment_id=295762456884482","https://www.facebook.com/454965103328545/posts/795263512632034?comment_id=729458882671288&amp;reply_comment_id=295762456884482")</f>
        <v>https://www.facebook.com/454965103328545/posts/795263512632034?comment_id=729458882671288&amp;reply_comment_id=295762456884482</v>
      </c>
      <c r="O32">
        <v>0</v>
      </c>
      <c r="P32">
        <v>0</v>
      </c>
      <c r="Q32">
        <v>0</v>
      </c>
      <c r="S32">
        <v>0</v>
      </c>
      <c r="T32">
        <v>0</v>
      </c>
      <c r="U32">
        <v>0</v>
      </c>
      <c r="W32" t="s">
        <v>62</v>
      </c>
    </row>
    <row r="33" spans="1:45" x14ac:dyDescent="0.35">
      <c r="A33" t="s">
        <v>45</v>
      </c>
      <c r="B33" t="s">
        <v>46</v>
      </c>
      <c r="C33" t="s">
        <v>63</v>
      </c>
      <c r="D33" t="s">
        <v>154</v>
      </c>
      <c r="E33" t="s">
        <v>154</v>
      </c>
      <c r="F33" t="s">
        <v>49</v>
      </c>
      <c r="G33" t="s">
        <v>155</v>
      </c>
      <c r="H33" t="s">
        <v>156</v>
      </c>
      <c r="J33" t="str">
        <f>HYPERLINK("https://www.instagram.com/reel/C5GLcqcq7A4/","https://www.instagram.com/reel/C5GLcqcq7A4/")</f>
        <v>https://www.instagram.com/reel/C5GLcqcq7A4/</v>
      </c>
      <c r="O33">
        <v>0</v>
      </c>
      <c r="P33">
        <v>0</v>
      </c>
      <c r="Q33">
        <v>0</v>
      </c>
      <c r="S33">
        <v>0</v>
      </c>
      <c r="T33">
        <v>0</v>
      </c>
      <c r="U33">
        <v>0</v>
      </c>
      <c r="W33" t="s">
        <v>62</v>
      </c>
    </row>
    <row r="34" spans="1:45" x14ac:dyDescent="0.35">
      <c r="A34" t="s">
        <v>45</v>
      </c>
      <c r="B34" t="s">
        <v>46</v>
      </c>
      <c r="C34" t="s">
        <v>63</v>
      </c>
      <c r="D34" t="s">
        <v>157</v>
      </c>
      <c r="E34" t="s">
        <v>157</v>
      </c>
      <c r="F34" t="s">
        <v>49</v>
      </c>
      <c r="G34" t="s">
        <v>158</v>
      </c>
      <c r="H34" t="s">
        <v>159</v>
      </c>
      <c r="J34" t="str">
        <f>HYPERLINK("https://www.instagram.com/p/C4ucfvtgGcP/","https://www.instagram.com/p/C4ucfvtgGcP/")</f>
        <v>https://www.instagram.com/p/C4ucfvtgGcP/</v>
      </c>
      <c r="O34">
        <v>0</v>
      </c>
      <c r="P34">
        <v>0</v>
      </c>
      <c r="Q34">
        <v>0</v>
      </c>
      <c r="S34">
        <v>0</v>
      </c>
      <c r="T34">
        <v>0</v>
      </c>
      <c r="U34">
        <v>0</v>
      </c>
      <c r="W34" t="s">
        <v>62</v>
      </c>
    </row>
    <row r="35" spans="1:45" x14ac:dyDescent="0.35">
      <c r="A35" t="s">
        <v>45</v>
      </c>
      <c r="B35" t="s">
        <v>46</v>
      </c>
      <c r="C35" t="s">
        <v>63</v>
      </c>
      <c r="D35" t="s">
        <v>160</v>
      </c>
      <c r="E35" t="s">
        <v>160</v>
      </c>
      <c r="F35" t="s">
        <v>49</v>
      </c>
      <c r="G35" t="s">
        <v>161</v>
      </c>
      <c r="H35" t="s">
        <v>162</v>
      </c>
      <c r="J35" t="str">
        <f>HYPERLINK("https://www.instagram.com/p/C2Rt24ZNQgs/","https://www.instagram.com/p/C2Rt24ZNQgs/")</f>
        <v>https://www.instagram.com/p/C2Rt24ZNQgs/</v>
      </c>
      <c r="O35">
        <v>0</v>
      </c>
      <c r="P35">
        <v>0</v>
      </c>
      <c r="Q35">
        <v>0</v>
      </c>
      <c r="S35">
        <v>0</v>
      </c>
      <c r="T35">
        <v>0</v>
      </c>
      <c r="U35">
        <v>0</v>
      </c>
      <c r="W35" t="s">
        <v>62</v>
      </c>
    </row>
    <row r="36" spans="1:45" x14ac:dyDescent="0.35">
      <c r="A36" t="s">
        <v>45</v>
      </c>
      <c r="B36" t="s">
        <v>46</v>
      </c>
      <c r="C36" t="s">
        <v>47</v>
      </c>
      <c r="D36" t="s">
        <v>163</v>
      </c>
      <c r="E36" t="s">
        <v>163</v>
      </c>
      <c r="F36" t="s">
        <v>49</v>
      </c>
      <c r="G36" t="s">
        <v>164</v>
      </c>
      <c r="H36" t="s">
        <v>165</v>
      </c>
      <c r="J36" t="str">
        <f>HYPERLINK("https://www.facebook.com/454965103328545/videos/1792369101228633?comment_id=1367728470612135","https://www.facebook.com/454965103328545/videos/1792369101228633?comment_id=1367728470612135")</f>
        <v>https://www.facebook.com/454965103328545/videos/1792369101228633?comment_id=1367728470612135</v>
      </c>
      <c r="O36">
        <v>0</v>
      </c>
      <c r="P36">
        <v>0</v>
      </c>
      <c r="Q36">
        <v>0</v>
      </c>
      <c r="S36">
        <v>0</v>
      </c>
      <c r="T36">
        <v>0</v>
      </c>
      <c r="U36">
        <v>0</v>
      </c>
      <c r="W36" t="s">
        <v>62</v>
      </c>
    </row>
    <row r="37" spans="1:45" x14ac:dyDescent="0.35">
      <c r="A37" t="s">
        <v>45</v>
      </c>
      <c r="B37" t="s">
        <v>46</v>
      </c>
      <c r="C37" t="s">
        <v>47</v>
      </c>
      <c r="D37" t="s">
        <v>163</v>
      </c>
      <c r="E37" t="s">
        <v>163</v>
      </c>
      <c r="F37" t="s">
        <v>49</v>
      </c>
      <c r="G37" t="s">
        <v>166</v>
      </c>
      <c r="H37" t="s">
        <v>167</v>
      </c>
      <c r="J37" t="str">
        <f>HYPERLINK("https://www.facebook.com/454965103328545/videos/1792369101228633?comment_id=891935336035611","https://www.facebook.com/454965103328545/videos/1792369101228633?comment_id=891935336035611")</f>
        <v>https://www.facebook.com/454965103328545/videos/1792369101228633?comment_id=891935336035611</v>
      </c>
      <c r="O37">
        <v>0</v>
      </c>
      <c r="P37">
        <v>0</v>
      </c>
      <c r="Q37">
        <v>0</v>
      </c>
      <c r="S37">
        <v>0</v>
      </c>
      <c r="T37">
        <v>0</v>
      </c>
      <c r="U37">
        <v>0</v>
      </c>
      <c r="W37" t="s">
        <v>62</v>
      </c>
    </row>
    <row r="38" spans="1:45" x14ac:dyDescent="0.35">
      <c r="A38" t="s">
        <v>45</v>
      </c>
      <c r="B38" t="s">
        <v>46</v>
      </c>
      <c r="C38" t="s">
        <v>47</v>
      </c>
      <c r="D38" t="s">
        <v>168</v>
      </c>
      <c r="E38" t="s">
        <v>168</v>
      </c>
      <c r="F38" t="s">
        <v>76</v>
      </c>
      <c r="G38" t="s">
        <v>169</v>
      </c>
      <c r="H38" t="s">
        <v>170</v>
      </c>
      <c r="J38" t="str">
        <f>HYPERLINK("https://www.facebook.com/454965103328545/posts/795975695894149?comment_id=757277636383166","https://www.facebook.com/454965103328545/posts/795975695894149?comment_id=757277636383166")</f>
        <v>https://www.facebook.com/454965103328545/posts/795975695894149?comment_id=757277636383166</v>
      </c>
      <c r="O38">
        <v>0</v>
      </c>
      <c r="P38">
        <v>0</v>
      </c>
      <c r="Q38">
        <v>0</v>
      </c>
      <c r="S38">
        <v>0</v>
      </c>
      <c r="T38">
        <v>0</v>
      </c>
      <c r="U38">
        <v>0</v>
      </c>
      <c r="W38" t="s">
        <v>62</v>
      </c>
    </row>
    <row r="39" spans="1:45" x14ac:dyDescent="0.35">
      <c r="A39" t="s">
        <v>45</v>
      </c>
      <c r="B39" t="s">
        <v>46</v>
      </c>
      <c r="C39" t="s">
        <v>139</v>
      </c>
      <c r="D39" t="s">
        <v>171</v>
      </c>
      <c r="E39" t="s">
        <v>172</v>
      </c>
      <c r="F39" t="s">
        <v>76</v>
      </c>
      <c r="G39" t="s">
        <v>173</v>
      </c>
      <c r="H39" t="s">
        <v>174</v>
      </c>
      <c r="J39" t="str">
        <f>HYPERLINK("https://twitter.com/RitikRitik76676/status/1774301089090965806","https://twitter.com/RitikRitik76676/status/1774301089090965806")</f>
        <v>https://twitter.com/RitikRitik76676/status/1774301089090965806</v>
      </c>
      <c r="K39" t="s">
        <v>145</v>
      </c>
      <c r="O39">
        <v>0</v>
      </c>
      <c r="P39">
        <v>0</v>
      </c>
      <c r="Q39">
        <v>1</v>
      </c>
      <c r="S39">
        <v>0</v>
      </c>
      <c r="T39">
        <v>0</v>
      </c>
      <c r="U39">
        <v>0</v>
      </c>
      <c r="W39" t="s">
        <v>146</v>
      </c>
    </row>
    <row r="40" spans="1:45" x14ac:dyDescent="0.35">
      <c r="A40" t="s">
        <v>45</v>
      </c>
      <c r="B40" t="s">
        <v>46</v>
      </c>
      <c r="C40" t="s">
        <v>47</v>
      </c>
      <c r="D40" t="s">
        <v>175</v>
      </c>
      <c r="E40" t="s">
        <v>175</v>
      </c>
      <c r="F40" t="s">
        <v>49</v>
      </c>
      <c r="G40" t="s">
        <v>176</v>
      </c>
      <c r="H40" t="s">
        <v>177</v>
      </c>
      <c r="J40" t="str">
        <f>HYPERLINK("https://www.facebook.com/454965103328545/posts/795259719299080?comment_id=1345179092829108","https://www.facebook.com/454965103328545/posts/795259719299080?comment_id=1345179092829108")</f>
        <v>https://www.facebook.com/454965103328545/posts/795259719299080?comment_id=1345179092829108</v>
      </c>
      <c r="O40">
        <v>0</v>
      </c>
      <c r="P40">
        <v>0</v>
      </c>
      <c r="Q40">
        <v>0</v>
      </c>
      <c r="S40">
        <v>0</v>
      </c>
      <c r="T40">
        <v>0</v>
      </c>
      <c r="U40">
        <v>0</v>
      </c>
      <c r="W40" t="s">
        <v>62</v>
      </c>
    </row>
    <row r="41" spans="1:45" x14ac:dyDescent="0.35">
      <c r="A41" t="s">
        <v>45</v>
      </c>
      <c r="B41" t="s">
        <v>46</v>
      </c>
      <c r="C41" t="s">
        <v>63</v>
      </c>
      <c r="D41" t="s">
        <v>154</v>
      </c>
      <c r="E41" t="s">
        <v>154</v>
      </c>
      <c r="F41" t="s">
        <v>49</v>
      </c>
      <c r="G41" t="s">
        <v>178</v>
      </c>
      <c r="H41" t="s">
        <v>179</v>
      </c>
      <c r="J41" t="str">
        <f>HYPERLINK("https://www.instagram.com/p/C5KXN7gK133/","https://www.instagram.com/p/C5KXN7gK133/")</f>
        <v>https://www.instagram.com/p/C5KXN7gK133/</v>
      </c>
      <c r="O41">
        <v>0</v>
      </c>
      <c r="P41">
        <v>0</v>
      </c>
      <c r="Q41">
        <v>0</v>
      </c>
      <c r="S41">
        <v>0</v>
      </c>
      <c r="T41">
        <v>0</v>
      </c>
      <c r="U41">
        <v>0</v>
      </c>
      <c r="W41" t="s">
        <v>62</v>
      </c>
    </row>
    <row r="42" spans="1:45" x14ac:dyDescent="0.35">
      <c r="A42" t="s">
        <v>45</v>
      </c>
      <c r="B42" t="s">
        <v>46</v>
      </c>
      <c r="C42" t="s">
        <v>63</v>
      </c>
      <c r="D42" t="s">
        <v>180</v>
      </c>
      <c r="E42" t="s">
        <v>180</v>
      </c>
      <c r="F42" t="s">
        <v>49</v>
      </c>
      <c r="G42" t="s">
        <v>181</v>
      </c>
      <c r="H42" t="s">
        <v>182</v>
      </c>
      <c r="J42" t="str">
        <f>HYPERLINK("https://www.instagram.com/p/C5KXN7gK133/","https://www.instagram.com/p/C5KXN7gK133/")</f>
        <v>https://www.instagram.com/p/C5KXN7gK133/</v>
      </c>
      <c r="O42">
        <v>0</v>
      </c>
      <c r="P42">
        <v>0</v>
      </c>
      <c r="Q42">
        <v>0</v>
      </c>
      <c r="S42">
        <v>0</v>
      </c>
      <c r="T42">
        <v>0</v>
      </c>
      <c r="U42">
        <v>0</v>
      </c>
      <c r="W42" t="s">
        <v>62</v>
      </c>
      <c r="AP42" t="s">
        <v>101</v>
      </c>
    </row>
    <row r="43" spans="1:45" x14ac:dyDescent="0.35">
      <c r="A43" t="s">
        <v>45</v>
      </c>
      <c r="B43" t="s">
        <v>46</v>
      </c>
      <c r="C43" t="s">
        <v>47</v>
      </c>
      <c r="D43" t="s">
        <v>183</v>
      </c>
      <c r="E43" t="s">
        <v>183</v>
      </c>
      <c r="F43" t="s">
        <v>49</v>
      </c>
      <c r="G43" t="s">
        <v>184</v>
      </c>
      <c r="H43" t="s">
        <v>185</v>
      </c>
      <c r="J43" t="str">
        <f>HYPERLINK("https://www.facebook.com/357267201017935/posts/3069910089753619/?comment_id=966417901809949","https://www.facebook.com/357267201017935/posts/3069910089753619/?comment_id=966417901809949")</f>
        <v>https://www.facebook.com/357267201017935/posts/3069910089753619/?comment_id=966417901809949</v>
      </c>
      <c r="O43">
        <v>0</v>
      </c>
      <c r="P43">
        <v>0</v>
      </c>
      <c r="Q43">
        <v>0</v>
      </c>
      <c r="S43">
        <v>0</v>
      </c>
      <c r="T43">
        <v>0</v>
      </c>
      <c r="U43">
        <v>0</v>
      </c>
      <c r="W43" t="s">
        <v>62</v>
      </c>
    </row>
    <row r="44" spans="1:45" x14ac:dyDescent="0.35">
      <c r="A44" t="s">
        <v>45</v>
      </c>
      <c r="B44" t="s">
        <v>46</v>
      </c>
      <c r="C44" t="s">
        <v>63</v>
      </c>
      <c r="D44" t="s">
        <v>186</v>
      </c>
      <c r="E44" t="s">
        <v>186</v>
      </c>
      <c r="F44" t="s">
        <v>49</v>
      </c>
      <c r="G44" t="s">
        <v>187</v>
      </c>
      <c r="H44" t="s">
        <v>188</v>
      </c>
      <c r="J44" t="str">
        <f>HYPERLINK("https://www.instagram.com/p/C5KXN7gK133/","https://www.instagram.com/p/C5KXN7gK133/")</f>
        <v>https://www.instagram.com/p/C5KXN7gK133/</v>
      </c>
      <c r="O44">
        <v>0</v>
      </c>
      <c r="P44">
        <v>0</v>
      </c>
      <c r="Q44">
        <v>0</v>
      </c>
      <c r="S44">
        <v>2</v>
      </c>
      <c r="T44">
        <v>79</v>
      </c>
      <c r="U44">
        <v>0</v>
      </c>
      <c r="W44" t="s">
        <v>106</v>
      </c>
      <c r="AP44" t="s">
        <v>101</v>
      </c>
    </row>
    <row r="45" spans="1:45" x14ac:dyDescent="0.35">
      <c r="A45" t="s">
        <v>45</v>
      </c>
      <c r="B45" t="s">
        <v>46</v>
      </c>
      <c r="C45" t="s">
        <v>47</v>
      </c>
      <c r="D45" t="s">
        <v>45</v>
      </c>
      <c r="E45" t="s">
        <v>45</v>
      </c>
      <c r="F45" t="s">
        <v>49</v>
      </c>
      <c r="G45" t="s">
        <v>187</v>
      </c>
      <c r="H45" t="s">
        <v>189</v>
      </c>
      <c r="J45" t="str">
        <f>HYPERLINK("https://www.facebook.com/357267201017935_795259719299080","https://www.facebook.com/357267201017935_795259719299080")</f>
        <v>https://www.facebook.com/357267201017935_795259719299080</v>
      </c>
      <c r="O45">
        <v>0</v>
      </c>
      <c r="P45">
        <v>0</v>
      </c>
      <c r="Q45">
        <v>0</v>
      </c>
      <c r="S45">
        <v>4</v>
      </c>
      <c r="T45">
        <v>96</v>
      </c>
      <c r="U45">
        <v>7</v>
      </c>
      <c r="W45" t="s">
        <v>106</v>
      </c>
      <c r="AP45" t="s">
        <v>101</v>
      </c>
    </row>
    <row r="46" spans="1:45" x14ac:dyDescent="0.35">
      <c r="A46" t="s">
        <v>45</v>
      </c>
      <c r="B46" t="s">
        <v>46</v>
      </c>
      <c r="C46" t="s">
        <v>139</v>
      </c>
      <c r="D46" t="s">
        <v>190</v>
      </c>
      <c r="E46" t="s">
        <v>45</v>
      </c>
      <c r="F46" t="s">
        <v>49</v>
      </c>
      <c r="G46" t="s">
        <v>191</v>
      </c>
      <c r="H46" t="s">
        <v>192</v>
      </c>
      <c r="J46" t="str">
        <f>HYPERLINK("https://twitter.com/FinoPaymntsBank/status/1774262841987748149","https://twitter.com/FinoPaymntsBank/status/1774262841987748149")</f>
        <v>https://twitter.com/FinoPaymntsBank/status/1774262841987748149</v>
      </c>
      <c r="K46" t="s">
        <v>145</v>
      </c>
      <c r="O46">
        <v>0</v>
      </c>
      <c r="P46">
        <v>0</v>
      </c>
      <c r="Q46">
        <v>8487</v>
      </c>
      <c r="R46" t="s">
        <v>193</v>
      </c>
      <c r="S46">
        <v>0</v>
      </c>
      <c r="T46">
        <v>0</v>
      </c>
      <c r="U46">
        <v>0</v>
      </c>
      <c r="W46" t="s">
        <v>146</v>
      </c>
      <c r="AP46" t="s">
        <v>101</v>
      </c>
    </row>
    <row r="47" spans="1:45" x14ac:dyDescent="0.35">
      <c r="A47" t="s">
        <v>45</v>
      </c>
      <c r="B47" t="s">
        <v>46</v>
      </c>
      <c r="C47" t="s">
        <v>47</v>
      </c>
      <c r="D47" t="s">
        <v>194</v>
      </c>
      <c r="E47" t="s">
        <v>194</v>
      </c>
      <c r="F47" t="s">
        <v>142</v>
      </c>
      <c r="G47" t="s">
        <v>195</v>
      </c>
      <c r="H47" t="s">
        <v>196</v>
      </c>
      <c r="J47" t="str">
        <f>HYPERLINK("https://www.facebook.com/357267201017935/inbox/7220641521347101/","https://www.facebook.com/357267201017935/inbox/7220641521347101/")</f>
        <v>https://www.facebook.com/357267201017935/inbox/7220641521347101/</v>
      </c>
      <c r="O47">
        <v>0</v>
      </c>
      <c r="P47">
        <v>0</v>
      </c>
      <c r="Q47">
        <v>0</v>
      </c>
      <c r="S47">
        <v>0</v>
      </c>
      <c r="T47">
        <v>0</v>
      </c>
      <c r="U47">
        <v>0</v>
      </c>
      <c r="W47" t="s">
        <v>52</v>
      </c>
    </row>
    <row r="48" spans="1:45" x14ac:dyDescent="0.35">
      <c r="A48" t="s">
        <v>45</v>
      </c>
      <c r="B48" t="s">
        <v>46</v>
      </c>
      <c r="C48" t="s">
        <v>47</v>
      </c>
      <c r="D48" t="s">
        <v>45</v>
      </c>
      <c r="E48" t="s">
        <v>45</v>
      </c>
      <c r="F48" t="s">
        <v>49</v>
      </c>
      <c r="G48" t="s">
        <v>197</v>
      </c>
      <c r="H48" t="s">
        <v>198</v>
      </c>
      <c r="J48" t="str">
        <f>HYPERLINK("https://www.facebook.com/357267201017935_798095505682168","https://www.facebook.com/357267201017935_798095505682168")</f>
        <v>https://www.facebook.com/357267201017935_798095505682168</v>
      </c>
      <c r="O48">
        <v>0</v>
      </c>
      <c r="P48">
        <v>0</v>
      </c>
      <c r="Q48">
        <v>0</v>
      </c>
      <c r="S48">
        <v>0</v>
      </c>
      <c r="T48">
        <v>0</v>
      </c>
      <c r="U48">
        <v>0</v>
      </c>
      <c r="W48" t="s">
        <v>106</v>
      </c>
      <c r="AS48" t="s">
        <v>115</v>
      </c>
    </row>
    <row r="49" spans="1:23" x14ac:dyDescent="0.35">
      <c r="A49" t="s">
        <v>45</v>
      </c>
      <c r="B49" t="s">
        <v>46</v>
      </c>
      <c r="C49" t="s">
        <v>47</v>
      </c>
      <c r="D49" t="s">
        <v>199</v>
      </c>
      <c r="E49" t="s">
        <v>199</v>
      </c>
      <c r="F49" t="s">
        <v>49</v>
      </c>
      <c r="G49" t="s">
        <v>200</v>
      </c>
      <c r="H49" t="s">
        <v>201</v>
      </c>
      <c r="J49" t="str">
        <f>HYPERLINK("https://www.facebook.com/396786122745385/posts/432737022483628","https://www.facebook.com/396786122745385/posts/432737022483628")</f>
        <v>https://www.facebook.com/396786122745385/posts/432737022483628</v>
      </c>
      <c r="O49">
        <v>0</v>
      </c>
      <c r="P49">
        <v>0</v>
      </c>
      <c r="Q49">
        <v>0</v>
      </c>
      <c r="S49">
        <v>0</v>
      </c>
      <c r="T49">
        <v>0</v>
      </c>
      <c r="U49">
        <v>0</v>
      </c>
      <c r="W49" t="s">
        <v>106</v>
      </c>
    </row>
    <row r="50" spans="1:23" x14ac:dyDescent="0.35">
      <c r="A50" t="s">
        <v>45</v>
      </c>
      <c r="B50" t="s">
        <v>46</v>
      </c>
      <c r="C50" t="s">
        <v>47</v>
      </c>
      <c r="D50" t="s">
        <v>202</v>
      </c>
      <c r="E50" t="s">
        <v>202</v>
      </c>
      <c r="F50" t="s">
        <v>49</v>
      </c>
      <c r="G50" t="s">
        <v>203</v>
      </c>
      <c r="H50" t="s">
        <v>204</v>
      </c>
      <c r="J50" t="str">
        <f>HYPERLINK("https://www.facebook.com/454965103328545/posts/763274915830894?comment_id=421720380534544","https://www.facebook.com/454965103328545/posts/763274915830894?comment_id=421720380534544")</f>
        <v>https://www.facebook.com/454965103328545/posts/763274915830894?comment_id=421720380534544</v>
      </c>
      <c r="O50">
        <v>0</v>
      </c>
      <c r="P50">
        <v>0</v>
      </c>
      <c r="Q50">
        <v>0</v>
      </c>
      <c r="S50">
        <v>0</v>
      </c>
      <c r="T50">
        <v>0</v>
      </c>
      <c r="U50">
        <v>0</v>
      </c>
      <c r="W50" t="s">
        <v>62</v>
      </c>
    </row>
    <row r="51" spans="1:23" x14ac:dyDescent="0.35">
      <c r="A51" t="s">
        <v>45</v>
      </c>
      <c r="B51" t="s">
        <v>46</v>
      </c>
      <c r="C51" t="s">
        <v>47</v>
      </c>
      <c r="D51" t="s">
        <v>202</v>
      </c>
      <c r="E51" t="s">
        <v>202</v>
      </c>
      <c r="F51" t="s">
        <v>49</v>
      </c>
      <c r="G51" t="s">
        <v>205</v>
      </c>
      <c r="H51" t="s">
        <v>206</v>
      </c>
      <c r="J51" t="str">
        <f>HYPERLINK("https://www.facebook.com/454965103328545/posts/763274915830894?comment_id=790464609252631","https://www.facebook.com/454965103328545/posts/763274915830894?comment_id=790464609252631")</f>
        <v>https://www.facebook.com/454965103328545/posts/763274915830894?comment_id=790464609252631</v>
      </c>
      <c r="O51">
        <v>0</v>
      </c>
      <c r="P51">
        <v>0</v>
      </c>
      <c r="Q51">
        <v>0</v>
      </c>
      <c r="S51">
        <v>0</v>
      </c>
      <c r="T51">
        <v>0</v>
      </c>
      <c r="U51">
        <v>0</v>
      </c>
      <c r="W51" t="s">
        <v>62</v>
      </c>
    </row>
    <row r="52" spans="1:23" x14ac:dyDescent="0.35">
      <c r="A52" t="s">
        <v>45</v>
      </c>
      <c r="B52" t="s">
        <v>207</v>
      </c>
      <c r="C52" t="s">
        <v>63</v>
      </c>
      <c r="D52" t="s">
        <v>79</v>
      </c>
      <c r="E52" t="s">
        <v>79</v>
      </c>
      <c r="F52" t="s">
        <v>76</v>
      </c>
      <c r="G52" t="s">
        <v>208</v>
      </c>
      <c r="H52" t="s">
        <v>209</v>
      </c>
      <c r="J52" t="str">
        <f>HYPERLINK("https://www.instagram.com/p/C4ucfvtgGcP/","https://www.instagram.com/p/C4ucfvtgGcP/")</f>
        <v>https://www.instagram.com/p/C4ucfvtgGcP/</v>
      </c>
      <c r="O52">
        <v>0</v>
      </c>
      <c r="P52">
        <v>0</v>
      </c>
      <c r="Q52">
        <v>0</v>
      </c>
      <c r="S52">
        <v>0</v>
      </c>
      <c r="T52">
        <v>0</v>
      </c>
      <c r="U52">
        <v>0</v>
      </c>
      <c r="W52" t="s">
        <v>62</v>
      </c>
    </row>
    <row r="53" spans="1:23" x14ac:dyDescent="0.35">
      <c r="A53" t="s">
        <v>45</v>
      </c>
      <c r="B53" t="s">
        <v>207</v>
      </c>
      <c r="C53" t="s">
        <v>47</v>
      </c>
      <c r="D53" t="s">
        <v>210</v>
      </c>
      <c r="E53" t="s">
        <v>210</v>
      </c>
      <c r="F53" t="s">
        <v>49</v>
      </c>
      <c r="G53" t="s">
        <v>211</v>
      </c>
      <c r="H53" t="s">
        <v>212</v>
      </c>
      <c r="J53" t="str">
        <f>HYPERLINK("https://www.facebook.com/454965103328545/posts/763274915830894?comment_id=358686526494033","https://www.facebook.com/454965103328545/posts/763274915830894?comment_id=358686526494033")</f>
        <v>https://www.facebook.com/454965103328545/posts/763274915830894?comment_id=358686526494033</v>
      </c>
      <c r="O53">
        <v>0</v>
      </c>
      <c r="P53">
        <v>0</v>
      </c>
      <c r="Q53">
        <v>0</v>
      </c>
      <c r="S53">
        <v>0</v>
      </c>
      <c r="T53">
        <v>0</v>
      </c>
      <c r="U53">
        <v>0</v>
      </c>
      <c r="W53" t="s">
        <v>62</v>
      </c>
    </row>
    <row r="54" spans="1:23" x14ac:dyDescent="0.35">
      <c r="A54" t="s">
        <v>45</v>
      </c>
      <c r="B54" t="s">
        <v>207</v>
      </c>
      <c r="C54" t="s">
        <v>47</v>
      </c>
      <c r="D54" t="s">
        <v>210</v>
      </c>
      <c r="E54" t="s">
        <v>210</v>
      </c>
      <c r="F54" t="s">
        <v>49</v>
      </c>
      <c r="G54" t="s">
        <v>213</v>
      </c>
      <c r="H54" t="s">
        <v>214</v>
      </c>
      <c r="J54" t="str">
        <f>HYPERLINK("https://www.facebook.com/454965103328545/posts/763274915830894?comment_id=1605800220242943","https://www.facebook.com/454965103328545/posts/763274915830894?comment_id=1605800220242943")</f>
        <v>https://www.facebook.com/454965103328545/posts/763274915830894?comment_id=1605800220242943</v>
      </c>
      <c r="O54">
        <v>0</v>
      </c>
      <c r="P54">
        <v>0</v>
      </c>
      <c r="Q54">
        <v>0</v>
      </c>
      <c r="S54">
        <v>0</v>
      </c>
      <c r="T54">
        <v>0</v>
      </c>
      <c r="U54">
        <v>0</v>
      </c>
      <c r="W54" t="s">
        <v>62</v>
      </c>
    </row>
    <row r="55" spans="1:23" x14ac:dyDescent="0.35">
      <c r="A55" t="s">
        <v>45</v>
      </c>
      <c r="B55" t="s">
        <v>207</v>
      </c>
      <c r="C55" t="s">
        <v>47</v>
      </c>
      <c r="D55" t="s">
        <v>215</v>
      </c>
      <c r="E55" t="s">
        <v>215</v>
      </c>
      <c r="F55" t="s">
        <v>49</v>
      </c>
      <c r="G55" t="s">
        <v>216</v>
      </c>
      <c r="H55" t="s">
        <v>217</v>
      </c>
      <c r="J55" t="str">
        <f>HYPERLINK("https://www.facebook.com/454965103328545/videos/1792369101228633?comment_id=1351161352239261&amp;reply_comment_id=833387701957487","https://www.facebook.com/454965103328545/videos/1792369101228633?comment_id=1351161352239261&amp;reply_comment_id=833387701957487")</f>
        <v>https://www.facebook.com/454965103328545/videos/1792369101228633?comment_id=1351161352239261&amp;reply_comment_id=833387701957487</v>
      </c>
      <c r="O55">
        <v>0</v>
      </c>
      <c r="P55">
        <v>0</v>
      </c>
      <c r="Q55">
        <v>0</v>
      </c>
      <c r="S55">
        <v>0</v>
      </c>
      <c r="T55">
        <v>0</v>
      </c>
      <c r="U55">
        <v>0</v>
      </c>
      <c r="W55" t="s">
        <v>62</v>
      </c>
    </row>
    <row r="56" spans="1:23" x14ac:dyDescent="0.35">
      <c r="A56" t="s">
        <v>45</v>
      </c>
      <c r="B56" t="s">
        <v>207</v>
      </c>
      <c r="C56" t="s">
        <v>47</v>
      </c>
      <c r="D56" t="s">
        <v>215</v>
      </c>
      <c r="E56" t="s">
        <v>215</v>
      </c>
      <c r="F56" t="s">
        <v>49</v>
      </c>
      <c r="G56" t="s">
        <v>218</v>
      </c>
      <c r="H56" t="s">
        <v>219</v>
      </c>
      <c r="J56" t="str">
        <f>HYPERLINK("https://www.facebook.com/454965103328545/videos/1792369101228633?comment_id=1159193518828875&amp;reply_comment_id=912639207322889","https://www.facebook.com/454965103328545/videos/1792369101228633?comment_id=1159193518828875&amp;reply_comment_id=912639207322889")</f>
        <v>https://www.facebook.com/454965103328545/videos/1792369101228633?comment_id=1159193518828875&amp;reply_comment_id=912639207322889</v>
      </c>
      <c r="O56">
        <v>0</v>
      </c>
      <c r="P56">
        <v>0</v>
      </c>
      <c r="Q56">
        <v>0</v>
      </c>
      <c r="S56">
        <v>0</v>
      </c>
      <c r="T56">
        <v>0</v>
      </c>
      <c r="U56">
        <v>0</v>
      </c>
      <c r="W56" t="s">
        <v>62</v>
      </c>
    </row>
    <row r="57" spans="1:23" x14ac:dyDescent="0.35">
      <c r="A57" t="s">
        <v>45</v>
      </c>
      <c r="B57" t="s">
        <v>207</v>
      </c>
      <c r="C57" t="s">
        <v>47</v>
      </c>
      <c r="D57" t="s">
        <v>220</v>
      </c>
      <c r="E57" t="s">
        <v>220</v>
      </c>
      <c r="F57" t="s">
        <v>49</v>
      </c>
      <c r="G57" t="s">
        <v>221</v>
      </c>
      <c r="H57" t="s">
        <v>222</v>
      </c>
      <c r="J57" t="str">
        <f>HYPERLINK("https://www.facebook.com/357267201017935/inbox/7218815071529746/","https://www.facebook.com/357267201017935/inbox/7218815071529746/")</f>
        <v>https://www.facebook.com/357267201017935/inbox/7218815071529746/</v>
      </c>
      <c r="O57">
        <v>0</v>
      </c>
      <c r="P57">
        <v>0</v>
      </c>
      <c r="Q57">
        <v>0</v>
      </c>
      <c r="S57">
        <v>0</v>
      </c>
      <c r="T57">
        <v>0</v>
      </c>
      <c r="U57">
        <v>0</v>
      </c>
      <c r="W57" t="s">
        <v>52</v>
      </c>
    </row>
    <row r="58" spans="1:23" x14ac:dyDescent="0.35">
      <c r="A58" t="s">
        <v>45</v>
      </c>
      <c r="B58" t="s">
        <v>207</v>
      </c>
      <c r="C58" t="s">
        <v>47</v>
      </c>
      <c r="D58" t="s">
        <v>220</v>
      </c>
      <c r="E58" t="s">
        <v>220</v>
      </c>
      <c r="F58" t="s">
        <v>49</v>
      </c>
      <c r="G58" t="s">
        <v>223</v>
      </c>
      <c r="H58" t="s">
        <v>224</v>
      </c>
      <c r="J58" t="str">
        <f>HYPERLINK("https://www.facebook.com/357267201017935/inbox/7218815071529746/","https://www.facebook.com/357267201017935/inbox/7218815071529746/")</f>
        <v>https://www.facebook.com/357267201017935/inbox/7218815071529746/</v>
      </c>
      <c r="O58">
        <v>0</v>
      </c>
      <c r="P58">
        <v>0</v>
      </c>
      <c r="Q58">
        <v>0</v>
      </c>
      <c r="S58">
        <v>0</v>
      </c>
      <c r="T58">
        <v>0</v>
      </c>
      <c r="U58">
        <v>0</v>
      </c>
      <c r="W58" t="s">
        <v>52</v>
      </c>
    </row>
    <row r="59" spans="1:23" x14ac:dyDescent="0.35">
      <c r="A59" t="s">
        <v>45</v>
      </c>
      <c r="B59" t="s">
        <v>207</v>
      </c>
      <c r="C59" t="s">
        <v>47</v>
      </c>
      <c r="D59" t="s">
        <v>220</v>
      </c>
      <c r="E59" t="s">
        <v>220</v>
      </c>
      <c r="F59" t="s">
        <v>49</v>
      </c>
      <c r="G59" t="s">
        <v>225</v>
      </c>
      <c r="H59" t="s">
        <v>226</v>
      </c>
      <c r="J59" t="str">
        <f>HYPERLINK("https://www.facebook.com/357267201017935/inbox/7218815071529746/","https://www.facebook.com/357267201017935/inbox/7218815071529746/")</f>
        <v>https://www.facebook.com/357267201017935/inbox/7218815071529746/</v>
      </c>
      <c r="O59">
        <v>0</v>
      </c>
      <c r="P59">
        <v>0</v>
      </c>
      <c r="Q59">
        <v>0</v>
      </c>
      <c r="S59">
        <v>0</v>
      </c>
      <c r="T59">
        <v>0</v>
      </c>
      <c r="U59">
        <v>0</v>
      </c>
      <c r="W59" t="s">
        <v>52</v>
      </c>
    </row>
    <row r="60" spans="1:23" x14ac:dyDescent="0.35">
      <c r="A60" t="s">
        <v>45</v>
      </c>
      <c r="B60" t="s">
        <v>207</v>
      </c>
      <c r="C60" t="s">
        <v>47</v>
      </c>
      <c r="D60" t="s">
        <v>120</v>
      </c>
      <c r="E60" t="s">
        <v>120</v>
      </c>
      <c r="F60" t="s">
        <v>49</v>
      </c>
      <c r="G60" t="s">
        <v>227</v>
      </c>
      <c r="H60" t="s">
        <v>228</v>
      </c>
      <c r="J60" t="str">
        <f>HYPERLINK("https://www.facebook.com/454965103328545/posts/795187112639674?comment_id=25991796837086419&amp;reply_comment_id=1102287790974369","https://www.facebook.com/454965103328545/posts/795187112639674?comment_id=25991796837086419&amp;reply_comment_id=1102287790974369")</f>
        <v>https://www.facebook.com/454965103328545/posts/795187112639674?comment_id=25991796837086419&amp;reply_comment_id=1102287790974369</v>
      </c>
      <c r="O60">
        <v>0</v>
      </c>
      <c r="P60">
        <v>0</v>
      </c>
      <c r="Q60">
        <v>0</v>
      </c>
      <c r="S60">
        <v>0</v>
      </c>
      <c r="T60">
        <v>0</v>
      </c>
      <c r="U60">
        <v>0</v>
      </c>
      <c r="W60" t="s">
        <v>62</v>
      </c>
    </row>
    <row r="61" spans="1:23" x14ac:dyDescent="0.35">
      <c r="A61" t="s">
        <v>45</v>
      </c>
      <c r="B61" t="s">
        <v>207</v>
      </c>
      <c r="C61" t="s">
        <v>63</v>
      </c>
      <c r="D61" t="s">
        <v>154</v>
      </c>
      <c r="E61" t="s">
        <v>154</v>
      </c>
      <c r="F61" t="s">
        <v>49</v>
      </c>
      <c r="G61" t="s">
        <v>229</v>
      </c>
      <c r="H61" t="s">
        <v>230</v>
      </c>
      <c r="J61" t="str">
        <f>HYPERLINK("https://www.instagram.com/p/C5Dmoi3yDSD/","https://www.instagram.com/p/C5Dmoi3yDSD/")</f>
        <v>https://www.instagram.com/p/C5Dmoi3yDSD/</v>
      </c>
      <c r="O61">
        <v>0</v>
      </c>
      <c r="P61">
        <v>0</v>
      </c>
      <c r="Q61">
        <v>0</v>
      </c>
      <c r="S61">
        <v>0</v>
      </c>
      <c r="T61">
        <v>0</v>
      </c>
      <c r="U61">
        <v>0</v>
      </c>
      <c r="W61" t="s">
        <v>62</v>
      </c>
    </row>
    <row r="62" spans="1:23" x14ac:dyDescent="0.35">
      <c r="A62" t="s">
        <v>45</v>
      </c>
      <c r="B62" t="s">
        <v>207</v>
      </c>
      <c r="C62" t="s">
        <v>63</v>
      </c>
      <c r="D62" t="s">
        <v>154</v>
      </c>
      <c r="E62" t="s">
        <v>154</v>
      </c>
      <c r="F62" t="s">
        <v>49</v>
      </c>
      <c r="G62" t="s">
        <v>229</v>
      </c>
      <c r="H62" t="s">
        <v>231</v>
      </c>
      <c r="J62" t="str">
        <f>HYPERLINK("https://www.instagram.com/reel/C5GLcqcq7A4/","https://www.instagram.com/reel/C5GLcqcq7A4/")</f>
        <v>https://www.instagram.com/reel/C5GLcqcq7A4/</v>
      </c>
      <c r="O62">
        <v>0</v>
      </c>
      <c r="P62">
        <v>0</v>
      </c>
      <c r="Q62">
        <v>0</v>
      </c>
      <c r="S62">
        <v>0</v>
      </c>
      <c r="T62">
        <v>0</v>
      </c>
      <c r="U62">
        <v>0</v>
      </c>
      <c r="W62" t="s">
        <v>62</v>
      </c>
    </row>
    <row r="63" spans="1:23" x14ac:dyDescent="0.35">
      <c r="A63" t="s">
        <v>45</v>
      </c>
      <c r="B63" t="s">
        <v>207</v>
      </c>
      <c r="C63" t="s">
        <v>47</v>
      </c>
      <c r="D63" t="s">
        <v>232</v>
      </c>
      <c r="E63" t="s">
        <v>232</v>
      </c>
      <c r="F63" t="s">
        <v>49</v>
      </c>
      <c r="G63" t="s">
        <v>233</v>
      </c>
      <c r="H63" t="s">
        <v>234</v>
      </c>
      <c r="J63" t="str">
        <f>HYPERLINK("https://www.facebook.com/454965103328545/videos/1792369101228633?comment_id=1351161352239261&amp;reply_comment_id=725377313011838","https://www.facebook.com/454965103328545/videos/1792369101228633?comment_id=1351161352239261&amp;reply_comment_id=725377313011838")</f>
        <v>https://www.facebook.com/454965103328545/videos/1792369101228633?comment_id=1351161352239261&amp;reply_comment_id=725377313011838</v>
      </c>
      <c r="O63">
        <v>0</v>
      </c>
      <c r="P63">
        <v>0</v>
      </c>
      <c r="Q63">
        <v>0</v>
      </c>
      <c r="S63">
        <v>0</v>
      </c>
      <c r="T63">
        <v>0</v>
      </c>
      <c r="U63">
        <v>0</v>
      </c>
      <c r="W63" t="s">
        <v>62</v>
      </c>
    </row>
    <row r="64" spans="1:23" x14ac:dyDescent="0.35">
      <c r="A64" t="s">
        <v>45</v>
      </c>
      <c r="B64" t="s">
        <v>207</v>
      </c>
      <c r="C64" t="s">
        <v>139</v>
      </c>
      <c r="D64" t="s">
        <v>235</v>
      </c>
      <c r="E64" t="s">
        <v>236</v>
      </c>
      <c r="F64" t="s">
        <v>49</v>
      </c>
      <c r="G64" t="s">
        <v>237</v>
      </c>
      <c r="H64" t="s">
        <v>238</v>
      </c>
      <c r="J64" t="str">
        <f>HYPERLINK("https://twitter.com/shRjput212501/status/1774084521786552483","https://twitter.com/shRjput212501/status/1774084521786552483")</f>
        <v>https://twitter.com/shRjput212501/status/1774084521786552483</v>
      </c>
      <c r="O64">
        <v>0</v>
      </c>
      <c r="P64">
        <v>0</v>
      </c>
      <c r="Q64">
        <v>0</v>
      </c>
      <c r="S64">
        <v>0</v>
      </c>
      <c r="T64">
        <v>0</v>
      </c>
      <c r="U64">
        <v>0</v>
      </c>
      <c r="W64" t="s">
        <v>146</v>
      </c>
    </row>
    <row r="65" spans="1:23" x14ac:dyDescent="0.35">
      <c r="A65" t="s">
        <v>45</v>
      </c>
      <c r="B65" t="s">
        <v>207</v>
      </c>
      <c r="C65" t="s">
        <v>139</v>
      </c>
      <c r="D65" t="s">
        <v>235</v>
      </c>
      <c r="E65" t="s">
        <v>236</v>
      </c>
      <c r="F65" t="s">
        <v>49</v>
      </c>
      <c r="G65" t="s">
        <v>239</v>
      </c>
      <c r="H65" t="s">
        <v>240</v>
      </c>
      <c r="J65" t="str">
        <f>HYPERLINK("https://twitter.com/shRjput212501/status/1774084340496077118","https://twitter.com/shRjput212501/status/1774084340496077118")</f>
        <v>https://twitter.com/shRjput212501/status/1774084340496077118</v>
      </c>
      <c r="O65">
        <v>0</v>
      </c>
      <c r="P65">
        <v>0</v>
      </c>
      <c r="Q65">
        <v>0</v>
      </c>
      <c r="S65">
        <v>0</v>
      </c>
      <c r="T65">
        <v>0</v>
      </c>
      <c r="U65">
        <v>0</v>
      </c>
      <c r="W65" t="s">
        <v>146</v>
      </c>
    </row>
    <row r="66" spans="1:23" x14ac:dyDescent="0.35">
      <c r="A66" t="s">
        <v>45</v>
      </c>
      <c r="B66" t="s">
        <v>207</v>
      </c>
      <c r="C66" t="s">
        <v>47</v>
      </c>
      <c r="D66" t="s">
        <v>241</v>
      </c>
      <c r="E66" t="s">
        <v>241</v>
      </c>
      <c r="F66" t="s">
        <v>49</v>
      </c>
      <c r="G66" t="s">
        <v>242</v>
      </c>
      <c r="H66" t="s">
        <v>243</v>
      </c>
      <c r="J66" t="str">
        <f>HYPERLINK("https://www.facebook.com/454965103328545/posts/792232949601757?comment_id=980551567022880&amp;reply_comment_id=1803823013431090","https://www.facebook.com/454965103328545/posts/792232949601757?comment_id=980551567022880&amp;reply_comment_id=1803823013431090")</f>
        <v>https://www.facebook.com/454965103328545/posts/792232949601757?comment_id=980551567022880&amp;reply_comment_id=1803823013431090</v>
      </c>
      <c r="O66">
        <v>0</v>
      </c>
      <c r="P66">
        <v>0</v>
      </c>
      <c r="Q66">
        <v>0</v>
      </c>
      <c r="S66">
        <v>0</v>
      </c>
      <c r="T66">
        <v>0</v>
      </c>
      <c r="U66">
        <v>0</v>
      </c>
      <c r="W66" t="s">
        <v>62</v>
      </c>
    </row>
    <row r="67" spans="1:23" x14ac:dyDescent="0.35">
      <c r="A67" t="s">
        <v>45</v>
      </c>
      <c r="B67" t="s">
        <v>207</v>
      </c>
      <c r="C67" t="s">
        <v>47</v>
      </c>
      <c r="D67" t="s">
        <v>241</v>
      </c>
      <c r="E67" t="s">
        <v>241</v>
      </c>
      <c r="F67" t="s">
        <v>49</v>
      </c>
      <c r="G67" t="s">
        <v>244</v>
      </c>
      <c r="H67" t="s">
        <v>245</v>
      </c>
      <c r="J67" t="str">
        <f>HYPERLINK("https://www.facebook.com/454965103328545/posts/792232949601757?comment_id=965950505212820&amp;reply_comment_id=26001831729416201","https://www.facebook.com/454965103328545/posts/792232949601757?comment_id=965950505212820&amp;reply_comment_id=26001831729416201")</f>
        <v>https://www.facebook.com/454965103328545/posts/792232949601757?comment_id=965950505212820&amp;reply_comment_id=26001831729416201</v>
      </c>
      <c r="O67">
        <v>0</v>
      </c>
      <c r="P67">
        <v>0</v>
      </c>
      <c r="Q67">
        <v>0</v>
      </c>
      <c r="S67">
        <v>0</v>
      </c>
      <c r="T67">
        <v>0</v>
      </c>
      <c r="U67">
        <v>0</v>
      </c>
      <c r="W67" t="s">
        <v>62</v>
      </c>
    </row>
    <row r="68" spans="1:23" x14ac:dyDescent="0.35">
      <c r="A68" t="s">
        <v>45</v>
      </c>
      <c r="B68" t="s">
        <v>207</v>
      </c>
      <c r="C68" t="s">
        <v>47</v>
      </c>
      <c r="D68" t="s">
        <v>246</v>
      </c>
      <c r="E68" t="s">
        <v>246</v>
      </c>
      <c r="F68" t="s">
        <v>49</v>
      </c>
      <c r="G68" t="s">
        <v>247</v>
      </c>
      <c r="H68" t="s">
        <v>248</v>
      </c>
      <c r="J68" t="str">
        <f>HYPERLINK("https://www.facebook.com/454965103328545/posts/795187112639674?comment_id=434606109015429&amp;reply_comment_id=1159773348517243","https://www.facebook.com/454965103328545/posts/795187112639674?comment_id=434606109015429&amp;reply_comment_id=1159773348517243")</f>
        <v>https://www.facebook.com/454965103328545/posts/795187112639674?comment_id=434606109015429&amp;reply_comment_id=1159773348517243</v>
      </c>
      <c r="O68">
        <v>0</v>
      </c>
      <c r="P68">
        <v>0</v>
      </c>
      <c r="Q68">
        <v>0</v>
      </c>
      <c r="S68">
        <v>0</v>
      </c>
      <c r="T68">
        <v>0</v>
      </c>
      <c r="U68">
        <v>0</v>
      </c>
      <c r="W68" t="s">
        <v>62</v>
      </c>
    </row>
    <row r="69" spans="1:23" x14ac:dyDescent="0.35">
      <c r="A69" t="s">
        <v>45</v>
      </c>
      <c r="B69" t="s">
        <v>207</v>
      </c>
      <c r="C69" t="s">
        <v>63</v>
      </c>
      <c r="D69" t="s">
        <v>249</v>
      </c>
      <c r="E69" t="s">
        <v>249</v>
      </c>
      <c r="F69" t="s">
        <v>49</v>
      </c>
      <c r="G69" t="s">
        <v>250</v>
      </c>
      <c r="H69" t="s">
        <v>251</v>
      </c>
      <c r="J69" t="str">
        <f>HYPERLINK("https://www.instagram.com/reel/C5BPxOoI0c3/","https://www.instagram.com/reel/C5BPxOoI0c3/")</f>
        <v>https://www.instagram.com/reel/C5BPxOoI0c3/</v>
      </c>
      <c r="O69">
        <v>0</v>
      </c>
      <c r="P69">
        <v>0</v>
      </c>
      <c r="Q69">
        <v>0</v>
      </c>
      <c r="S69">
        <v>0</v>
      </c>
      <c r="T69">
        <v>0</v>
      </c>
      <c r="U69">
        <v>0</v>
      </c>
      <c r="W69" t="s">
        <v>106</v>
      </c>
    </row>
    <row r="70" spans="1:23" x14ac:dyDescent="0.35">
      <c r="A70" t="s">
        <v>45</v>
      </c>
      <c r="B70" t="s">
        <v>207</v>
      </c>
      <c r="C70" t="s">
        <v>47</v>
      </c>
      <c r="D70" t="s">
        <v>252</v>
      </c>
      <c r="E70" t="s">
        <v>252</v>
      </c>
      <c r="F70" t="s">
        <v>49</v>
      </c>
      <c r="G70" t="s">
        <v>253</v>
      </c>
      <c r="H70" t="s">
        <v>254</v>
      </c>
      <c r="J70" t="str">
        <f>HYPERLINK("https://www.facebook.com/357267201017935/inbox/7208936699184250/","https://www.facebook.com/357267201017935/inbox/7208936699184250/")</f>
        <v>https://www.facebook.com/357267201017935/inbox/7208936699184250/</v>
      </c>
      <c r="O70">
        <v>0</v>
      </c>
      <c r="P70">
        <v>0</v>
      </c>
      <c r="Q70">
        <v>0</v>
      </c>
      <c r="S70">
        <v>0</v>
      </c>
      <c r="T70">
        <v>0</v>
      </c>
      <c r="U70">
        <v>0</v>
      </c>
      <c r="W70" t="s">
        <v>52</v>
      </c>
    </row>
    <row r="71" spans="1:23" x14ac:dyDescent="0.35">
      <c r="A71" t="s">
        <v>45</v>
      </c>
      <c r="B71" t="s">
        <v>207</v>
      </c>
      <c r="C71" t="s">
        <v>47</v>
      </c>
      <c r="D71" t="s">
        <v>252</v>
      </c>
      <c r="E71" t="s">
        <v>252</v>
      </c>
      <c r="F71" t="s">
        <v>142</v>
      </c>
      <c r="G71" t="s">
        <v>255</v>
      </c>
      <c r="H71" t="s">
        <v>256</v>
      </c>
      <c r="J71" t="str">
        <f>HYPERLINK("https://www.facebook.com/357267201017935/inbox/7208936699184250/","https://www.facebook.com/357267201017935/inbox/7208936699184250/")</f>
        <v>https://www.facebook.com/357267201017935/inbox/7208936699184250/</v>
      </c>
      <c r="O71">
        <v>0</v>
      </c>
      <c r="P71">
        <v>0</v>
      </c>
      <c r="Q71">
        <v>0</v>
      </c>
      <c r="S71">
        <v>0</v>
      </c>
      <c r="T71">
        <v>0</v>
      </c>
      <c r="U71">
        <v>0</v>
      </c>
      <c r="W71" t="s">
        <v>52</v>
      </c>
    </row>
    <row r="72" spans="1:23" x14ac:dyDescent="0.35">
      <c r="A72" t="s">
        <v>45</v>
      </c>
      <c r="B72" t="s">
        <v>207</v>
      </c>
      <c r="C72" t="s">
        <v>47</v>
      </c>
      <c r="D72" t="s">
        <v>252</v>
      </c>
      <c r="E72" t="s">
        <v>252</v>
      </c>
      <c r="F72" t="s">
        <v>49</v>
      </c>
      <c r="G72" t="s">
        <v>253</v>
      </c>
      <c r="H72" t="s">
        <v>257</v>
      </c>
      <c r="J72" t="str">
        <f>HYPERLINK("https://www.facebook.com/357267201017935/inbox/7208936699184250/","https://www.facebook.com/357267201017935/inbox/7208936699184250/")</f>
        <v>https://www.facebook.com/357267201017935/inbox/7208936699184250/</v>
      </c>
      <c r="O72">
        <v>0</v>
      </c>
      <c r="P72">
        <v>0</v>
      </c>
      <c r="Q72">
        <v>0</v>
      </c>
      <c r="S72">
        <v>0</v>
      </c>
      <c r="T72">
        <v>0</v>
      </c>
      <c r="U72">
        <v>0</v>
      </c>
      <c r="W72" t="s">
        <v>52</v>
      </c>
    </row>
    <row r="73" spans="1:23" x14ac:dyDescent="0.35">
      <c r="A73" t="s">
        <v>45</v>
      </c>
      <c r="B73" t="s">
        <v>207</v>
      </c>
      <c r="C73" t="s">
        <v>47</v>
      </c>
      <c r="D73" t="s">
        <v>252</v>
      </c>
      <c r="E73" t="s">
        <v>252</v>
      </c>
      <c r="F73" t="s">
        <v>142</v>
      </c>
      <c r="G73" t="s">
        <v>258</v>
      </c>
      <c r="H73" t="s">
        <v>259</v>
      </c>
      <c r="J73" t="str">
        <f>HYPERLINK("https://www.facebook.com/357267201017935/inbox/7208936699184250/","https://www.facebook.com/357267201017935/inbox/7208936699184250/")</f>
        <v>https://www.facebook.com/357267201017935/inbox/7208936699184250/</v>
      </c>
      <c r="O73">
        <v>0</v>
      </c>
      <c r="P73">
        <v>0</v>
      </c>
      <c r="Q73">
        <v>0</v>
      </c>
      <c r="S73">
        <v>0</v>
      </c>
      <c r="T73">
        <v>0</v>
      </c>
      <c r="U73">
        <v>0</v>
      </c>
      <c r="W73" t="s">
        <v>52</v>
      </c>
    </row>
    <row r="74" spans="1:23" x14ac:dyDescent="0.35">
      <c r="A74" t="s">
        <v>45</v>
      </c>
      <c r="B74" t="s">
        <v>207</v>
      </c>
      <c r="C74" t="s">
        <v>47</v>
      </c>
      <c r="D74" t="s">
        <v>45</v>
      </c>
      <c r="E74" t="s">
        <v>45</v>
      </c>
      <c r="F74" t="s">
        <v>49</v>
      </c>
      <c r="G74" t="s">
        <v>260</v>
      </c>
      <c r="H74" t="s">
        <v>261</v>
      </c>
      <c r="J74" t="str">
        <f>HYPERLINK("https://www.facebook.com/454965103328545/posts/795187112639674?comment_id=25991796837086419&amp;reply_comment_id=1544312736167517","https://www.facebook.com/454965103328545/posts/795187112639674?comment_id=25991796837086419&amp;reply_comment_id=1544312736167517")</f>
        <v>https://www.facebook.com/454965103328545/posts/795187112639674?comment_id=25991796837086419&amp;reply_comment_id=1544312736167517</v>
      </c>
      <c r="O74">
        <v>0</v>
      </c>
      <c r="P74">
        <v>0</v>
      </c>
      <c r="Q74">
        <v>0</v>
      </c>
      <c r="S74">
        <v>0</v>
      </c>
      <c r="T74">
        <v>0</v>
      </c>
      <c r="U74">
        <v>0</v>
      </c>
      <c r="W74" t="s">
        <v>62</v>
      </c>
    </row>
    <row r="75" spans="1:23" x14ac:dyDescent="0.35">
      <c r="A75" t="s">
        <v>45</v>
      </c>
      <c r="B75" t="s">
        <v>207</v>
      </c>
      <c r="C75" t="s">
        <v>47</v>
      </c>
      <c r="D75" t="s">
        <v>45</v>
      </c>
      <c r="E75" t="s">
        <v>45</v>
      </c>
      <c r="F75" t="s">
        <v>49</v>
      </c>
      <c r="G75" t="s">
        <v>262</v>
      </c>
      <c r="H75" t="s">
        <v>263</v>
      </c>
      <c r="J75" t="str">
        <f>HYPERLINK("https://www.facebook.com/454965103328545/posts/795187112639674?comment_id=1253163139392897&amp;reply_comment_id=1705991203496288","https://www.facebook.com/454965103328545/posts/795187112639674?comment_id=1253163139392897&amp;reply_comment_id=1705991203496288")</f>
        <v>https://www.facebook.com/454965103328545/posts/795187112639674?comment_id=1253163139392897&amp;reply_comment_id=1705991203496288</v>
      </c>
      <c r="O75">
        <v>0</v>
      </c>
      <c r="P75">
        <v>0</v>
      </c>
      <c r="Q75">
        <v>0</v>
      </c>
      <c r="S75">
        <v>0</v>
      </c>
      <c r="T75">
        <v>0</v>
      </c>
      <c r="U75">
        <v>0</v>
      </c>
      <c r="W75" t="s">
        <v>62</v>
      </c>
    </row>
    <row r="76" spans="1:23" x14ac:dyDescent="0.35">
      <c r="A76" t="s">
        <v>45</v>
      </c>
      <c r="B76" t="s">
        <v>207</v>
      </c>
      <c r="C76" t="s">
        <v>47</v>
      </c>
      <c r="D76" t="s">
        <v>45</v>
      </c>
      <c r="E76" t="s">
        <v>45</v>
      </c>
      <c r="F76" t="s">
        <v>49</v>
      </c>
      <c r="G76" t="s">
        <v>264</v>
      </c>
      <c r="H76" t="s">
        <v>265</v>
      </c>
      <c r="J76" t="str">
        <f>HYPERLINK("https://www.facebook.com/454965103328545/posts/795187112639674?comment_id=434606109015429&amp;reply_comment_id=818599453432473","https://www.facebook.com/454965103328545/posts/795187112639674?comment_id=434606109015429&amp;reply_comment_id=818599453432473")</f>
        <v>https://www.facebook.com/454965103328545/posts/795187112639674?comment_id=434606109015429&amp;reply_comment_id=818599453432473</v>
      </c>
      <c r="O76">
        <v>0</v>
      </c>
      <c r="P76">
        <v>0</v>
      </c>
      <c r="Q76">
        <v>0</v>
      </c>
      <c r="S76">
        <v>0</v>
      </c>
      <c r="T76">
        <v>0</v>
      </c>
      <c r="U76">
        <v>0</v>
      </c>
      <c r="W76" t="s">
        <v>62</v>
      </c>
    </row>
    <row r="77" spans="1:23" x14ac:dyDescent="0.35">
      <c r="A77" t="s">
        <v>45</v>
      </c>
      <c r="B77" t="s">
        <v>207</v>
      </c>
      <c r="C77" t="s">
        <v>47</v>
      </c>
      <c r="D77" t="s">
        <v>45</v>
      </c>
      <c r="E77" t="s">
        <v>45</v>
      </c>
      <c r="F77" t="s">
        <v>49</v>
      </c>
      <c r="G77" t="s">
        <v>266</v>
      </c>
      <c r="H77" t="s">
        <v>267</v>
      </c>
      <c r="J77" t="str">
        <f>HYPERLINK("https://www.facebook.com/357267201017935/inbox/7205574872853766/","https://www.facebook.com/357267201017935/inbox/7205574872853766/")</f>
        <v>https://www.facebook.com/357267201017935/inbox/7205574872853766/</v>
      </c>
      <c r="O77">
        <v>0</v>
      </c>
      <c r="P77">
        <v>0</v>
      </c>
      <c r="Q77">
        <v>0</v>
      </c>
      <c r="S77">
        <v>0</v>
      </c>
      <c r="T77">
        <v>0</v>
      </c>
      <c r="U77">
        <v>0</v>
      </c>
      <c r="W77" t="s">
        <v>52</v>
      </c>
    </row>
    <row r="78" spans="1:23" x14ac:dyDescent="0.35">
      <c r="A78" t="s">
        <v>45</v>
      </c>
      <c r="B78" t="s">
        <v>207</v>
      </c>
      <c r="C78" t="s">
        <v>63</v>
      </c>
      <c r="D78" t="s">
        <v>186</v>
      </c>
      <c r="E78" t="s">
        <v>186</v>
      </c>
      <c r="F78" t="s">
        <v>49</v>
      </c>
      <c r="G78" t="s">
        <v>268</v>
      </c>
      <c r="H78" t="s">
        <v>269</v>
      </c>
      <c r="J78" t="str">
        <f>HYPERLINK("https://www.instagram.com/p/C4ucfvtgGcP/","https://www.instagram.com/p/C4ucfvtgGcP/")</f>
        <v>https://www.instagram.com/p/C4ucfvtgGcP/</v>
      </c>
      <c r="O78">
        <v>0</v>
      </c>
      <c r="P78">
        <v>0</v>
      </c>
      <c r="Q78">
        <v>0</v>
      </c>
      <c r="S78">
        <v>0</v>
      </c>
      <c r="T78">
        <v>0</v>
      </c>
      <c r="U78">
        <v>0</v>
      </c>
      <c r="W78" t="s">
        <v>62</v>
      </c>
    </row>
    <row r="79" spans="1:23" x14ac:dyDescent="0.35">
      <c r="A79" t="s">
        <v>45</v>
      </c>
      <c r="B79" t="s">
        <v>207</v>
      </c>
      <c r="C79" t="s">
        <v>47</v>
      </c>
      <c r="D79" t="s">
        <v>45</v>
      </c>
      <c r="E79" t="s">
        <v>45</v>
      </c>
      <c r="F79" t="s">
        <v>49</v>
      </c>
      <c r="G79" t="s">
        <v>270</v>
      </c>
      <c r="H79" t="s">
        <v>271</v>
      </c>
      <c r="J79" t="str">
        <f>HYPERLINK("https://www.facebook.com/454965103328545/posts/795263512632034?comment_id=729458882671288&amp;reply_comment_id=433147989164456","https://www.facebook.com/454965103328545/posts/795263512632034?comment_id=729458882671288&amp;reply_comment_id=433147989164456")</f>
        <v>https://www.facebook.com/454965103328545/posts/795263512632034?comment_id=729458882671288&amp;reply_comment_id=433147989164456</v>
      </c>
      <c r="O79">
        <v>0</v>
      </c>
      <c r="P79">
        <v>0</v>
      </c>
      <c r="Q79">
        <v>0</v>
      </c>
      <c r="S79">
        <v>0</v>
      </c>
      <c r="T79">
        <v>0</v>
      </c>
      <c r="U79">
        <v>0</v>
      </c>
      <c r="W79" t="s">
        <v>62</v>
      </c>
    </row>
    <row r="80" spans="1:23" x14ac:dyDescent="0.35">
      <c r="A80" t="s">
        <v>45</v>
      </c>
      <c r="B80" t="s">
        <v>207</v>
      </c>
      <c r="C80" t="s">
        <v>139</v>
      </c>
      <c r="D80" t="s">
        <v>190</v>
      </c>
      <c r="E80" t="s">
        <v>45</v>
      </c>
      <c r="F80" t="s">
        <v>49</v>
      </c>
      <c r="G80" t="s">
        <v>272</v>
      </c>
      <c r="H80" t="s">
        <v>273</v>
      </c>
      <c r="J80" t="str">
        <f>HYPERLINK("https://twitter.com/FinoPaymntsBank/status/1774047046397559289","https://twitter.com/FinoPaymntsBank/status/1774047046397559289")</f>
        <v>https://twitter.com/FinoPaymntsBank/status/1774047046397559289</v>
      </c>
      <c r="K80" t="s">
        <v>145</v>
      </c>
      <c r="O80">
        <v>0</v>
      </c>
      <c r="P80">
        <v>0</v>
      </c>
      <c r="Q80">
        <v>8485</v>
      </c>
      <c r="R80" t="s">
        <v>193</v>
      </c>
      <c r="S80">
        <v>0</v>
      </c>
      <c r="T80">
        <v>0</v>
      </c>
      <c r="U80">
        <v>0</v>
      </c>
      <c r="W80" t="s">
        <v>146</v>
      </c>
    </row>
    <row r="81" spans="1:42" x14ac:dyDescent="0.35">
      <c r="A81" t="s">
        <v>45</v>
      </c>
      <c r="B81" t="s">
        <v>207</v>
      </c>
      <c r="C81" t="s">
        <v>47</v>
      </c>
      <c r="D81" t="s">
        <v>274</v>
      </c>
      <c r="E81" t="s">
        <v>274</v>
      </c>
      <c r="F81" t="s">
        <v>49</v>
      </c>
      <c r="G81" t="s">
        <v>275</v>
      </c>
      <c r="H81" t="s">
        <v>276</v>
      </c>
      <c r="J81" t="str">
        <f>HYPERLINK("https://www.facebook.com/454965103328545/posts/795975695894149?comment_id=363591280003798","https://www.facebook.com/454965103328545/posts/795975695894149?comment_id=363591280003798")</f>
        <v>https://www.facebook.com/454965103328545/posts/795975695894149?comment_id=363591280003798</v>
      </c>
      <c r="O81">
        <v>0</v>
      </c>
      <c r="P81">
        <v>0</v>
      </c>
      <c r="Q81">
        <v>0</v>
      </c>
      <c r="S81">
        <v>0</v>
      </c>
      <c r="T81">
        <v>0</v>
      </c>
      <c r="U81">
        <v>0</v>
      </c>
      <c r="W81" t="s">
        <v>62</v>
      </c>
    </row>
    <row r="82" spans="1:42" x14ac:dyDescent="0.35">
      <c r="A82" t="s">
        <v>45</v>
      </c>
      <c r="B82" t="s">
        <v>207</v>
      </c>
      <c r="C82" t="s">
        <v>58</v>
      </c>
      <c r="D82" t="s">
        <v>277</v>
      </c>
      <c r="E82" t="s">
        <v>277</v>
      </c>
      <c r="F82" t="s">
        <v>49</v>
      </c>
      <c r="G82" t="s">
        <v>278</v>
      </c>
      <c r="H82" t="s">
        <v>279</v>
      </c>
      <c r="J82" t="str">
        <f>HYPERLINK("https://www.youtube.com/watch?v=48SD2FJ3lxM&amp;lc=Ugwd6IKZlyhhg3gVEO14AaABAg.A1UsuHIjkuAA1bKp-9c-aM","https://www.youtube.com/watch?v=48SD2FJ3lxM&amp;lc=Ugwd6IKZlyhhg3gVEO14AaABAg.A1UsuHIjkuAA1bKp-9c-aM")</f>
        <v>https://www.youtube.com/watch?v=48SD2FJ3lxM&amp;lc=Ugwd6IKZlyhhg3gVEO14AaABAg.A1UsuHIjkuAA1bKp-9c-aM</v>
      </c>
      <c r="O82">
        <v>0</v>
      </c>
      <c r="P82">
        <v>0</v>
      </c>
      <c r="Q82">
        <v>0</v>
      </c>
      <c r="S82">
        <v>0</v>
      </c>
      <c r="T82">
        <v>0</v>
      </c>
      <c r="U82">
        <v>0</v>
      </c>
      <c r="W82" t="s">
        <v>62</v>
      </c>
    </row>
    <row r="83" spans="1:42" x14ac:dyDescent="0.35">
      <c r="A83" t="s">
        <v>45</v>
      </c>
      <c r="B83" t="s">
        <v>207</v>
      </c>
      <c r="C83" t="s">
        <v>47</v>
      </c>
      <c r="D83" t="s">
        <v>45</v>
      </c>
      <c r="E83" t="s">
        <v>45</v>
      </c>
      <c r="F83" t="s">
        <v>49</v>
      </c>
      <c r="G83" t="s">
        <v>280</v>
      </c>
      <c r="H83" t="s">
        <v>281</v>
      </c>
      <c r="J83" t="str">
        <f>HYPERLINK("https://www.facebook.com/357267201017935/inbox/2180804871997483/","https://www.facebook.com/357267201017935/inbox/2180804871997483/")</f>
        <v>https://www.facebook.com/357267201017935/inbox/2180804871997483/</v>
      </c>
      <c r="O83">
        <v>0</v>
      </c>
      <c r="P83">
        <v>0</v>
      </c>
      <c r="Q83">
        <v>0</v>
      </c>
      <c r="S83">
        <v>0</v>
      </c>
      <c r="T83">
        <v>0</v>
      </c>
      <c r="U83">
        <v>0</v>
      </c>
      <c r="W83" t="s">
        <v>52</v>
      </c>
    </row>
    <row r="84" spans="1:42" x14ac:dyDescent="0.35">
      <c r="A84" t="s">
        <v>45</v>
      </c>
      <c r="B84" t="s">
        <v>207</v>
      </c>
      <c r="C84" t="s">
        <v>63</v>
      </c>
      <c r="D84" t="s">
        <v>186</v>
      </c>
      <c r="E84" t="s">
        <v>186</v>
      </c>
      <c r="F84" t="s">
        <v>49</v>
      </c>
      <c r="G84" t="s">
        <v>282</v>
      </c>
      <c r="H84" t="s">
        <v>283</v>
      </c>
      <c r="J84" t="str">
        <f>HYPERLINK("https://www.instagram.com/reel/C5BPxOoI0c3/","https://www.instagram.com/reel/C5BPxOoI0c3/")</f>
        <v>https://www.instagram.com/reel/C5BPxOoI0c3/</v>
      </c>
      <c r="O84">
        <v>0</v>
      </c>
      <c r="P84">
        <v>0</v>
      </c>
      <c r="Q84">
        <v>0</v>
      </c>
      <c r="S84">
        <v>0</v>
      </c>
      <c r="T84">
        <v>0</v>
      </c>
      <c r="U84">
        <v>0</v>
      </c>
      <c r="W84" t="s">
        <v>62</v>
      </c>
    </row>
    <row r="85" spans="1:42" x14ac:dyDescent="0.35">
      <c r="A85" t="s">
        <v>45</v>
      </c>
      <c r="B85" t="s">
        <v>207</v>
      </c>
      <c r="C85" t="s">
        <v>47</v>
      </c>
      <c r="D85" t="s">
        <v>45</v>
      </c>
      <c r="E85" t="s">
        <v>45</v>
      </c>
      <c r="F85" t="s">
        <v>49</v>
      </c>
      <c r="G85" t="s">
        <v>284</v>
      </c>
      <c r="H85" t="s">
        <v>285</v>
      </c>
      <c r="J85" t="str">
        <f>HYPERLINK("https://www.facebook.com/454965103328545/posts/771906841634368?comment_id=1163543681663579&amp;reply_comment_id=916517083817991","https://www.facebook.com/454965103328545/posts/771906841634368?comment_id=1163543681663579&amp;reply_comment_id=916517083817991")</f>
        <v>https://www.facebook.com/454965103328545/posts/771906841634368?comment_id=1163543681663579&amp;reply_comment_id=916517083817991</v>
      </c>
      <c r="O85">
        <v>0</v>
      </c>
      <c r="P85">
        <v>0</v>
      </c>
      <c r="Q85">
        <v>0</v>
      </c>
      <c r="S85">
        <v>0</v>
      </c>
      <c r="T85">
        <v>0</v>
      </c>
      <c r="U85">
        <v>0</v>
      </c>
      <c r="W85" t="s">
        <v>62</v>
      </c>
    </row>
    <row r="86" spans="1:42" x14ac:dyDescent="0.35">
      <c r="A86" t="s">
        <v>45</v>
      </c>
      <c r="B86" t="s">
        <v>207</v>
      </c>
      <c r="C86" t="s">
        <v>47</v>
      </c>
      <c r="D86" t="s">
        <v>45</v>
      </c>
      <c r="E86" t="s">
        <v>45</v>
      </c>
      <c r="F86" t="s">
        <v>49</v>
      </c>
      <c r="G86" t="s">
        <v>286</v>
      </c>
      <c r="H86" t="s">
        <v>287</v>
      </c>
      <c r="J86" t="str">
        <f>HYPERLINK("https://www.facebook.com/454965103328545/posts/795975695894149?comment_id=938697750893477&amp;reply_comment_id=436528818815698","https://www.facebook.com/454965103328545/posts/795975695894149?comment_id=938697750893477&amp;reply_comment_id=436528818815698")</f>
        <v>https://www.facebook.com/454965103328545/posts/795975695894149?comment_id=938697750893477&amp;reply_comment_id=436528818815698</v>
      </c>
      <c r="O86">
        <v>0</v>
      </c>
      <c r="P86">
        <v>0</v>
      </c>
      <c r="Q86">
        <v>0</v>
      </c>
      <c r="S86">
        <v>0</v>
      </c>
      <c r="T86">
        <v>0</v>
      </c>
      <c r="U86">
        <v>0</v>
      </c>
      <c r="W86" t="s">
        <v>62</v>
      </c>
    </row>
    <row r="87" spans="1:42" x14ac:dyDescent="0.35">
      <c r="A87" t="s">
        <v>45</v>
      </c>
      <c r="B87" t="s">
        <v>207</v>
      </c>
      <c r="C87" t="s">
        <v>47</v>
      </c>
      <c r="D87" t="s">
        <v>45</v>
      </c>
      <c r="E87" t="s">
        <v>45</v>
      </c>
      <c r="F87" t="s">
        <v>49</v>
      </c>
      <c r="G87" t="s">
        <v>288</v>
      </c>
      <c r="H87" t="s">
        <v>289</v>
      </c>
      <c r="J87" t="str">
        <f>HYPERLINK("https://www.facebook.com/454965103328545/posts/795975695894149?comment_id=1138250334027095&amp;reply_comment_id=882972073518224","https://www.facebook.com/454965103328545/posts/795975695894149?comment_id=1138250334027095&amp;reply_comment_id=882972073518224")</f>
        <v>https://www.facebook.com/454965103328545/posts/795975695894149?comment_id=1138250334027095&amp;reply_comment_id=882972073518224</v>
      </c>
      <c r="O87">
        <v>0</v>
      </c>
      <c r="P87">
        <v>0</v>
      </c>
      <c r="Q87">
        <v>0</v>
      </c>
      <c r="S87">
        <v>0</v>
      </c>
      <c r="T87">
        <v>0</v>
      </c>
      <c r="U87">
        <v>0</v>
      </c>
      <c r="W87" t="s">
        <v>62</v>
      </c>
    </row>
    <row r="88" spans="1:42" x14ac:dyDescent="0.35">
      <c r="A88" t="s">
        <v>45</v>
      </c>
      <c r="B88" t="s">
        <v>207</v>
      </c>
      <c r="C88" t="s">
        <v>47</v>
      </c>
      <c r="D88" t="s">
        <v>45</v>
      </c>
      <c r="E88" t="s">
        <v>45</v>
      </c>
      <c r="F88" t="s">
        <v>49</v>
      </c>
      <c r="G88" t="s">
        <v>290</v>
      </c>
      <c r="H88" t="s">
        <v>291</v>
      </c>
      <c r="J88" t="str">
        <f>HYPERLINK("https://www.facebook.com/357267201017935/inbox/7130917956986125/","https://www.facebook.com/357267201017935/inbox/7130917956986125/")</f>
        <v>https://www.facebook.com/357267201017935/inbox/7130917956986125/</v>
      </c>
      <c r="O88">
        <v>0</v>
      </c>
      <c r="P88">
        <v>0</v>
      </c>
      <c r="Q88">
        <v>0</v>
      </c>
      <c r="S88">
        <v>0</v>
      </c>
      <c r="T88">
        <v>0</v>
      </c>
      <c r="U88">
        <v>0</v>
      </c>
      <c r="W88" t="s">
        <v>52</v>
      </c>
    </row>
    <row r="89" spans="1:42" x14ac:dyDescent="0.35">
      <c r="A89" t="s">
        <v>45</v>
      </c>
      <c r="B89" t="s">
        <v>207</v>
      </c>
      <c r="C89" t="s">
        <v>139</v>
      </c>
      <c r="D89" t="s">
        <v>190</v>
      </c>
      <c r="E89" t="s">
        <v>45</v>
      </c>
      <c r="F89" t="s">
        <v>49</v>
      </c>
      <c r="G89" t="s">
        <v>292</v>
      </c>
      <c r="H89" t="s">
        <v>293</v>
      </c>
      <c r="J89" t="str">
        <f>HYPERLINK("https://twitter.com/FinoPaymntsBank/status/1774043272794771845","https://twitter.com/FinoPaymntsBank/status/1774043272794771845")</f>
        <v>https://twitter.com/FinoPaymntsBank/status/1774043272794771845</v>
      </c>
      <c r="K89" t="s">
        <v>145</v>
      </c>
      <c r="O89">
        <v>0</v>
      </c>
      <c r="P89">
        <v>0</v>
      </c>
      <c r="Q89">
        <v>8485</v>
      </c>
      <c r="R89" t="s">
        <v>193</v>
      </c>
      <c r="S89">
        <v>0</v>
      </c>
      <c r="T89">
        <v>0</v>
      </c>
      <c r="U89">
        <v>0</v>
      </c>
      <c r="W89" t="s">
        <v>146</v>
      </c>
    </row>
    <row r="90" spans="1:42" x14ac:dyDescent="0.35">
      <c r="A90" t="s">
        <v>45</v>
      </c>
      <c r="B90" t="s">
        <v>207</v>
      </c>
      <c r="C90" t="s">
        <v>139</v>
      </c>
      <c r="D90" t="s">
        <v>190</v>
      </c>
      <c r="E90" t="s">
        <v>45</v>
      </c>
      <c r="F90" t="s">
        <v>49</v>
      </c>
      <c r="G90" t="s">
        <v>294</v>
      </c>
      <c r="H90" t="s">
        <v>295</v>
      </c>
      <c r="J90" t="str">
        <f>HYPERLINK("https://twitter.com/FinoPaymntsBank/status/1774043076312600578","https://twitter.com/FinoPaymntsBank/status/1774043076312600578")</f>
        <v>https://twitter.com/FinoPaymntsBank/status/1774043076312600578</v>
      </c>
      <c r="K90" t="s">
        <v>145</v>
      </c>
      <c r="O90">
        <v>0</v>
      </c>
      <c r="P90">
        <v>0</v>
      </c>
      <c r="Q90">
        <v>8485</v>
      </c>
      <c r="R90" t="s">
        <v>193</v>
      </c>
      <c r="S90">
        <v>0</v>
      </c>
      <c r="T90">
        <v>0</v>
      </c>
      <c r="U90">
        <v>0</v>
      </c>
      <c r="W90" t="s">
        <v>146</v>
      </c>
    </row>
    <row r="91" spans="1:42" x14ac:dyDescent="0.35">
      <c r="A91" t="s">
        <v>45</v>
      </c>
      <c r="B91" t="s">
        <v>207</v>
      </c>
      <c r="C91" t="s">
        <v>58</v>
      </c>
      <c r="D91" t="s">
        <v>277</v>
      </c>
      <c r="E91" t="s">
        <v>277</v>
      </c>
      <c r="F91" t="s">
        <v>49</v>
      </c>
      <c r="G91" t="s">
        <v>296</v>
      </c>
      <c r="H91" t="s">
        <v>297</v>
      </c>
      <c r="J91" t="str">
        <f>HYPERLINK("https://www.youtube.com/watch?v=0jykPZJIZUU&amp;lc=UgxoABLBhwIvNN5CUL54AaABAg.A1WXk0UKdEOA1bJ2Mu8Fvx","https://www.youtube.com/watch?v=0jykPZJIZUU&amp;lc=UgxoABLBhwIvNN5CUL54AaABAg.A1WXk0UKdEOA1bJ2Mu8Fvx")</f>
        <v>https://www.youtube.com/watch?v=0jykPZJIZUU&amp;lc=UgxoABLBhwIvNN5CUL54AaABAg.A1WXk0UKdEOA1bJ2Mu8Fvx</v>
      </c>
      <c r="O91">
        <v>0</v>
      </c>
      <c r="P91">
        <v>0</v>
      </c>
      <c r="Q91">
        <v>0</v>
      </c>
      <c r="S91">
        <v>0</v>
      </c>
      <c r="T91">
        <v>0</v>
      </c>
      <c r="U91">
        <v>0</v>
      </c>
      <c r="W91" t="s">
        <v>62</v>
      </c>
    </row>
    <row r="92" spans="1:42" x14ac:dyDescent="0.35">
      <c r="A92" t="s">
        <v>45</v>
      </c>
      <c r="B92" t="s">
        <v>207</v>
      </c>
      <c r="C92" t="s">
        <v>47</v>
      </c>
      <c r="D92" t="s">
        <v>45</v>
      </c>
      <c r="E92" t="s">
        <v>45</v>
      </c>
      <c r="F92" t="s">
        <v>49</v>
      </c>
      <c r="G92" t="s">
        <v>298</v>
      </c>
      <c r="H92" t="s">
        <v>299</v>
      </c>
      <c r="J92" t="str">
        <f>HYPERLINK("https://www.facebook.com/357267201017935/inbox/7208936699184250/","https://www.facebook.com/357267201017935/inbox/7208936699184250/")</f>
        <v>https://www.facebook.com/357267201017935/inbox/7208936699184250/</v>
      </c>
      <c r="O92">
        <v>0</v>
      </c>
      <c r="P92">
        <v>0</v>
      </c>
      <c r="Q92">
        <v>0</v>
      </c>
      <c r="S92">
        <v>0</v>
      </c>
      <c r="T92">
        <v>0</v>
      </c>
      <c r="U92">
        <v>0</v>
      </c>
      <c r="W92" t="s">
        <v>52</v>
      </c>
    </row>
    <row r="93" spans="1:42" x14ac:dyDescent="0.35">
      <c r="A93" t="s">
        <v>45</v>
      </c>
      <c r="B93" t="s">
        <v>207</v>
      </c>
      <c r="C93" t="s">
        <v>139</v>
      </c>
      <c r="D93" t="s">
        <v>190</v>
      </c>
      <c r="E93" t="s">
        <v>45</v>
      </c>
      <c r="F93" t="s">
        <v>49</v>
      </c>
      <c r="G93" t="s">
        <v>300</v>
      </c>
      <c r="H93" t="s">
        <v>301</v>
      </c>
      <c r="J93" t="str">
        <f>HYPERLINK("https://twitter.com/FinoPaymntsBank/status/1774042139502264364","https://twitter.com/FinoPaymntsBank/status/1774042139502264364")</f>
        <v>https://twitter.com/FinoPaymntsBank/status/1774042139502264364</v>
      </c>
      <c r="K93" t="s">
        <v>145</v>
      </c>
      <c r="O93">
        <v>0</v>
      </c>
      <c r="P93">
        <v>0</v>
      </c>
      <c r="Q93">
        <v>8485</v>
      </c>
      <c r="R93" t="s">
        <v>193</v>
      </c>
      <c r="S93">
        <v>0</v>
      </c>
      <c r="T93">
        <v>0</v>
      </c>
      <c r="U93">
        <v>0</v>
      </c>
      <c r="W93" t="s">
        <v>146</v>
      </c>
    </row>
    <row r="94" spans="1:42" x14ac:dyDescent="0.35">
      <c r="A94" t="s">
        <v>45</v>
      </c>
      <c r="B94" t="s">
        <v>207</v>
      </c>
      <c r="C94" t="s">
        <v>47</v>
      </c>
      <c r="D94" t="s">
        <v>45</v>
      </c>
      <c r="E94" t="s">
        <v>45</v>
      </c>
      <c r="F94" t="s">
        <v>49</v>
      </c>
      <c r="G94" t="s">
        <v>302</v>
      </c>
      <c r="H94" t="s">
        <v>303</v>
      </c>
      <c r="J94" t="str">
        <f>HYPERLINK("https://www.facebook.com/357267201017935/inbox/7209075355837051/","https://www.facebook.com/357267201017935/inbox/7209075355837051/")</f>
        <v>https://www.facebook.com/357267201017935/inbox/7209075355837051/</v>
      </c>
      <c r="O94">
        <v>0</v>
      </c>
      <c r="P94">
        <v>0</v>
      </c>
      <c r="Q94">
        <v>0</v>
      </c>
      <c r="S94">
        <v>0</v>
      </c>
      <c r="T94">
        <v>0</v>
      </c>
      <c r="U94">
        <v>0</v>
      </c>
      <c r="W94" t="s">
        <v>52</v>
      </c>
      <c r="AP94" t="s">
        <v>101</v>
      </c>
    </row>
    <row r="95" spans="1:42" x14ac:dyDescent="0.35">
      <c r="A95" t="s">
        <v>45</v>
      </c>
      <c r="B95" t="s">
        <v>207</v>
      </c>
      <c r="C95" t="s">
        <v>139</v>
      </c>
      <c r="D95" t="s">
        <v>190</v>
      </c>
      <c r="E95" t="s">
        <v>45</v>
      </c>
      <c r="F95" t="s">
        <v>49</v>
      </c>
      <c r="G95" t="s">
        <v>304</v>
      </c>
      <c r="H95" t="s">
        <v>305</v>
      </c>
      <c r="J95" t="str">
        <f>HYPERLINK("https://twitter.com/FinoPaymntsBank/status/1774041658088395178","https://twitter.com/FinoPaymntsBank/status/1774041658088395178")</f>
        <v>https://twitter.com/FinoPaymntsBank/status/1774041658088395178</v>
      </c>
      <c r="K95" t="s">
        <v>145</v>
      </c>
      <c r="O95">
        <v>0</v>
      </c>
      <c r="P95">
        <v>0</v>
      </c>
      <c r="Q95">
        <v>8485</v>
      </c>
      <c r="R95" t="s">
        <v>193</v>
      </c>
      <c r="S95">
        <v>0</v>
      </c>
      <c r="T95">
        <v>0</v>
      </c>
      <c r="U95">
        <v>0</v>
      </c>
      <c r="W95" t="s">
        <v>146</v>
      </c>
    </row>
    <row r="96" spans="1:42" x14ac:dyDescent="0.35">
      <c r="A96" t="s">
        <v>45</v>
      </c>
      <c r="B96" t="s">
        <v>207</v>
      </c>
      <c r="C96" t="s">
        <v>139</v>
      </c>
      <c r="D96" t="s">
        <v>190</v>
      </c>
      <c r="E96" t="s">
        <v>45</v>
      </c>
      <c r="F96" t="s">
        <v>49</v>
      </c>
      <c r="G96" t="s">
        <v>306</v>
      </c>
      <c r="H96" t="s">
        <v>307</v>
      </c>
      <c r="J96" t="str">
        <f>HYPERLINK("https://twitter.com/FinoPaymntsBank/status/1774041290159841492","https://twitter.com/FinoPaymntsBank/status/1774041290159841492")</f>
        <v>https://twitter.com/FinoPaymntsBank/status/1774041290159841492</v>
      </c>
      <c r="K96" t="s">
        <v>145</v>
      </c>
      <c r="O96">
        <v>0</v>
      </c>
      <c r="P96">
        <v>0</v>
      </c>
      <c r="Q96">
        <v>8485</v>
      </c>
      <c r="R96" t="s">
        <v>193</v>
      </c>
      <c r="S96">
        <v>0</v>
      </c>
      <c r="T96">
        <v>0</v>
      </c>
      <c r="U96">
        <v>0</v>
      </c>
      <c r="W96" t="s">
        <v>146</v>
      </c>
    </row>
    <row r="97" spans="1:42" x14ac:dyDescent="0.35">
      <c r="A97" t="s">
        <v>45</v>
      </c>
      <c r="B97" t="s">
        <v>207</v>
      </c>
      <c r="C97" t="s">
        <v>47</v>
      </c>
      <c r="D97" t="s">
        <v>308</v>
      </c>
      <c r="E97" t="s">
        <v>308</v>
      </c>
      <c r="F97" t="s">
        <v>49</v>
      </c>
      <c r="G97" t="s">
        <v>309</v>
      </c>
      <c r="H97" t="s">
        <v>310</v>
      </c>
      <c r="J97" t="str">
        <f>HYPERLINK("https://www.facebook.com/357267201017935/inbox/2808031775941453/","https://www.facebook.com/357267201017935/inbox/2808031775941453/")</f>
        <v>https://www.facebook.com/357267201017935/inbox/2808031775941453/</v>
      </c>
      <c r="O97">
        <v>0</v>
      </c>
      <c r="P97">
        <v>0</v>
      </c>
      <c r="Q97">
        <v>0</v>
      </c>
      <c r="S97">
        <v>0</v>
      </c>
      <c r="T97">
        <v>0</v>
      </c>
      <c r="U97">
        <v>0</v>
      </c>
      <c r="W97" t="s">
        <v>52</v>
      </c>
    </row>
    <row r="98" spans="1:42" x14ac:dyDescent="0.35">
      <c r="A98" t="s">
        <v>45</v>
      </c>
      <c r="B98" t="s">
        <v>207</v>
      </c>
      <c r="C98" t="s">
        <v>47</v>
      </c>
      <c r="D98" t="s">
        <v>308</v>
      </c>
      <c r="E98" t="s">
        <v>308</v>
      </c>
      <c r="F98" t="s">
        <v>49</v>
      </c>
      <c r="G98" t="s">
        <v>311</v>
      </c>
      <c r="H98" t="s">
        <v>312</v>
      </c>
      <c r="J98" t="str">
        <f>HYPERLINK("https://www.facebook.com/357267201017935/inbox/2808031775941453/","https://www.facebook.com/357267201017935/inbox/2808031775941453/")</f>
        <v>https://www.facebook.com/357267201017935/inbox/2808031775941453/</v>
      </c>
      <c r="O98">
        <v>0</v>
      </c>
      <c r="P98">
        <v>0</v>
      </c>
      <c r="Q98">
        <v>0</v>
      </c>
      <c r="S98">
        <v>0</v>
      </c>
      <c r="T98">
        <v>0</v>
      </c>
      <c r="U98">
        <v>0</v>
      </c>
      <c r="W98" t="s">
        <v>52</v>
      </c>
      <c r="AP98" t="s">
        <v>147</v>
      </c>
    </row>
    <row r="99" spans="1:42" x14ac:dyDescent="0.35">
      <c r="A99" t="s">
        <v>45</v>
      </c>
      <c r="B99" t="s">
        <v>207</v>
      </c>
      <c r="C99" t="s">
        <v>47</v>
      </c>
      <c r="D99" t="s">
        <v>308</v>
      </c>
      <c r="E99" t="s">
        <v>308</v>
      </c>
      <c r="F99" t="s">
        <v>49</v>
      </c>
      <c r="G99" t="s">
        <v>313</v>
      </c>
      <c r="H99" t="s">
        <v>314</v>
      </c>
      <c r="J99" t="str">
        <f>HYPERLINK("https://www.facebook.com/357267201017935/inbox/2808031775941453/","https://www.facebook.com/357267201017935/inbox/2808031775941453/")</f>
        <v>https://www.facebook.com/357267201017935/inbox/2808031775941453/</v>
      </c>
      <c r="O99">
        <v>0</v>
      </c>
      <c r="P99">
        <v>0</v>
      </c>
      <c r="Q99">
        <v>0</v>
      </c>
      <c r="S99">
        <v>0</v>
      </c>
      <c r="T99">
        <v>0</v>
      </c>
      <c r="U99">
        <v>0</v>
      </c>
      <c r="W99" t="s">
        <v>52</v>
      </c>
    </row>
    <row r="100" spans="1:42" x14ac:dyDescent="0.35">
      <c r="A100" t="s">
        <v>45</v>
      </c>
      <c r="B100" t="s">
        <v>207</v>
      </c>
      <c r="C100" t="s">
        <v>47</v>
      </c>
      <c r="D100" t="s">
        <v>308</v>
      </c>
      <c r="E100" t="s">
        <v>308</v>
      </c>
      <c r="F100" t="s">
        <v>49</v>
      </c>
      <c r="G100" t="s">
        <v>315</v>
      </c>
      <c r="H100" t="s">
        <v>316</v>
      </c>
      <c r="J100" t="str">
        <f>HYPERLINK("https://www.facebook.com/357267201017935/inbox/2808031775941453/","https://www.facebook.com/357267201017935/inbox/2808031775941453/")</f>
        <v>https://www.facebook.com/357267201017935/inbox/2808031775941453/</v>
      </c>
      <c r="O100">
        <v>0</v>
      </c>
      <c r="P100">
        <v>0</v>
      </c>
      <c r="Q100">
        <v>0</v>
      </c>
      <c r="S100">
        <v>0</v>
      </c>
      <c r="T100">
        <v>0</v>
      </c>
      <c r="U100">
        <v>0</v>
      </c>
      <c r="W100" t="s">
        <v>52</v>
      </c>
    </row>
    <row r="101" spans="1:42" x14ac:dyDescent="0.35">
      <c r="A101" t="s">
        <v>45</v>
      </c>
      <c r="B101" t="s">
        <v>207</v>
      </c>
      <c r="C101" t="s">
        <v>47</v>
      </c>
      <c r="D101" t="s">
        <v>308</v>
      </c>
      <c r="E101" t="s">
        <v>308</v>
      </c>
      <c r="F101" t="s">
        <v>49</v>
      </c>
      <c r="G101" t="s">
        <v>253</v>
      </c>
      <c r="H101" t="s">
        <v>317</v>
      </c>
      <c r="J101" t="str">
        <f>HYPERLINK("https://www.facebook.com/357267201017935/inbox/2808031775941453/","https://www.facebook.com/357267201017935/inbox/2808031775941453/")</f>
        <v>https://www.facebook.com/357267201017935/inbox/2808031775941453/</v>
      </c>
      <c r="O101">
        <v>0</v>
      </c>
      <c r="P101">
        <v>0</v>
      </c>
      <c r="Q101">
        <v>0</v>
      </c>
      <c r="S101">
        <v>0</v>
      </c>
      <c r="T101">
        <v>0</v>
      </c>
      <c r="U101">
        <v>0</v>
      </c>
      <c r="W101" t="s">
        <v>52</v>
      </c>
    </row>
    <row r="102" spans="1:42" x14ac:dyDescent="0.35">
      <c r="A102" t="s">
        <v>45</v>
      </c>
      <c r="B102" t="s">
        <v>207</v>
      </c>
      <c r="C102" t="s">
        <v>47</v>
      </c>
      <c r="D102" t="s">
        <v>45</v>
      </c>
      <c r="E102" t="s">
        <v>45</v>
      </c>
      <c r="F102" t="s">
        <v>49</v>
      </c>
      <c r="G102" t="s">
        <v>318</v>
      </c>
      <c r="H102" t="s">
        <v>319</v>
      </c>
      <c r="J102" t="str">
        <f>HYPERLINK("https://www.facebook.com/454965103328545/posts/795257599299292?comment_id=1913569415749845&amp;reply_comment_id=787680392818084","https://www.facebook.com/454965103328545/posts/795257599299292?comment_id=1913569415749845&amp;reply_comment_id=787680392818084")</f>
        <v>https://www.facebook.com/454965103328545/posts/795257599299292?comment_id=1913569415749845&amp;reply_comment_id=787680392818084</v>
      </c>
      <c r="O102">
        <v>0</v>
      </c>
      <c r="P102">
        <v>0</v>
      </c>
      <c r="Q102">
        <v>0</v>
      </c>
      <c r="S102">
        <v>0</v>
      </c>
      <c r="T102">
        <v>0</v>
      </c>
      <c r="U102">
        <v>0</v>
      </c>
      <c r="W102" t="s">
        <v>62</v>
      </c>
    </row>
    <row r="103" spans="1:42" x14ac:dyDescent="0.35">
      <c r="A103" t="s">
        <v>45</v>
      </c>
      <c r="B103" t="s">
        <v>207</v>
      </c>
      <c r="C103" t="s">
        <v>47</v>
      </c>
      <c r="D103" t="s">
        <v>45</v>
      </c>
      <c r="E103" t="s">
        <v>45</v>
      </c>
      <c r="F103" t="s">
        <v>49</v>
      </c>
      <c r="G103" t="s">
        <v>320</v>
      </c>
      <c r="H103" t="s">
        <v>321</v>
      </c>
      <c r="J103" t="str">
        <f>HYPERLINK("https://www.facebook.com/454965103328545/posts/795257599299292?comment_id=1105404430705708&amp;reply_comment_id=405305868797209","https://www.facebook.com/454965103328545/posts/795257599299292?comment_id=1105404430705708&amp;reply_comment_id=405305868797209")</f>
        <v>https://www.facebook.com/454965103328545/posts/795257599299292?comment_id=1105404430705708&amp;reply_comment_id=405305868797209</v>
      </c>
      <c r="O103">
        <v>0</v>
      </c>
      <c r="P103">
        <v>0</v>
      </c>
      <c r="Q103">
        <v>0</v>
      </c>
      <c r="S103">
        <v>0</v>
      </c>
      <c r="T103">
        <v>0</v>
      </c>
      <c r="U103">
        <v>0</v>
      </c>
      <c r="W103" t="s">
        <v>62</v>
      </c>
    </row>
    <row r="104" spans="1:42" x14ac:dyDescent="0.35">
      <c r="A104" t="s">
        <v>45</v>
      </c>
      <c r="B104" t="s">
        <v>207</v>
      </c>
      <c r="C104" t="s">
        <v>47</v>
      </c>
      <c r="D104" t="s">
        <v>45</v>
      </c>
      <c r="E104" t="s">
        <v>45</v>
      </c>
      <c r="F104" t="s">
        <v>49</v>
      </c>
      <c r="G104" t="s">
        <v>322</v>
      </c>
      <c r="H104" t="s">
        <v>323</v>
      </c>
      <c r="J104" t="str">
        <f>HYPERLINK("https://www.facebook.com/357267201017935/inbox/7210292922381961/","https://www.facebook.com/357267201017935/inbox/7210292922381961/")</f>
        <v>https://www.facebook.com/357267201017935/inbox/7210292922381961/</v>
      </c>
      <c r="O104">
        <v>0</v>
      </c>
      <c r="P104">
        <v>0</v>
      </c>
      <c r="Q104">
        <v>0</v>
      </c>
      <c r="S104">
        <v>0</v>
      </c>
      <c r="T104">
        <v>0</v>
      </c>
      <c r="U104">
        <v>0</v>
      </c>
      <c r="W104" t="s">
        <v>52</v>
      </c>
    </row>
    <row r="105" spans="1:42" x14ac:dyDescent="0.35">
      <c r="A105" t="s">
        <v>45</v>
      </c>
      <c r="B105" t="s">
        <v>207</v>
      </c>
      <c r="C105" t="s">
        <v>47</v>
      </c>
      <c r="D105" t="s">
        <v>45</v>
      </c>
      <c r="E105" t="s">
        <v>45</v>
      </c>
      <c r="F105" t="s">
        <v>49</v>
      </c>
      <c r="G105" t="s">
        <v>322</v>
      </c>
      <c r="H105" t="s">
        <v>324</v>
      </c>
      <c r="J105" t="str">
        <f>HYPERLINK("https://www.facebook.com/357267201017935/inbox/7210292922381961/","https://www.facebook.com/357267201017935/inbox/7210292922381961/")</f>
        <v>https://www.facebook.com/357267201017935/inbox/7210292922381961/</v>
      </c>
      <c r="O105">
        <v>0</v>
      </c>
      <c r="P105">
        <v>0</v>
      </c>
      <c r="Q105">
        <v>0</v>
      </c>
      <c r="S105">
        <v>0</v>
      </c>
      <c r="T105">
        <v>0</v>
      </c>
      <c r="U105">
        <v>0</v>
      </c>
      <c r="W105" t="s">
        <v>52</v>
      </c>
    </row>
    <row r="106" spans="1:42" x14ac:dyDescent="0.35">
      <c r="A106" t="s">
        <v>45</v>
      </c>
      <c r="B106" t="s">
        <v>207</v>
      </c>
      <c r="C106" t="s">
        <v>63</v>
      </c>
      <c r="D106" t="s">
        <v>186</v>
      </c>
      <c r="E106" t="s">
        <v>186</v>
      </c>
      <c r="F106" t="s">
        <v>49</v>
      </c>
      <c r="G106" t="s">
        <v>325</v>
      </c>
      <c r="H106" t="s">
        <v>326</v>
      </c>
      <c r="J106" t="str">
        <f>HYPERLINK("https://www.instagram.com/p/C2w6aNLgipi/","https://www.instagram.com/p/C2w6aNLgipi/")</f>
        <v>https://www.instagram.com/p/C2w6aNLgipi/</v>
      </c>
      <c r="O106">
        <v>0</v>
      </c>
      <c r="P106">
        <v>0</v>
      </c>
      <c r="Q106">
        <v>0</v>
      </c>
      <c r="S106">
        <v>0</v>
      </c>
      <c r="T106">
        <v>0</v>
      </c>
      <c r="U106">
        <v>0</v>
      </c>
      <c r="W106" t="s">
        <v>62</v>
      </c>
    </row>
    <row r="107" spans="1:42" x14ac:dyDescent="0.35">
      <c r="A107" t="s">
        <v>45</v>
      </c>
      <c r="B107" t="s">
        <v>207</v>
      </c>
      <c r="C107" t="s">
        <v>47</v>
      </c>
      <c r="D107" t="s">
        <v>45</v>
      </c>
      <c r="E107" t="s">
        <v>45</v>
      </c>
      <c r="F107" t="s">
        <v>49</v>
      </c>
      <c r="G107" t="s">
        <v>327</v>
      </c>
      <c r="H107" t="s">
        <v>328</v>
      </c>
      <c r="J107" t="str">
        <f>HYPERLINK("https://www.facebook.com/454965103328545/videos/1792369101228633?comment_id=1351161352239261&amp;reply_comment_id=2753167878175887","https://www.facebook.com/454965103328545/videos/1792369101228633?comment_id=1351161352239261&amp;reply_comment_id=2753167878175887")</f>
        <v>https://www.facebook.com/454965103328545/videos/1792369101228633?comment_id=1351161352239261&amp;reply_comment_id=2753167878175887</v>
      </c>
      <c r="O107">
        <v>0</v>
      </c>
      <c r="P107">
        <v>0</v>
      </c>
      <c r="Q107">
        <v>0</v>
      </c>
      <c r="S107">
        <v>0</v>
      </c>
      <c r="T107">
        <v>0</v>
      </c>
      <c r="U107">
        <v>0</v>
      </c>
      <c r="W107" t="s">
        <v>62</v>
      </c>
    </row>
    <row r="108" spans="1:42" x14ac:dyDescent="0.35">
      <c r="A108" t="s">
        <v>45</v>
      </c>
      <c r="B108" t="s">
        <v>207</v>
      </c>
      <c r="C108" t="s">
        <v>47</v>
      </c>
      <c r="D108" t="s">
        <v>45</v>
      </c>
      <c r="E108" t="s">
        <v>45</v>
      </c>
      <c r="F108" t="s">
        <v>49</v>
      </c>
      <c r="G108" t="s">
        <v>329</v>
      </c>
      <c r="H108" t="s">
        <v>330</v>
      </c>
      <c r="J108" t="str">
        <f>HYPERLINK("https://www.facebook.com/357267201017935/inbox/2808031775941453/","https://www.facebook.com/357267201017935/inbox/2808031775941453/")</f>
        <v>https://www.facebook.com/357267201017935/inbox/2808031775941453/</v>
      </c>
      <c r="O108">
        <v>0</v>
      </c>
      <c r="P108">
        <v>0</v>
      </c>
      <c r="Q108">
        <v>0</v>
      </c>
      <c r="S108">
        <v>0</v>
      </c>
      <c r="T108">
        <v>0</v>
      </c>
      <c r="U108">
        <v>0</v>
      </c>
      <c r="W108" t="s">
        <v>52</v>
      </c>
      <c r="AP108" t="s">
        <v>147</v>
      </c>
    </row>
    <row r="109" spans="1:42" x14ac:dyDescent="0.35">
      <c r="A109" t="s">
        <v>45</v>
      </c>
      <c r="B109" t="s">
        <v>207</v>
      </c>
      <c r="C109" t="s">
        <v>47</v>
      </c>
      <c r="D109" t="s">
        <v>45</v>
      </c>
      <c r="E109" t="s">
        <v>45</v>
      </c>
      <c r="F109" t="s">
        <v>49</v>
      </c>
      <c r="G109" t="s">
        <v>331</v>
      </c>
      <c r="H109" t="s">
        <v>332</v>
      </c>
      <c r="J109" t="str">
        <f>HYPERLINK("https://www.facebook.com/357267201017935/inbox/2808031775941453/","https://www.facebook.com/357267201017935/inbox/2808031775941453/")</f>
        <v>https://www.facebook.com/357267201017935/inbox/2808031775941453/</v>
      </c>
      <c r="O109">
        <v>0</v>
      </c>
      <c r="P109">
        <v>0</v>
      </c>
      <c r="Q109">
        <v>0</v>
      </c>
      <c r="S109">
        <v>0</v>
      </c>
      <c r="T109">
        <v>0</v>
      </c>
      <c r="U109">
        <v>0</v>
      </c>
      <c r="W109" t="s">
        <v>52</v>
      </c>
    </row>
    <row r="110" spans="1:42" x14ac:dyDescent="0.35">
      <c r="A110" t="s">
        <v>45</v>
      </c>
      <c r="B110" t="s">
        <v>207</v>
      </c>
      <c r="C110" t="s">
        <v>47</v>
      </c>
      <c r="D110" t="s">
        <v>45</v>
      </c>
      <c r="E110" t="s">
        <v>45</v>
      </c>
      <c r="F110" t="s">
        <v>49</v>
      </c>
      <c r="G110" t="s">
        <v>333</v>
      </c>
      <c r="H110" t="s">
        <v>334</v>
      </c>
      <c r="J110" t="str">
        <f>HYPERLINK("https://www.facebook.com/357267201017935/inbox/2808031775941453/","https://www.facebook.com/357267201017935/inbox/2808031775941453/")</f>
        <v>https://www.facebook.com/357267201017935/inbox/2808031775941453/</v>
      </c>
      <c r="O110">
        <v>0</v>
      </c>
      <c r="P110">
        <v>0</v>
      </c>
      <c r="Q110">
        <v>0</v>
      </c>
      <c r="S110">
        <v>0</v>
      </c>
      <c r="T110">
        <v>0</v>
      </c>
      <c r="U110">
        <v>0</v>
      </c>
      <c r="W110" t="s">
        <v>52</v>
      </c>
    </row>
    <row r="111" spans="1:42" x14ac:dyDescent="0.35">
      <c r="A111" t="s">
        <v>45</v>
      </c>
      <c r="B111" t="s">
        <v>207</v>
      </c>
      <c r="C111" t="s">
        <v>47</v>
      </c>
      <c r="D111" t="s">
        <v>45</v>
      </c>
      <c r="E111" t="s">
        <v>45</v>
      </c>
      <c r="F111" t="s">
        <v>49</v>
      </c>
      <c r="G111" t="s">
        <v>333</v>
      </c>
      <c r="H111" t="s">
        <v>335</v>
      </c>
      <c r="J111" t="str">
        <f>HYPERLINK("https://www.facebook.com/357267201017935/inbox/2808031775941453/","https://www.facebook.com/357267201017935/inbox/2808031775941453/")</f>
        <v>https://www.facebook.com/357267201017935/inbox/2808031775941453/</v>
      </c>
      <c r="O111">
        <v>0</v>
      </c>
      <c r="P111">
        <v>0</v>
      </c>
      <c r="Q111">
        <v>0</v>
      </c>
      <c r="S111">
        <v>0</v>
      </c>
      <c r="T111">
        <v>0</v>
      </c>
      <c r="U111">
        <v>0</v>
      </c>
      <c r="W111" t="s">
        <v>52</v>
      </c>
    </row>
    <row r="112" spans="1:42" x14ac:dyDescent="0.35">
      <c r="A112" t="s">
        <v>45</v>
      </c>
      <c r="B112" t="s">
        <v>207</v>
      </c>
      <c r="C112" t="s">
        <v>47</v>
      </c>
      <c r="D112" t="s">
        <v>45</v>
      </c>
      <c r="E112" t="s">
        <v>45</v>
      </c>
      <c r="F112" t="s">
        <v>49</v>
      </c>
      <c r="G112" t="s">
        <v>336</v>
      </c>
      <c r="H112" t="s">
        <v>337</v>
      </c>
      <c r="J112" t="str">
        <f>HYPERLINK("https://www.facebook.com/357267201017935/inbox/7211928172218436/","https://www.facebook.com/357267201017935/inbox/7211928172218436/")</f>
        <v>https://www.facebook.com/357267201017935/inbox/7211928172218436/</v>
      </c>
      <c r="O112">
        <v>0</v>
      </c>
      <c r="P112">
        <v>0</v>
      </c>
      <c r="Q112">
        <v>0</v>
      </c>
      <c r="S112">
        <v>0</v>
      </c>
      <c r="T112">
        <v>0</v>
      </c>
      <c r="U112">
        <v>0</v>
      </c>
      <c r="W112" t="s">
        <v>52</v>
      </c>
    </row>
    <row r="113" spans="1:42" x14ac:dyDescent="0.35">
      <c r="A113" t="s">
        <v>45</v>
      </c>
      <c r="B113" t="s">
        <v>207</v>
      </c>
      <c r="C113" t="s">
        <v>47</v>
      </c>
      <c r="D113" t="s">
        <v>45</v>
      </c>
      <c r="E113" t="s">
        <v>45</v>
      </c>
      <c r="F113" t="s">
        <v>49</v>
      </c>
      <c r="G113" t="s">
        <v>338</v>
      </c>
      <c r="H113" t="s">
        <v>339</v>
      </c>
      <c r="J113" t="str">
        <f>HYPERLINK("https://www.facebook.com/357267201017935/inbox/7213265995417987/","https://www.facebook.com/357267201017935/inbox/7213265995417987/")</f>
        <v>https://www.facebook.com/357267201017935/inbox/7213265995417987/</v>
      </c>
      <c r="O113">
        <v>0</v>
      </c>
      <c r="P113">
        <v>0</v>
      </c>
      <c r="Q113">
        <v>0</v>
      </c>
      <c r="S113">
        <v>0</v>
      </c>
      <c r="T113">
        <v>0</v>
      </c>
      <c r="U113">
        <v>0</v>
      </c>
      <c r="W113" t="s">
        <v>52</v>
      </c>
    </row>
    <row r="114" spans="1:42" x14ac:dyDescent="0.35">
      <c r="A114" t="s">
        <v>45</v>
      </c>
      <c r="B114" t="s">
        <v>207</v>
      </c>
      <c r="C114" t="s">
        <v>47</v>
      </c>
      <c r="D114" t="s">
        <v>45</v>
      </c>
      <c r="E114" t="s">
        <v>45</v>
      </c>
      <c r="F114" t="s">
        <v>49</v>
      </c>
      <c r="G114" t="s">
        <v>340</v>
      </c>
      <c r="H114" t="s">
        <v>341</v>
      </c>
      <c r="J114" t="str">
        <f>HYPERLINK("https://www.facebook.com/357267201017935/inbox/7213265995417987/","https://www.facebook.com/357267201017935/inbox/7213265995417987/")</f>
        <v>https://www.facebook.com/357267201017935/inbox/7213265995417987/</v>
      </c>
      <c r="O114">
        <v>0</v>
      </c>
      <c r="P114">
        <v>0</v>
      </c>
      <c r="Q114">
        <v>0</v>
      </c>
      <c r="S114">
        <v>0</v>
      </c>
      <c r="T114">
        <v>0</v>
      </c>
      <c r="U114">
        <v>0</v>
      </c>
      <c r="W114" t="s">
        <v>52</v>
      </c>
    </row>
    <row r="115" spans="1:42" x14ac:dyDescent="0.35">
      <c r="A115" t="s">
        <v>45</v>
      </c>
      <c r="B115" t="s">
        <v>207</v>
      </c>
      <c r="C115" t="s">
        <v>47</v>
      </c>
      <c r="D115" t="s">
        <v>45</v>
      </c>
      <c r="E115" t="s">
        <v>45</v>
      </c>
      <c r="F115" t="s">
        <v>49</v>
      </c>
      <c r="G115" t="s">
        <v>338</v>
      </c>
      <c r="H115" t="s">
        <v>342</v>
      </c>
      <c r="J115" t="str">
        <f>HYPERLINK("https://www.facebook.com/357267201017935/inbox/7213265995417987/","https://www.facebook.com/357267201017935/inbox/7213265995417987/")</f>
        <v>https://www.facebook.com/357267201017935/inbox/7213265995417987/</v>
      </c>
      <c r="O115">
        <v>0</v>
      </c>
      <c r="P115">
        <v>0</v>
      </c>
      <c r="Q115">
        <v>0</v>
      </c>
      <c r="S115">
        <v>0</v>
      </c>
      <c r="T115">
        <v>0</v>
      </c>
      <c r="U115">
        <v>0</v>
      </c>
      <c r="W115" t="s">
        <v>52</v>
      </c>
    </row>
    <row r="116" spans="1:42" x14ac:dyDescent="0.35">
      <c r="A116" t="s">
        <v>45</v>
      </c>
      <c r="B116" t="s">
        <v>207</v>
      </c>
      <c r="C116" t="s">
        <v>63</v>
      </c>
      <c r="D116" t="s">
        <v>186</v>
      </c>
      <c r="E116" t="s">
        <v>186</v>
      </c>
      <c r="F116" t="s">
        <v>49</v>
      </c>
      <c r="G116" t="s">
        <v>343</v>
      </c>
      <c r="H116" t="s">
        <v>344</v>
      </c>
      <c r="J116" t="str">
        <f>HYPERLINK("https://www.instagram.com/reel/C5BPxOoI0c3/","https://www.instagram.com/reel/C5BPxOoI0c3/")</f>
        <v>https://www.instagram.com/reel/C5BPxOoI0c3/</v>
      </c>
      <c r="O116">
        <v>0</v>
      </c>
      <c r="P116">
        <v>0</v>
      </c>
      <c r="Q116">
        <v>0</v>
      </c>
      <c r="S116">
        <v>0</v>
      </c>
      <c r="T116">
        <v>0</v>
      </c>
      <c r="U116">
        <v>0</v>
      </c>
      <c r="W116" t="s">
        <v>62</v>
      </c>
      <c r="AP116" t="s">
        <v>101</v>
      </c>
    </row>
    <row r="117" spans="1:42" x14ac:dyDescent="0.35">
      <c r="A117" t="s">
        <v>45</v>
      </c>
      <c r="B117" t="s">
        <v>207</v>
      </c>
      <c r="C117" t="s">
        <v>47</v>
      </c>
      <c r="D117" t="s">
        <v>45</v>
      </c>
      <c r="E117" t="s">
        <v>45</v>
      </c>
      <c r="F117" t="s">
        <v>49</v>
      </c>
      <c r="G117" t="s">
        <v>345</v>
      </c>
      <c r="H117" t="s">
        <v>346</v>
      </c>
      <c r="J117" t="str">
        <f>HYPERLINK("https://www.facebook.com/454965103328545/posts/796483409176711?comment_id=7043533755774889&amp;reply_comment_id=3250951408547630","https://www.facebook.com/454965103328545/posts/796483409176711?comment_id=7043533755774889&amp;reply_comment_id=3250951408547630")</f>
        <v>https://www.facebook.com/454965103328545/posts/796483409176711?comment_id=7043533755774889&amp;reply_comment_id=3250951408547630</v>
      </c>
      <c r="O117">
        <v>0</v>
      </c>
      <c r="P117">
        <v>0</v>
      </c>
      <c r="Q117">
        <v>0</v>
      </c>
      <c r="S117">
        <v>0</v>
      </c>
      <c r="T117">
        <v>0</v>
      </c>
      <c r="U117">
        <v>0</v>
      </c>
      <c r="W117" t="s">
        <v>62</v>
      </c>
    </row>
    <row r="118" spans="1:42" x14ac:dyDescent="0.35">
      <c r="A118" t="s">
        <v>45</v>
      </c>
      <c r="B118" t="s">
        <v>207</v>
      </c>
      <c r="C118" t="s">
        <v>63</v>
      </c>
      <c r="D118" t="s">
        <v>186</v>
      </c>
      <c r="E118" t="s">
        <v>186</v>
      </c>
      <c r="F118" t="s">
        <v>49</v>
      </c>
      <c r="G118" t="s">
        <v>347</v>
      </c>
      <c r="H118" t="s">
        <v>348</v>
      </c>
      <c r="J118" t="str">
        <f>HYPERLINK("https://www.instagram.com/p/C4-dCbPqjis/","https://www.instagram.com/p/C4-dCbPqjis/")</f>
        <v>https://www.instagram.com/p/C4-dCbPqjis/</v>
      </c>
      <c r="O118">
        <v>0</v>
      </c>
      <c r="P118">
        <v>0</v>
      </c>
      <c r="Q118">
        <v>0</v>
      </c>
      <c r="S118">
        <v>0</v>
      </c>
      <c r="T118">
        <v>0</v>
      </c>
      <c r="U118">
        <v>0</v>
      </c>
      <c r="W118" t="s">
        <v>62</v>
      </c>
    </row>
    <row r="119" spans="1:42" x14ac:dyDescent="0.35">
      <c r="A119" t="s">
        <v>45</v>
      </c>
      <c r="B119" t="s">
        <v>207</v>
      </c>
      <c r="C119" t="s">
        <v>139</v>
      </c>
      <c r="D119" t="s">
        <v>190</v>
      </c>
      <c r="E119" t="s">
        <v>45</v>
      </c>
      <c r="F119" t="s">
        <v>49</v>
      </c>
      <c r="G119" t="s">
        <v>349</v>
      </c>
      <c r="H119" t="s">
        <v>350</v>
      </c>
      <c r="J119" t="str">
        <f>HYPERLINK("https://twitter.com/FinoPaymntsBank/status/1774037494570582453","https://twitter.com/FinoPaymntsBank/status/1774037494570582453")</f>
        <v>https://twitter.com/FinoPaymntsBank/status/1774037494570582453</v>
      </c>
      <c r="K119" t="s">
        <v>145</v>
      </c>
      <c r="O119">
        <v>0</v>
      </c>
      <c r="P119">
        <v>0</v>
      </c>
      <c r="Q119">
        <v>8485</v>
      </c>
      <c r="R119" t="s">
        <v>193</v>
      </c>
      <c r="S119">
        <v>0</v>
      </c>
      <c r="T119">
        <v>0</v>
      </c>
      <c r="U119">
        <v>0</v>
      </c>
      <c r="W119" t="s">
        <v>146</v>
      </c>
    </row>
    <row r="120" spans="1:42" x14ac:dyDescent="0.35">
      <c r="A120" t="s">
        <v>45</v>
      </c>
      <c r="B120" t="s">
        <v>207</v>
      </c>
      <c r="C120" t="s">
        <v>47</v>
      </c>
      <c r="D120" t="s">
        <v>45</v>
      </c>
      <c r="E120" t="s">
        <v>45</v>
      </c>
      <c r="F120" t="s">
        <v>49</v>
      </c>
      <c r="G120" t="s">
        <v>351</v>
      </c>
      <c r="H120" t="s">
        <v>352</v>
      </c>
      <c r="J120" t="str">
        <f>HYPERLINK("https://www.facebook.com/357267201017935/inbox/7215100548567865/","https://www.facebook.com/357267201017935/inbox/7215100548567865/")</f>
        <v>https://www.facebook.com/357267201017935/inbox/7215100548567865/</v>
      </c>
      <c r="O120">
        <v>0</v>
      </c>
      <c r="P120">
        <v>0</v>
      </c>
      <c r="Q120">
        <v>0</v>
      </c>
      <c r="S120">
        <v>0</v>
      </c>
      <c r="T120">
        <v>0</v>
      </c>
      <c r="U120">
        <v>0</v>
      </c>
      <c r="W120" t="s">
        <v>52</v>
      </c>
    </row>
    <row r="121" spans="1:42" x14ac:dyDescent="0.35">
      <c r="A121" t="s">
        <v>45</v>
      </c>
      <c r="B121" t="s">
        <v>207</v>
      </c>
      <c r="C121" t="s">
        <v>47</v>
      </c>
      <c r="D121" t="s">
        <v>45</v>
      </c>
      <c r="E121" t="s">
        <v>45</v>
      </c>
      <c r="F121" t="s">
        <v>49</v>
      </c>
      <c r="G121" t="s">
        <v>353</v>
      </c>
      <c r="H121" t="s">
        <v>354</v>
      </c>
      <c r="J121" t="str">
        <f>HYPERLINK("https://www.facebook.com/357267201017935/inbox/7215358361875417/","https://www.facebook.com/357267201017935/inbox/7215358361875417/")</f>
        <v>https://www.facebook.com/357267201017935/inbox/7215358361875417/</v>
      </c>
      <c r="O121">
        <v>0</v>
      </c>
      <c r="P121">
        <v>0</v>
      </c>
      <c r="Q121">
        <v>0</v>
      </c>
      <c r="S121">
        <v>0</v>
      </c>
      <c r="T121">
        <v>0</v>
      </c>
      <c r="U121">
        <v>0</v>
      </c>
      <c r="W121" t="s">
        <v>52</v>
      </c>
    </row>
    <row r="122" spans="1:42" x14ac:dyDescent="0.35">
      <c r="A122" t="s">
        <v>45</v>
      </c>
      <c r="B122" t="s">
        <v>207</v>
      </c>
      <c r="C122" t="s">
        <v>47</v>
      </c>
      <c r="D122" t="s">
        <v>45</v>
      </c>
      <c r="E122" t="s">
        <v>45</v>
      </c>
      <c r="F122" t="s">
        <v>49</v>
      </c>
      <c r="G122" t="s">
        <v>355</v>
      </c>
      <c r="H122" t="s">
        <v>356</v>
      </c>
      <c r="J122" t="str">
        <f>HYPERLINK("https://www.facebook.com/357267201017935/inbox/7216310591780194/","https://www.facebook.com/357267201017935/inbox/7216310591780194/")</f>
        <v>https://www.facebook.com/357267201017935/inbox/7216310591780194/</v>
      </c>
      <c r="O122">
        <v>0</v>
      </c>
      <c r="P122">
        <v>0</v>
      </c>
      <c r="Q122">
        <v>0</v>
      </c>
      <c r="S122">
        <v>0</v>
      </c>
      <c r="T122">
        <v>0</v>
      </c>
      <c r="U122">
        <v>0</v>
      </c>
      <c r="W122" t="s">
        <v>52</v>
      </c>
    </row>
    <row r="123" spans="1:42" x14ac:dyDescent="0.35">
      <c r="A123" t="s">
        <v>45</v>
      </c>
      <c r="B123" t="s">
        <v>207</v>
      </c>
      <c r="C123" t="s">
        <v>47</v>
      </c>
      <c r="D123" t="s">
        <v>45</v>
      </c>
      <c r="E123" t="s">
        <v>45</v>
      </c>
      <c r="F123" t="s">
        <v>49</v>
      </c>
      <c r="G123" t="s">
        <v>357</v>
      </c>
      <c r="H123" t="s">
        <v>358</v>
      </c>
      <c r="J123" t="str">
        <f>HYPERLINK("https://www.facebook.com/357267201017935/inbox/7216574791753774/","https://www.facebook.com/357267201017935/inbox/7216574791753774/")</f>
        <v>https://www.facebook.com/357267201017935/inbox/7216574791753774/</v>
      </c>
      <c r="O123">
        <v>0</v>
      </c>
      <c r="P123">
        <v>0</v>
      </c>
      <c r="Q123">
        <v>0</v>
      </c>
      <c r="S123">
        <v>0</v>
      </c>
      <c r="T123">
        <v>0</v>
      </c>
      <c r="U123">
        <v>0</v>
      </c>
      <c r="W123" t="s">
        <v>52</v>
      </c>
    </row>
    <row r="124" spans="1:42" x14ac:dyDescent="0.35">
      <c r="A124" t="s">
        <v>45</v>
      </c>
      <c r="B124" t="s">
        <v>207</v>
      </c>
      <c r="C124" t="s">
        <v>63</v>
      </c>
      <c r="D124" t="s">
        <v>186</v>
      </c>
      <c r="E124" t="s">
        <v>186</v>
      </c>
      <c r="F124" t="s">
        <v>49</v>
      </c>
      <c r="G124" t="s">
        <v>359</v>
      </c>
      <c r="H124" t="s">
        <v>360</v>
      </c>
      <c r="J124" t="str">
        <f>HYPERLINK("https://www.instagram.com/reel/C5GLcqcq7A4/","https://www.instagram.com/reel/C5GLcqcq7A4/")</f>
        <v>https://www.instagram.com/reel/C5GLcqcq7A4/</v>
      </c>
      <c r="O124">
        <v>0</v>
      </c>
      <c r="P124">
        <v>0</v>
      </c>
      <c r="Q124">
        <v>0</v>
      </c>
      <c r="S124">
        <v>0</v>
      </c>
      <c r="T124">
        <v>0</v>
      </c>
      <c r="U124">
        <v>0</v>
      </c>
      <c r="W124" t="s">
        <v>62</v>
      </c>
    </row>
    <row r="125" spans="1:42" x14ac:dyDescent="0.35">
      <c r="A125" t="s">
        <v>45</v>
      </c>
      <c r="B125" t="s">
        <v>207</v>
      </c>
      <c r="C125" t="s">
        <v>47</v>
      </c>
      <c r="D125" t="s">
        <v>45</v>
      </c>
      <c r="E125" t="s">
        <v>45</v>
      </c>
      <c r="F125" t="s">
        <v>49</v>
      </c>
      <c r="G125" t="s">
        <v>361</v>
      </c>
      <c r="H125" t="s">
        <v>362</v>
      </c>
      <c r="J125" t="str">
        <f>HYPERLINK("https://www.facebook.com/357267201017935/inbox/7217227415021845/","https://www.facebook.com/357267201017935/inbox/7217227415021845/")</f>
        <v>https://www.facebook.com/357267201017935/inbox/7217227415021845/</v>
      </c>
      <c r="O125">
        <v>0</v>
      </c>
      <c r="P125">
        <v>0</v>
      </c>
      <c r="Q125">
        <v>0</v>
      </c>
      <c r="S125">
        <v>0</v>
      </c>
      <c r="T125">
        <v>0</v>
      </c>
      <c r="U125">
        <v>0</v>
      </c>
      <c r="W125" t="s">
        <v>52</v>
      </c>
    </row>
    <row r="126" spans="1:42" x14ac:dyDescent="0.35">
      <c r="A126" t="s">
        <v>45</v>
      </c>
      <c r="B126" t="s">
        <v>207</v>
      </c>
      <c r="C126" t="s">
        <v>139</v>
      </c>
      <c r="D126" t="s">
        <v>190</v>
      </c>
      <c r="E126" t="s">
        <v>45</v>
      </c>
      <c r="F126" t="s">
        <v>49</v>
      </c>
      <c r="G126" t="s">
        <v>363</v>
      </c>
      <c r="H126" t="s">
        <v>364</v>
      </c>
      <c r="J126" t="str">
        <f>HYPERLINK("https://twitter.com/FinoPaymntsBank/status/1774036471093363016","https://twitter.com/FinoPaymntsBank/status/1774036471093363016")</f>
        <v>https://twitter.com/FinoPaymntsBank/status/1774036471093363016</v>
      </c>
      <c r="K126" t="s">
        <v>145</v>
      </c>
      <c r="O126">
        <v>0</v>
      </c>
      <c r="P126">
        <v>0</v>
      </c>
      <c r="Q126">
        <v>8485</v>
      </c>
      <c r="R126" t="s">
        <v>193</v>
      </c>
      <c r="S126">
        <v>0</v>
      </c>
      <c r="T126">
        <v>0</v>
      </c>
      <c r="U126">
        <v>0</v>
      </c>
      <c r="W126" t="s">
        <v>146</v>
      </c>
    </row>
    <row r="127" spans="1:42" x14ac:dyDescent="0.35">
      <c r="A127" t="s">
        <v>45</v>
      </c>
      <c r="B127" t="s">
        <v>207</v>
      </c>
      <c r="C127" t="s">
        <v>47</v>
      </c>
      <c r="D127" t="s">
        <v>45</v>
      </c>
      <c r="E127" t="s">
        <v>45</v>
      </c>
      <c r="F127" t="s">
        <v>49</v>
      </c>
      <c r="G127" t="s">
        <v>365</v>
      </c>
      <c r="H127" t="s">
        <v>366</v>
      </c>
      <c r="J127" t="str">
        <f>HYPERLINK("https://www.facebook.com/357267201017935/posts/2530629427015024/?comment_id=1066174864470321&amp;reply_comment_id=922069196313592","https://www.facebook.com/357267201017935/posts/2530629427015024/?comment_id=1066174864470321&amp;reply_comment_id=922069196313592")</f>
        <v>https://www.facebook.com/357267201017935/posts/2530629427015024/?comment_id=1066174864470321&amp;reply_comment_id=922069196313592</v>
      </c>
      <c r="O127">
        <v>0</v>
      </c>
      <c r="P127">
        <v>0</v>
      </c>
      <c r="Q127">
        <v>0</v>
      </c>
      <c r="S127">
        <v>0</v>
      </c>
      <c r="T127">
        <v>0</v>
      </c>
      <c r="U127">
        <v>0</v>
      </c>
      <c r="W127" t="s">
        <v>62</v>
      </c>
    </row>
    <row r="128" spans="1:42" x14ac:dyDescent="0.35">
      <c r="A128" t="s">
        <v>45</v>
      </c>
      <c r="B128" t="s">
        <v>207</v>
      </c>
      <c r="C128" t="s">
        <v>47</v>
      </c>
      <c r="D128" t="s">
        <v>45</v>
      </c>
      <c r="E128" t="s">
        <v>45</v>
      </c>
      <c r="F128" t="s">
        <v>49</v>
      </c>
      <c r="G128" t="s">
        <v>367</v>
      </c>
      <c r="H128" t="s">
        <v>368</v>
      </c>
      <c r="J128" t="str">
        <f>HYPERLINK("https://www.facebook.com/357267201017935/inbox/7218045968273323/","https://www.facebook.com/357267201017935/inbox/7218045968273323/")</f>
        <v>https://www.facebook.com/357267201017935/inbox/7218045968273323/</v>
      </c>
      <c r="O128">
        <v>0</v>
      </c>
      <c r="P128">
        <v>0</v>
      </c>
      <c r="Q128">
        <v>0</v>
      </c>
      <c r="S128">
        <v>0</v>
      </c>
      <c r="T128">
        <v>0</v>
      </c>
      <c r="U128">
        <v>0</v>
      </c>
      <c r="W128" t="s">
        <v>52</v>
      </c>
    </row>
    <row r="129" spans="1:45" x14ac:dyDescent="0.35">
      <c r="A129" t="s">
        <v>45</v>
      </c>
      <c r="B129" t="s">
        <v>207</v>
      </c>
      <c r="C129" t="s">
        <v>63</v>
      </c>
      <c r="D129" t="s">
        <v>369</v>
      </c>
      <c r="E129" t="s">
        <v>369</v>
      </c>
      <c r="F129" t="s">
        <v>49</v>
      </c>
      <c r="G129" t="s">
        <v>370</v>
      </c>
      <c r="H129" t="s">
        <v>371</v>
      </c>
      <c r="J129" t="str">
        <f>HYPERLINK("https://www.instagram.com/p/C4ucfvtgGcP/","https://www.instagram.com/p/C4ucfvtgGcP/")</f>
        <v>https://www.instagram.com/p/C4ucfvtgGcP/</v>
      </c>
      <c r="O129">
        <v>0</v>
      </c>
      <c r="P129">
        <v>0</v>
      </c>
      <c r="Q129">
        <v>0</v>
      </c>
      <c r="S129">
        <v>0</v>
      </c>
      <c r="T129">
        <v>0</v>
      </c>
      <c r="U129">
        <v>0</v>
      </c>
      <c r="W129" t="s">
        <v>62</v>
      </c>
    </row>
    <row r="130" spans="1:45" x14ac:dyDescent="0.35">
      <c r="A130" t="s">
        <v>45</v>
      </c>
      <c r="B130" t="s">
        <v>207</v>
      </c>
      <c r="C130" t="s">
        <v>47</v>
      </c>
      <c r="D130" t="s">
        <v>372</v>
      </c>
      <c r="E130" t="s">
        <v>372</v>
      </c>
      <c r="F130" t="s">
        <v>49</v>
      </c>
      <c r="G130" t="s">
        <v>373</v>
      </c>
      <c r="H130" t="s">
        <v>374</v>
      </c>
      <c r="J130" t="str">
        <f>HYPERLINK("https://www.facebook.com/357267201017935/inbox/7218045968273323/","https://www.facebook.com/357267201017935/inbox/7218045968273323/")</f>
        <v>https://www.facebook.com/357267201017935/inbox/7218045968273323/</v>
      </c>
      <c r="O130">
        <v>0</v>
      </c>
      <c r="P130">
        <v>0</v>
      </c>
      <c r="Q130">
        <v>0</v>
      </c>
      <c r="S130">
        <v>0</v>
      </c>
      <c r="T130">
        <v>0</v>
      </c>
      <c r="U130">
        <v>0</v>
      </c>
      <c r="W130" t="s">
        <v>52</v>
      </c>
      <c r="AS130" t="s">
        <v>375</v>
      </c>
    </row>
    <row r="131" spans="1:45" x14ac:dyDescent="0.35">
      <c r="A131" t="s">
        <v>45</v>
      </c>
      <c r="B131" t="s">
        <v>207</v>
      </c>
      <c r="C131" t="s">
        <v>47</v>
      </c>
      <c r="D131" t="s">
        <v>376</v>
      </c>
      <c r="E131" t="s">
        <v>376</v>
      </c>
      <c r="F131" t="s">
        <v>49</v>
      </c>
      <c r="G131" t="s">
        <v>377</v>
      </c>
      <c r="H131" t="s">
        <v>378</v>
      </c>
      <c r="J131" t="str">
        <f>HYPERLINK("https://www.facebook.com/454965103328545/posts/791649272993458?comment_id=1832636783915796","https://www.facebook.com/454965103328545/posts/791649272993458?comment_id=1832636783915796")</f>
        <v>https://www.facebook.com/454965103328545/posts/791649272993458?comment_id=1832636783915796</v>
      </c>
      <c r="O131">
        <v>0</v>
      </c>
      <c r="P131">
        <v>0</v>
      </c>
      <c r="Q131">
        <v>0</v>
      </c>
      <c r="S131">
        <v>0</v>
      </c>
      <c r="T131">
        <v>0</v>
      </c>
      <c r="U131">
        <v>0</v>
      </c>
      <c r="W131" t="s">
        <v>62</v>
      </c>
    </row>
    <row r="132" spans="1:45" x14ac:dyDescent="0.35">
      <c r="A132" t="s">
        <v>45</v>
      </c>
      <c r="B132" t="s">
        <v>207</v>
      </c>
      <c r="C132" t="s">
        <v>47</v>
      </c>
      <c r="D132" t="s">
        <v>379</v>
      </c>
      <c r="E132" t="s">
        <v>379</v>
      </c>
      <c r="F132" t="s">
        <v>49</v>
      </c>
      <c r="G132" t="s">
        <v>253</v>
      </c>
      <c r="H132" t="s">
        <v>380</v>
      </c>
      <c r="J132" t="str">
        <f>HYPERLINK("https://www.facebook.com/357267201017935/inbox/3217023845042242/","https://www.facebook.com/357267201017935/inbox/3217023845042242/")</f>
        <v>https://www.facebook.com/357267201017935/inbox/3217023845042242/</v>
      </c>
      <c r="O132">
        <v>0</v>
      </c>
      <c r="P132">
        <v>0</v>
      </c>
      <c r="Q132">
        <v>0</v>
      </c>
      <c r="S132">
        <v>0</v>
      </c>
      <c r="T132">
        <v>0</v>
      </c>
      <c r="U132">
        <v>0</v>
      </c>
      <c r="W132" t="s">
        <v>52</v>
      </c>
    </row>
    <row r="133" spans="1:45" x14ac:dyDescent="0.35">
      <c r="A133" t="s">
        <v>45</v>
      </c>
      <c r="B133" t="s">
        <v>207</v>
      </c>
      <c r="C133" t="s">
        <v>63</v>
      </c>
      <c r="D133" t="s">
        <v>381</v>
      </c>
      <c r="E133" t="s">
        <v>381</v>
      </c>
      <c r="F133" t="s">
        <v>76</v>
      </c>
      <c r="G133" t="s">
        <v>382</v>
      </c>
      <c r="H133" t="s">
        <v>383</v>
      </c>
      <c r="J133" t="str">
        <f>HYPERLINK("https://www.instagram.com/p/C4ucfvtgGcP/","https://www.instagram.com/p/C4ucfvtgGcP/")</f>
        <v>https://www.instagram.com/p/C4ucfvtgGcP/</v>
      </c>
      <c r="O133">
        <v>0</v>
      </c>
      <c r="P133">
        <v>0</v>
      </c>
      <c r="Q133">
        <v>0</v>
      </c>
      <c r="S133">
        <v>0</v>
      </c>
      <c r="T133">
        <v>0</v>
      </c>
      <c r="U133">
        <v>0</v>
      </c>
      <c r="W133" t="s">
        <v>62</v>
      </c>
    </row>
    <row r="134" spans="1:45" x14ac:dyDescent="0.35">
      <c r="A134" t="s">
        <v>45</v>
      </c>
      <c r="B134" t="s">
        <v>207</v>
      </c>
      <c r="C134" t="s">
        <v>47</v>
      </c>
      <c r="D134" t="s">
        <v>384</v>
      </c>
      <c r="E134" t="s">
        <v>384</v>
      </c>
      <c r="F134" t="s">
        <v>49</v>
      </c>
      <c r="G134" t="s">
        <v>385</v>
      </c>
      <c r="H134" t="s">
        <v>386</v>
      </c>
      <c r="J134" t="str">
        <f>HYPERLINK("https://www.facebook.com/454965103328545/posts/515116593980062?comment_id=2143655882664744","https://www.facebook.com/454965103328545/posts/515116593980062?comment_id=2143655882664744")</f>
        <v>https://www.facebook.com/454965103328545/posts/515116593980062?comment_id=2143655882664744</v>
      </c>
      <c r="O134">
        <v>0</v>
      </c>
      <c r="P134">
        <v>0</v>
      </c>
      <c r="Q134">
        <v>0</v>
      </c>
      <c r="S134">
        <v>0</v>
      </c>
      <c r="T134">
        <v>0</v>
      </c>
      <c r="U134">
        <v>0</v>
      </c>
      <c r="W134" t="s">
        <v>62</v>
      </c>
    </row>
    <row r="135" spans="1:45" x14ac:dyDescent="0.35">
      <c r="A135" t="s">
        <v>45</v>
      </c>
      <c r="B135" t="s">
        <v>207</v>
      </c>
      <c r="C135" t="s">
        <v>47</v>
      </c>
      <c r="D135" t="s">
        <v>387</v>
      </c>
      <c r="E135" t="s">
        <v>387</v>
      </c>
      <c r="F135" t="s">
        <v>49</v>
      </c>
      <c r="G135" t="s">
        <v>388</v>
      </c>
      <c r="H135" t="s">
        <v>389</v>
      </c>
      <c r="J135" t="str">
        <f>HYPERLINK("https://www.facebook.com/357267201017935/posts/2530629427015024/?comment_id=1066174864470321","https://www.facebook.com/357267201017935/posts/2530629427015024/?comment_id=1066174864470321")</f>
        <v>https://www.facebook.com/357267201017935/posts/2530629427015024/?comment_id=1066174864470321</v>
      </c>
      <c r="O135">
        <v>0</v>
      </c>
      <c r="P135">
        <v>0</v>
      </c>
      <c r="Q135">
        <v>0</v>
      </c>
      <c r="S135">
        <v>0</v>
      </c>
      <c r="T135">
        <v>0</v>
      </c>
      <c r="U135">
        <v>0</v>
      </c>
      <c r="W135" t="s">
        <v>62</v>
      </c>
      <c r="AS135" t="s">
        <v>375</v>
      </c>
    </row>
    <row r="136" spans="1:45" x14ac:dyDescent="0.35">
      <c r="A136" t="s">
        <v>45</v>
      </c>
      <c r="B136" t="s">
        <v>207</v>
      </c>
      <c r="C136" t="s">
        <v>139</v>
      </c>
      <c r="D136" t="s">
        <v>140</v>
      </c>
      <c r="E136" t="s">
        <v>141</v>
      </c>
      <c r="F136" t="s">
        <v>49</v>
      </c>
      <c r="G136" t="s">
        <v>390</v>
      </c>
      <c r="H136" t="s">
        <v>391</v>
      </c>
      <c r="J136" t="str">
        <f>HYPERLINK("https://twitter.com/LokeshSahu89225/status/1773958683682300236","https://twitter.com/LokeshSahu89225/status/1773958683682300236")</f>
        <v>https://twitter.com/LokeshSahu89225/status/1773958683682300236</v>
      </c>
      <c r="K136" t="s">
        <v>145</v>
      </c>
      <c r="O136">
        <v>0</v>
      </c>
      <c r="P136">
        <v>0</v>
      </c>
      <c r="Q136">
        <v>0</v>
      </c>
      <c r="S136">
        <v>0</v>
      </c>
      <c r="T136">
        <v>0</v>
      </c>
      <c r="U136">
        <v>0</v>
      </c>
      <c r="W136" t="s">
        <v>146</v>
      </c>
      <c r="AS136" t="s">
        <v>375</v>
      </c>
    </row>
    <row r="137" spans="1:45" x14ac:dyDescent="0.35">
      <c r="A137" t="s">
        <v>45</v>
      </c>
      <c r="B137" t="s">
        <v>207</v>
      </c>
      <c r="C137" t="s">
        <v>47</v>
      </c>
      <c r="D137" t="s">
        <v>392</v>
      </c>
      <c r="E137" t="s">
        <v>392</v>
      </c>
      <c r="F137" t="s">
        <v>142</v>
      </c>
      <c r="G137" t="s">
        <v>393</v>
      </c>
      <c r="H137" t="s">
        <v>394</v>
      </c>
      <c r="J137" t="str">
        <f>HYPERLINK("https://www.facebook.com/454965103328545/posts/791649272993458?comment_id=3374771995991567","https://www.facebook.com/454965103328545/posts/791649272993458?comment_id=3374771995991567")</f>
        <v>https://www.facebook.com/454965103328545/posts/791649272993458?comment_id=3374771995991567</v>
      </c>
      <c r="O137">
        <v>0</v>
      </c>
      <c r="P137">
        <v>0</v>
      </c>
      <c r="Q137">
        <v>0</v>
      </c>
      <c r="S137">
        <v>0</v>
      </c>
      <c r="T137">
        <v>0</v>
      </c>
      <c r="U137">
        <v>0</v>
      </c>
      <c r="W137" t="s">
        <v>62</v>
      </c>
    </row>
    <row r="138" spans="1:45" x14ac:dyDescent="0.35">
      <c r="A138" t="s">
        <v>45</v>
      </c>
      <c r="B138" t="s">
        <v>207</v>
      </c>
      <c r="C138" t="s">
        <v>63</v>
      </c>
      <c r="D138" t="s">
        <v>395</v>
      </c>
      <c r="E138" t="s">
        <v>395</v>
      </c>
      <c r="F138" t="s">
        <v>76</v>
      </c>
      <c r="G138" t="s">
        <v>396</v>
      </c>
      <c r="H138" t="s">
        <v>397</v>
      </c>
      <c r="J138" t="str">
        <f>HYPERLINK("https://www.instagram.com/p/C4ucfvtgGcP/","https://www.instagram.com/p/C4ucfvtgGcP/")</f>
        <v>https://www.instagram.com/p/C4ucfvtgGcP/</v>
      </c>
      <c r="O138">
        <v>0</v>
      </c>
      <c r="P138">
        <v>0</v>
      </c>
      <c r="Q138">
        <v>0</v>
      </c>
      <c r="S138">
        <v>0</v>
      </c>
      <c r="T138">
        <v>0</v>
      </c>
      <c r="U138">
        <v>0</v>
      </c>
      <c r="W138" t="s">
        <v>62</v>
      </c>
    </row>
    <row r="139" spans="1:45" x14ac:dyDescent="0.35">
      <c r="A139" t="s">
        <v>45</v>
      </c>
      <c r="B139" t="s">
        <v>207</v>
      </c>
      <c r="C139" t="s">
        <v>47</v>
      </c>
      <c r="D139" t="s">
        <v>398</v>
      </c>
      <c r="E139" t="s">
        <v>398</v>
      </c>
      <c r="F139" t="s">
        <v>49</v>
      </c>
      <c r="G139" t="s">
        <v>50</v>
      </c>
      <c r="H139" t="s">
        <v>399</v>
      </c>
      <c r="J139" t="str">
        <f>HYPERLINK("https://www.facebook.com/357267201017935/inbox/7217227415021845/","https://www.facebook.com/357267201017935/inbox/7217227415021845/")</f>
        <v>https://www.facebook.com/357267201017935/inbox/7217227415021845/</v>
      </c>
      <c r="O139">
        <v>0</v>
      </c>
      <c r="P139">
        <v>0</v>
      </c>
      <c r="Q139">
        <v>0</v>
      </c>
      <c r="S139">
        <v>0</v>
      </c>
      <c r="T139">
        <v>0</v>
      </c>
      <c r="U139">
        <v>0</v>
      </c>
      <c r="W139" t="s">
        <v>52</v>
      </c>
      <c r="AS139" t="s">
        <v>375</v>
      </c>
    </row>
    <row r="140" spans="1:45" x14ac:dyDescent="0.35">
      <c r="A140" t="s">
        <v>45</v>
      </c>
      <c r="B140" t="s">
        <v>207</v>
      </c>
      <c r="C140" t="s">
        <v>47</v>
      </c>
      <c r="D140" t="s">
        <v>400</v>
      </c>
      <c r="E140" t="s">
        <v>400</v>
      </c>
      <c r="F140" t="s">
        <v>49</v>
      </c>
      <c r="G140" t="s">
        <v>401</v>
      </c>
      <c r="H140" t="s">
        <v>402</v>
      </c>
      <c r="J140" t="str">
        <f>HYPERLINK("https://www.facebook.com/454965103328545/posts/788107050014347?comment_id=1459645844973355&amp;reply_comment_id=1561428427982544","https://www.facebook.com/454965103328545/posts/788107050014347?comment_id=1459645844973355&amp;reply_comment_id=1561428427982544")</f>
        <v>https://www.facebook.com/454965103328545/posts/788107050014347?comment_id=1459645844973355&amp;reply_comment_id=1561428427982544</v>
      </c>
      <c r="O140">
        <v>0</v>
      </c>
      <c r="P140">
        <v>0</v>
      </c>
      <c r="Q140">
        <v>0</v>
      </c>
      <c r="S140">
        <v>0</v>
      </c>
      <c r="T140">
        <v>0</v>
      </c>
      <c r="U140">
        <v>0</v>
      </c>
      <c r="W140" t="s">
        <v>62</v>
      </c>
    </row>
    <row r="141" spans="1:45" x14ac:dyDescent="0.35">
      <c r="A141" t="s">
        <v>45</v>
      </c>
      <c r="B141" t="s">
        <v>207</v>
      </c>
      <c r="C141" t="s">
        <v>47</v>
      </c>
      <c r="D141" t="s">
        <v>400</v>
      </c>
      <c r="E141" t="s">
        <v>400</v>
      </c>
      <c r="F141" t="s">
        <v>49</v>
      </c>
      <c r="G141" t="s">
        <v>403</v>
      </c>
      <c r="H141" t="s">
        <v>404</v>
      </c>
      <c r="J141" t="str">
        <f>HYPERLINK("https://www.facebook.com/454965103328545/posts/788107050014347?comment_id=1459645844973355&amp;reply_comment_id=408933735075409","https://www.facebook.com/454965103328545/posts/788107050014347?comment_id=1459645844973355&amp;reply_comment_id=408933735075409")</f>
        <v>https://www.facebook.com/454965103328545/posts/788107050014347?comment_id=1459645844973355&amp;reply_comment_id=408933735075409</v>
      </c>
      <c r="O141">
        <v>0</v>
      </c>
      <c r="P141">
        <v>0</v>
      </c>
      <c r="Q141">
        <v>0</v>
      </c>
      <c r="S141">
        <v>0</v>
      </c>
      <c r="T141">
        <v>0</v>
      </c>
      <c r="U141">
        <v>0</v>
      </c>
      <c r="W141" t="s">
        <v>62</v>
      </c>
    </row>
    <row r="142" spans="1:45" x14ac:dyDescent="0.35">
      <c r="A142" t="s">
        <v>45</v>
      </c>
      <c r="B142" t="s">
        <v>207</v>
      </c>
      <c r="C142" t="s">
        <v>63</v>
      </c>
      <c r="D142" t="s">
        <v>405</v>
      </c>
      <c r="E142" t="s">
        <v>405</v>
      </c>
      <c r="F142" t="s">
        <v>49</v>
      </c>
      <c r="G142" t="s">
        <v>406</v>
      </c>
      <c r="H142" t="s">
        <v>407</v>
      </c>
      <c r="J142" t="str">
        <f>HYPERLINK("https://www.instagram.com/reel/C5GLcqcq7A4/","https://www.instagram.com/reel/C5GLcqcq7A4/")</f>
        <v>https://www.instagram.com/reel/C5GLcqcq7A4/</v>
      </c>
      <c r="O142">
        <v>0</v>
      </c>
      <c r="P142">
        <v>0</v>
      </c>
      <c r="Q142">
        <v>0</v>
      </c>
      <c r="S142">
        <v>0</v>
      </c>
      <c r="T142">
        <v>0</v>
      </c>
      <c r="U142">
        <v>0</v>
      </c>
      <c r="W142" t="s">
        <v>62</v>
      </c>
      <c r="AS142" t="s">
        <v>375</v>
      </c>
    </row>
    <row r="143" spans="1:45" x14ac:dyDescent="0.35">
      <c r="A143" t="s">
        <v>45</v>
      </c>
      <c r="B143" t="s">
        <v>207</v>
      </c>
      <c r="C143" t="s">
        <v>63</v>
      </c>
      <c r="D143" t="s">
        <v>408</v>
      </c>
      <c r="E143" t="s">
        <v>408</v>
      </c>
      <c r="F143" t="s">
        <v>49</v>
      </c>
      <c r="G143" t="s">
        <v>409</v>
      </c>
      <c r="H143" t="s">
        <v>410</v>
      </c>
      <c r="J143" t="str">
        <f>HYPERLINK("https://www.instagram.com/p/C4ucfvtgGcP/","https://www.instagram.com/p/C4ucfvtgGcP/")</f>
        <v>https://www.instagram.com/p/C4ucfvtgGcP/</v>
      </c>
      <c r="O143">
        <v>0</v>
      </c>
      <c r="P143">
        <v>0</v>
      </c>
      <c r="Q143">
        <v>0</v>
      </c>
      <c r="S143">
        <v>0</v>
      </c>
      <c r="T143">
        <v>0</v>
      </c>
      <c r="U143">
        <v>0</v>
      </c>
      <c r="W143" t="s">
        <v>62</v>
      </c>
    </row>
    <row r="144" spans="1:45" x14ac:dyDescent="0.35">
      <c r="A144" t="s">
        <v>45</v>
      </c>
      <c r="B144" t="s">
        <v>207</v>
      </c>
      <c r="C144" t="s">
        <v>139</v>
      </c>
      <c r="D144" t="s">
        <v>411</v>
      </c>
      <c r="E144" t="s">
        <v>412</v>
      </c>
      <c r="F144" t="s">
        <v>142</v>
      </c>
      <c r="G144" t="s">
        <v>413</v>
      </c>
      <c r="H144" t="s">
        <v>414</v>
      </c>
      <c r="J144" t="str">
        <f>HYPERLINK("https://twitter.com/JayShriRam1999/status/1773913914360909831","https://twitter.com/JayShriRam1999/status/1773913914360909831")</f>
        <v>https://twitter.com/JayShriRam1999/status/1773913914360909831</v>
      </c>
      <c r="K144" t="s">
        <v>145</v>
      </c>
      <c r="O144">
        <v>0</v>
      </c>
      <c r="P144">
        <v>0</v>
      </c>
      <c r="Q144">
        <v>0</v>
      </c>
      <c r="S144">
        <v>0</v>
      </c>
      <c r="T144">
        <v>0</v>
      </c>
      <c r="U144">
        <v>0</v>
      </c>
      <c r="W144" t="s">
        <v>146</v>
      </c>
    </row>
    <row r="145" spans="1:45" x14ac:dyDescent="0.35">
      <c r="A145" t="s">
        <v>45</v>
      </c>
      <c r="B145" t="s">
        <v>207</v>
      </c>
      <c r="C145" t="s">
        <v>47</v>
      </c>
      <c r="D145" t="s">
        <v>415</v>
      </c>
      <c r="E145" t="s">
        <v>415</v>
      </c>
      <c r="F145" t="s">
        <v>49</v>
      </c>
      <c r="G145" t="s">
        <v>50</v>
      </c>
      <c r="H145" t="s">
        <v>416</v>
      </c>
      <c r="J145" t="str">
        <f>HYPERLINK("https://www.facebook.com/357267201017935/inbox/7216574791753774/","https://www.facebook.com/357267201017935/inbox/7216574791753774/")</f>
        <v>https://www.facebook.com/357267201017935/inbox/7216574791753774/</v>
      </c>
      <c r="O145">
        <v>0</v>
      </c>
      <c r="P145">
        <v>0</v>
      </c>
      <c r="Q145">
        <v>0</v>
      </c>
      <c r="S145">
        <v>0</v>
      </c>
      <c r="T145">
        <v>0</v>
      </c>
      <c r="U145">
        <v>0</v>
      </c>
      <c r="W145" t="s">
        <v>52</v>
      </c>
      <c r="AS145" t="s">
        <v>375</v>
      </c>
    </row>
    <row r="146" spans="1:45" x14ac:dyDescent="0.35">
      <c r="A146" t="s">
        <v>45</v>
      </c>
      <c r="B146" t="s">
        <v>207</v>
      </c>
      <c r="C146" t="s">
        <v>47</v>
      </c>
      <c r="D146" t="s">
        <v>417</v>
      </c>
      <c r="E146" t="s">
        <v>417</v>
      </c>
      <c r="F146" t="s">
        <v>49</v>
      </c>
      <c r="G146" t="s">
        <v>418</v>
      </c>
      <c r="H146" t="s">
        <v>419</v>
      </c>
      <c r="J146" t="str">
        <f>HYPERLINK("https://www.facebook.com/357267201017935/inbox/7216310591780194/","https://www.facebook.com/357267201017935/inbox/7216310591780194/")</f>
        <v>https://www.facebook.com/357267201017935/inbox/7216310591780194/</v>
      </c>
      <c r="O146">
        <v>0</v>
      </c>
      <c r="P146">
        <v>0</v>
      </c>
      <c r="Q146">
        <v>0</v>
      </c>
      <c r="S146">
        <v>0</v>
      </c>
      <c r="T146">
        <v>0</v>
      </c>
      <c r="U146">
        <v>0</v>
      </c>
      <c r="W146" t="s">
        <v>52</v>
      </c>
      <c r="AS146" t="s">
        <v>375</v>
      </c>
    </row>
    <row r="147" spans="1:45" x14ac:dyDescent="0.35">
      <c r="A147" t="s">
        <v>45</v>
      </c>
      <c r="B147" t="s">
        <v>207</v>
      </c>
      <c r="C147" t="s">
        <v>47</v>
      </c>
      <c r="D147" t="s">
        <v>417</v>
      </c>
      <c r="E147" t="s">
        <v>417</v>
      </c>
      <c r="F147" t="s">
        <v>49</v>
      </c>
      <c r="G147" t="s">
        <v>420</v>
      </c>
      <c r="H147" t="s">
        <v>421</v>
      </c>
      <c r="J147" t="str">
        <f>HYPERLINK("https://www.facebook.com/357267201017935/inbox/7216310591780194/","https://www.facebook.com/357267201017935/inbox/7216310591780194/")</f>
        <v>https://www.facebook.com/357267201017935/inbox/7216310591780194/</v>
      </c>
      <c r="O147">
        <v>0</v>
      </c>
      <c r="P147">
        <v>0</v>
      </c>
      <c r="Q147">
        <v>0</v>
      </c>
      <c r="S147">
        <v>0</v>
      </c>
      <c r="T147">
        <v>0</v>
      </c>
      <c r="U147">
        <v>0</v>
      </c>
      <c r="W147" t="s">
        <v>52</v>
      </c>
    </row>
    <row r="148" spans="1:45" x14ac:dyDescent="0.35">
      <c r="A148" t="s">
        <v>45</v>
      </c>
      <c r="B148" t="s">
        <v>207</v>
      </c>
      <c r="C148" t="s">
        <v>63</v>
      </c>
      <c r="D148" t="s">
        <v>422</v>
      </c>
      <c r="E148" t="s">
        <v>422</v>
      </c>
      <c r="F148" t="s">
        <v>49</v>
      </c>
      <c r="G148" t="s">
        <v>423</v>
      </c>
      <c r="H148" t="s">
        <v>424</v>
      </c>
      <c r="J148" t="str">
        <f>HYPERLINK("https://www.instagram.com/p/C3VES0FgrdQ/","https://www.instagram.com/p/C3VES0FgrdQ/")</f>
        <v>https://www.instagram.com/p/C3VES0FgrdQ/</v>
      </c>
      <c r="O148">
        <v>0</v>
      </c>
      <c r="P148">
        <v>0</v>
      </c>
      <c r="Q148">
        <v>0</v>
      </c>
      <c r="S148">
        <v>0</v>
      </c>
      <c r="T148">
        <v>0</v>
      </c>
      <c r="U148">
        <v>0</v>
      </c>
      <c r="W148" t="s">
        <v>62</v>
      </c>
      <c r="AS148" t="s">
        <v>375</v>
      </c>
    </row>
    <row r="149" spans="1:45" x14ac:dyDescent="0.35">
      <c r="A149" t="s">
        <v>45</v>
      </c>
      <c r="B149" t="s">
        <v>207</v>
      </c>
      <c r="C149" t="s">
        <v>47</v>
      </c>
      <c r="D149" t="s">
        <v>425</v>
      </c>
      <c r="E149" t="s">
        <v>425</v>
      </c>
      <c r="F149" t="s">
        <v>49</v>
      </c>
      <c r="G149" t="s">
        <v>50</v>
      </c>
      <c r="H149" t="s">
        <v>426</v>
      </c>
      <c r="J149" t="str">
        <f>HYPERLINK("https://www.facebook.com/357267201017935/inbox/7215358361875417/","https://www.facebook.com/357267201017935/inbox/7215358361875417/")</f>
        <v>https://www.facebook.com/357267201017935/inbox/7215358361875417/</v>
      </c>
      <c r="O149">
        <v>0</v>
      </c>
      <c r="P149">
        <v>0</v>
      </c>
      <c r="Q149">
        <v>0</v>
      </c>
      <c r="S149">
        <v>0</v>
      </c>
      <c r="T149">
        <v>0</v>
      </c>
      <c r="U149">
        <v>0</v>
      </c>
      <c r="W149" t="s">
        <v>52</v>
      </c>
      <c r="AS149" t="s">
        <v>375</v>
      </c>
    </row>
    <row r="150" spans="1:45" x14ac:dyDescent="0.35">
      <c r="A150" t="s">
        <v>45</v>
      </c>
      <c r="B150" t="s">
        <v>427</v>
      </c>
      <c r="C150" t="s">
        <v>47</v>
      </c>
      <c r="D150" t="s">
        <v>428</v>
      </c>
      <c r="E150" t="s">
        <v>428</v>
      </c>
      <c r="F150" t="s">
        <v>49</v>
      </c>
      <c r="G150" t="s">
        <v>373</v>
      </c>
      <c r="H150" t="s">
        <v>429</v>
      </c>
      <c r="J150" t="str">
        <f>HYPERLINK("https://www.facebook.com/357267201017935/inbox/7215100548567865/","https://www.facebook.com/357267201017935/inbox/7215100548567865/")</f>
        <v>https://www.facebook.com/357267201017935/inbox/7215100548567865/</v>
      </c>
      <c r="O150">
        <v>0</v>
      </c>
      <c r="P150">
        <v>0</v>
      </c>
      <c r="Q150">
        <v>0</v>
      </c>
      <c r="S150">
        <v>0</v>
      </c>
      <c r="T150">
        <v>0</v>
      </c>
      <c r="U150">
        <v>0</v>
      </c>
      <c r="W150" t="s">
        <v>52</v>
      </c>
      <c r="AS150" t="s">
        <v>375</v>
      </c>
    </row>
    <row r="151" spans="1:45" x14ac:dyDescent="0.35">
      <c r="A151" t="s">
        <v>45</v>
      </c>
      <c r="B151" t="s">
        <v>427</v>
      </c>
      <c r="C151" t="s">
        <v>63</v>
      </c>
      <c r="D151" t="s">
        <v>430</v>
      </c>
      <c r="E151" t="s">
        <v>430</v>
      </c>
      <c r="F151" t="s">
        <v>49</v>
      </c>
      <c r="G151" t="s">
        <v>431</v>
      </c>
      <c r="H151" t="s">
        <v>432</v>
      </c>
      <c r="J151" t="str">
        <f>HYPERLINK("https://www.instagram.com/p/C4ucfvtgGcP/","https://www.instagram.com/p/C4ucfvtgGcP/")</f>
        <v>https://www.instagram.com/p/C4ucfvtgGcP/</v>
      </c>
      <c r="O151">
        <v>0</v>
      </c>
      <c r="P151">
        <v>0</v>
      </c>
      <c r="Q151">
        <v>0</v>
      </c>
      <c r="S151">
        <v>0</v>
      </c>
      <c r="T151">
        <v>0</v>
      </c>
      <c r="U151">
        <v>0</v>
      </c>
      <c r="W151" t="s">
        <v>62</v>
      </c>
    </row>
    <row r="152" spans="1:45" x14ac:dyDescent="0.35">
      <c r="A152" t="s">
        <v>45</v>
      </c>
      <c r="B152" t="s">
        <v>427</v>
      </c>
      <c r="C152" t="s">
        <v>63</v>
      </c>
      <c r="D152" t="s">
        <v>433</v>
      </c>
      <c r="E152" t="s">
        <v>433</v>
      </c>
      <c r="F152" t="s">
        <v>49</v>
      </c>
      <c r="G152" t="s">
        <v>434</v>
      </c>
      <c r="H152" t="s">
        <v>435</v>
      </c>
      <c r="J152" t="str">
        <f>HYPERLINK("https://www.instagram.com/p/C4-dCbPqjis/","https://www.instagram.com/p/C4-dCbPqjis/")</f>
        <v>https://www.instagram.com/p/C4-dCbPqjis/</v>
      </c>
      <c r="O152">
        <v>0</v>
      </c>
      <c r="P152">
        <v>0</v>
      </c>
      <c r="Q152">
        <v>0</v>
      </c>
      <c r="S152">
        <v>0</v>
      </c>
      <c r="T152">
        <v>0</v>
      </c>
      <c r="U152">
        <v>0</v>
      </c>
      <c r="W152" t="s">
        <v>62</v>
      </c>
      <c r="AO152" t="s">
        <v>119</v>
      </c>
    </row>
    <row r="153" spans="1:45" x14ac:dyDescent="0.35">
      <c r="A153" t="s">
        <v>45</v>
      </c>
      <c r="B153" t="s">
        <v>427</v>
      </c>
      <c r="C153" t="s">
        <v>47</v>
      </c>
      <c r="D153" t="s">
        <v>436</v>
      </c>
      <c r="E153" t="s">
        <v>436</v>
      </c>
      <c r="F153" t="s">
        <v>49</v>
      </c>
      <c r="G153" t="s">
        <v>437</v>
      </c>
      <c r="H153" t="s">
        <v>438</v>
      </c>
      <c r="J153" t="str">
        <f>HYPERLINK("https://www.facebook.com/454965103328545/posts/788107050014347?comment_id=1585097525609711","https://www.facebook.com/454965103328545/posts/788107050014347?comment_id=1585097525609711")</f>
        <v>https://www.facebook.com/454965103328545/posts/788107050014347?comment_id=1585097525609711</v>
      </c>
      <c r="O153">
        <v>0</v>
      </c>
      <c r="P153">
        <v>0</v>
      </c>
      <c r="Q153">
        <v>0</v>
      </c>
      <c r="S153">
        <v>0</v>
      </c>
      <c r="T153">
        <v>0</v>
      </c>
      <c r="U153">
        <v>0</v>
      </c>
      <c r="W153" t="s">
        <v>62</v>
      </c>
    </row>
    <row r="154" spans="1:45" x14ac:dyDescent="0.35">
      <c r="A154" t="s">
        <v>45</v>
      </c>
      <c r="B154" t="s">
        <v>427</v>
      </c>
      <c r="C154" t="s">
        <v>63</v>
      </c>
      <c r="D154" t="s">
        <v>439</v>
      </c>
      <c r="E154" t="s">
        <v>439</v>
      </c>
      <c r="F154" t="s">
        <v>49</v>
      </c>
      <c r="G154" t="s">
        <v>440</v>
      </c>
      <c r="H154" t="s">
        <v>441</v>
      </c>
      <c r="J154" t="str">
        <f>HYPERLINK("https://www.instagram.com/reel/C4zMGLgL19h/","https://www.instagram.com/reel/C4zMGLgL19h/")</f>
        <v>https://www.instagram.com/reel/C4zMGLgL19h/</v>
      </c>
      <c r="O154">
        <v>0</v>
      </c>
      <c r="P154">
        <v>0</v>
      </c>
      <c r="Q154">
        <v>0</v>
      </c>
      <c r="S154">
        <v>0</v>
      </c>
      <c r="T154">
        <v>0</v>
      </c>
      <c r="U154">
        <v>0</v>
      </c>
      <c r="W154" t="s">
        <v>62</v>
      </c>
    </row>
    <row r="155" spans="1:45" x14ac:dyDescent="0.35">
      <c r="A155" t="s">
        <v>45</v>
      </c>
      <c r="B155" t="s">
        <v>427</v>
      </c>
      <c r="C155" t="s">
        <v>139</v>
      </c>
      <c r="D155" t="s">
        <v>411</v>
      </c>
      <c r="E155" t="s">
        <v>442</v>
      </c>
      <c r="F155" t="s">
        <v>49</v>
      </c>
      <c r="G155" t="s">
        <v>443</v>
      </c>
      <c r="H155" t="s">
        <v>444</v>
      </c>
      <c r="J155" t="str">
        <f>HYPERLINK("https://twitter.com/JayShriRam1999/status/1773728359283101830","https://twitter.com/JayShriRam1999/status/1773728359283101830")</f>
        <v>https://twitter.com/JayShriRam1999/status/1773728359283101830</v>
      </c>
      <c r="K155" t="s">
        <v>145</v>
      </c>
      <c r="O155">
        <v>0</v>
      </c>
      <c r="P155">
        <v>0</v>
      </c>
      <c r="Q155">
        <v>0</v>
      </c>
      <c r="S155">
        <v>0</v>
      </c>
      <c r="T155">
        <v>0</v>
      </c>
      <c r="U155">
        <v>0</v>
      </c>
      <c r="W155" t="s">
        <v>146</v>
      </c>
      <c r="AS155" t="s">
        <v>375</v>
      </c>
    </row>
    <row r="156" spans="1:45" x14ac:dyDescent="0.35">
      <c r="A156" t="s">
        <v>45</v>
      </c>
      <c r="B156" t="s">
        <v>427</v>
      </c>
      <c r="C156" t="s">
        <v>47</v>
      </c>
      <c r="D156" t="s">
        <v>445</v>
      </c>
      <c r="E156" t="s">
        <v>445</v>
      </c>
      <c r="F156" t="s">
        <v>49</v>
      </c>
      <c r="G156" t="s">
        <v>446</v>
      </c>
      <c r="H156" t="s">
        <v>447</v>
      </c>
      <c r="J156" t="str">
        <f>HYPERLINK("https://www.facebook.com/454965103328545/posts/796483409176711?comment_id=2179297762415464","https://www.facebook.com/454965103328545/posts/796483409176711?comment_id=2179297762415464")</f>
        <v>https://www.facebook.com/454965103328545/posts/796483409176711?comment_id=2179297762415464</v>
      </c>
      <c r="O156">
        <v>0</v>
      </c>
      <c r="P156">
        <v>0</v>
      </c>
      <c r="Q156">
        <v>0</v>
      </c>
      <c r="S156">
        <v>0</v>
      </c>
      <c r="T156">
        <v>0</v>
      </c>
      <c r="U156">
        <v>0</v>
      </c>
      <c r="W156" t="s">
        <v>62</v>
      </c>
    </row>
    <row r="157" spans="1:45" x14ac:dyDescent="0.35">
      <c r="A157" t="s">
        <v>45</v>
      </c>
      <c r="B157" t="s">
        <v>427</v>
      </c>
      <c r="C157" t="s">
        <v>47</v>
      </c>
      <c r="D157" t="s">
        <v>445</v>
      </c>
      <c r="E157" t="s">
        <v>445</v>
      </c>
      <c r="F157" t="s">
        <v>142</v>
      </c>
      <c r="G157" t="s">
        <v>448</v>
      </c>
      <c r="H157" t="s">
        <v>449</v>
      </c>
      <c r="J157" t="str">
        <f>HYPERLINK("https://www.facebook.com/454965103328545/posts/796483409176711?comment_id=930520155235587","https://www.facebook.com/454965103328545/posts/796483409176711?comment_id=930520155235587")</f>
        <v>https://www.facebook.com/454965103328545/posts/796483409176711?comment_id=930520155235587</v>
      </c>
      <c r="O157">
        <v>0</v>
      </c>
      <c r="P157">
        <v>0</v>
      </c>
      <c r="Q157">
        <v>0</v>
      </c>
      <c r="S157">
        <v>0</v>
      </c>
      <c r="T157">
        <v>0</v>
      </c>
      <c r="U157">
        <v>0</v>
      </c>
      <c r="W157" t="s">
        <v>62</v>
      </c>
    </row>
    <row r="158" spans="1:45" x14ac:dyDescent="0.35">
      <c r="A158" t="s">
        <v>45</v>
      </c>
      <c r="B158" t="s">
        <v>427</v>
      </c>
      <c r="C158" t="s">
        <v>47</v>
      </c>
      <c r="D158" t="s">
        <v>450</v>
      </c>
      <c r="E158" t="s">
        <v>450</v>
      </c>
      <c r="F158" t="s">
        <v>49</v>
      </c>
      <c r="G158" t="s">
        <v>253</v>
      </c>
      <c r="H158" t="s">
        <v>451</v>
      </c>
      <c r="J158" t="str">
        <f>HYPERLINK("https://www.facebook.com/357267201017935/inbox/7214391235305463/","https://www.facebook.com/357267201017935/inbox/7214391235305463/")</f>
        <v>https://www.facebook.com/357267201017935/inbox/7214391235305463/</v>
      </c>
      <c r="O158">
        <v>0</v>
      </c>
      <c r="P158">
        <v>0</v>
      </c>
      <c r="Q158">
        <v>0</v>
      </c>
      <c r="S158">
        <v>0</v>
      </c>
      <c r="T158">
        <v>0</v>
      </c>
      <c r="U158">
        <v>0</v>
      </c>
      <c r="W158" t="s">
        <v>52</v>
      </c>
    </row>
    <row r="159" spans="1:45" x14ac:dyDescent="0.35">
      <c r="A159" t="s">
        <v>45</v>
      </c>
      <c r="B159" t="s">
        <v>427</v>
      </c>
      <c r="C159" t="s">
        <v>47</v>
      </c>
      <c r="D159" t="s">
        <v>452</v>
      </c>
      <c r="E159" t="s">
        <v>452</v>
      </c>
      <c r="F159" t="s">
        <v>49</v>
      </c>
      <c r="G159" t="s">
        <v>453</v>
      </c>
      <c r="H159" t="s">
        <v>454</v>
      </c>
      <c r="J159" t="str">
        <f>HYPERLINK("https://www.facebook.com/454965103328545/posts/788107050014347?comment_id=1459645844973355&amp;reply_comment_id=2692519044255454","https://www.facebook.com/454965103328545/posts/788107050014347?comment_id=1459645844973355&amp;reply_comment_id=2692519044255454")</f>
        <v>https://www.facebook.com/454965103328545/posts/788107050014347?comment_id=1459645844973355&amp;reply_comment_id=2692519044255454</v>
      </c>
      <c r="O159">
        <v>0</v>
      </c>
      <c r="P159">
        <v>0</v>
      </c>
      <c r="Q159">
        <v>0</v>
      </c>
      <c r="S159">
        <v>0</v>
      </c>
      <c r="T159">
        <v>0</v>
      </c>
      <c r="U159">
        <v>0</v>
      </c>
      <c r="W159" t="s">
        <v>62</v>
      </c>
    </row>
    <row r="160" spans="1:45" x14ac:dyDescent="0.35">
      <c r="A160" t="s">
        <v>45</v>
      </c>
      <c r="B160" t="s">
        <v>427</v>
      </c>
      <c r="C160" t="s">
        <v>47</v>
      </c>
      <c r="D160" t="s">
        <v>455</v>
      </c>
      <c r="E160" t="s">
        <v>455</v>
      </c>
      <c r="F160" t="s">
        <v>49</v>
      </c>
      <c r="G160" t="s">
        <v>456</v>
      </c>
      <c r="H160" t="s">
        <v>457</v>
      </c>
      <c r="J160" t="str">
        <f>HYPERLINK("https://www.facebook.com/454965103328545/videos/1792369101228633?comment_id=1143133527044225","https://www.facebook.com/454965103328545/videos/1792369101228633?comment_id=1143133527044225")</f>
        <v>https://www.facebook.com/454965103328545/videos/1792369101228633?comment_id=1143133527044225</v>
      </c>
      <c r="O160">
        <v>0</v>
      </c>
      <c r="P160">
        <v>0</v>
      </c>
      <c r="Q160">
        <v>0</v>
      </c>
      <c r="S160">
        <v>0</v>
      </c>
      <c r="T160">
        <v>0</v>
      </c>
      <c r="U160">
        <v>0</v>
      </c>
      <c r="W160" t="s">
        <v>62</v>
      </c>
    </row>
    <row r="161" spans="1:45" x14ac:dyDescent="0.35">
      <c r="A161" t="s">
        <v>45</v>
      </c>
      <c r="B161" t="s">
        <v>427</v>
      </c>
      <c r="C161" t="s">
        <v>63</v>
      </c>
      <c r="D161" t="s">
        <v>458</v>
      </c>
      <c r="E161" t="s">
        <v>458</v>
      </c>
      <c r="F161" t="s">
        <v>49</v>
      </c>
      <c r="G161" t="s">
        <v>459</v>
      </c>
      <c r="H161" t="s">
        <v>460</v>
      </c>
      <c r="J161" t="str">
        <f>HYPERLINK("https://www.instagram.com/p/C4-dCbPqjis/","https://www.instagram.com/p/C4-dCbPqjis/")</f>
        <v>https://www.instagram.com/p/C4-dCbPqjis/</v>
      </c>
      <c r="O161">
        <v>0</v>
      </c>
      <c r="P161">
        <v>0</v>
      </c>
      <c r="Q161">
        <v>0</v>
      </c>
      <c r="S161">
        <v>0</v>
      </c>
      <c r="T161">
        <v>0</v>
      </c>
      <c r="U161">
        <v>0</v>
      </c>
      <c r="W161" t="s">
        <v>62</v>
      </c>
      <c r="AS161" t="s">
        <v>375</v>
      </c>
    </row>
    <row r="162" spans="1:45" x14ac:dyDescent="0.35">
      <c r="A162" t="s">
        <v>45</v>
      </c>
      <c r="B162" t="s">
        <v>427</v>
      </c>
      <c r="C162" t="s">
        <v>47</v>
      </c>
      <c r="D162" t="s">
        <v>461</v>
      </c>
      <c r="E162" t="s">
        <v>461</v>
      </c>
      <c r="F162" t="s">
        <v>49</v>
      </c>
      <c r="G162" t="s">
        <v>462</v>
      </c>
      <c r="H162" t="s">
        <v>463</v>
      </c>
      <c r="J162" t="str">
        <f>HYPERLINK("https://www.facebook.com/454965103328545/posts/755944923230560?comment_id=7518917581495860&amp;reply_comment_id=286674347799162","https://www.facebook.com/454965103328545/posts/755944923230560?comment_id=7518917581495860&amp;reply_comment_id=286674347799162")</f>
        <v>https://www.facebook.com/454965103328545/posts/755944923230560?comment_id=7518917581495860&amp;reply_comment_id=286674347799162</v>
      </c>
      <c r="O162">
        <v>0</v>
      </c>
      <c r="P162">
        <v>0</v>
      </c>
      <c r="Q162">
        <v>0</v>
      </c>
      <c r="S162">
        <v>0</v>
      </c>
      <c r="T162">
        <v>0</v>
      </c>
      <c r="U162">
        <v>0</v>
      </c>
      <c r="W162" t="s">
        <v>62</v>
      </c>
    </row>
    <row r="163" spans="1:45" x14ac:dyDescent="0.35">
      <c r="A163" t="s">
        <v>45</v>
      </c>
      <c r="B163" t="s">
        <v>427</v>
      </c>
      <c r="C163" t="s">
        <v>63</v>
      </c>
      <c r="D163" t="s">
        <v>464</v>
      </c>
      <c r="E163" t="s">
        <v>464</v>
      </c>
      <c r="F163" t="s">
        <v>76</v>
      </c>
      <c r="G163" t="s">
        <v>465</v>
      </c>
      <c r="H163" t="s">
        <v>466</v>
      </c>
      <c r="J163" t="str">
        <f>HYPERLINK("https://www.instagram.com/p/C4ucfvtgGcP/","https://www.instagram.com/p/C4ucfvtgGcP/")</f>
        <v>https://www.instagram.com/p/C4ucfvtgGcP/</v>
      </c>
      <c r="O163">
        <v>0</v>
      </c>
      <c r="P163">
        <v>0</v>
      </c>
      <c r="Q163">
        <v>0</v>
      </c>
      <c r="S163">
        <v>0</v>
      </c>
      <c r="T163">
        <v>0</v>
      </c>
      <c r="U163">
        <v>0</v>
      </c>
      <c r="W163" t="s">
        <v>62</v>
      </c>
    </row>
    <row r="164" spans="1:45" x14ac:dyDescent="0.35">
      <c r="A164" t="s">
        <v>45</v>
      </c>
      <c r="B164" t="s">
        <v>427</v>
      </c>
      <c r="C164" t="s">
        <v>63</v>
      </c>
      <c r="D164" t="s">
        <v>464</v>
      </c>
      <c r="E164" t="s">
        <v>464</v>
      </c>
      <c r="F164" t="s">
        <v>49</v>
      </c>
      <c r="G164" t="s">
        <v>467</v>
      </c>
      <c r="H164" t="s">
        <v>468</v>
      </c>
      <c r="J164" t="str">
        <f>HYPERLINK("https://www.instagram.com/p/C4ucfvtgGcP/","https://www.instagram.com/p/C4ucfvtgGcP/")</f>
        <v>https://www.instagram.com/p/C4ucfvtgGcP/</v>
      </c>
      <c r="O164">
        <v>0</v>
      </c>
      <c r="P164">
        <v>0</v>
      </c>
      <c r="Q164">
        <v>0</v>
      </c>
      <c r="S164">
        <v>0</v>
      </c>
      <c r="T164">
        <v>0</v>
      </c>
      <c r="U164">
        <v>0</v>
      </c>
      <c r="W164" t="s">
        <v>62</v>
      </c>
    </row>
    <row r="165" spans="1:45" x14ac:dyDescent="0.35">
      <c r="A165" t="s">
        <v>45</v>
      </c>
      <c r="B165" t="s">
        <v>427</v>
      </c>
      <c r="C165" t="s">
        <v>47</v>
      </c>
      <c r="D165" t="s">
        <v>45</v>
      </c>
      <c r="E165" t="s">
        <v>45</v>
      </c>
      <c r="F165" t="s">
        <v>49</v>
      </c>
      <c r="G165" t="s">
        <v>469</v>
      </c>
      <c r="H165" t="s">
        <v>470</v>
      </c>
      <c r="J165" t="str">
        <f>HYPERLINK("https://www.facebook.com/357267201017935_797124735779245","https://www.facebook.com/357267201017935_797124735779245")</f>
        <v>https://www.facebook.com/357267201017935_797124735779245</v>
      </c>
      <c r="O165">
        <v>0</v>
      </c>
      <c r="P165">
        <v>0</v>
      </c>
      <c r="Q165">
        <v>0</v>
      </c>
      <c r="S165">
        <v>0</v>
      </c>
      <c r="T165">
        <v>0</v>
      </c>
      <c r="U165">
        <v>0</v>
      </c>
      <c r="W165" t="s">
        <v>106</v>
      </c>
      <c r="AS165" t="s">
        <v>115</v>
      </c>
    </row>
    <row r="166" spans="1:45" x14ac:dyDescent="0.35">
      <c r="A166" t="s">
        <v>45</v>
      </c>
      <c r="B166" t="s">
        <v>427</v>
      </c>
      <c r="C166" t="s">
        <v>47</v>
      </c>
      <c r="D166" t="s">
        <v>445</v>
      </c>
      <c r="E166" t="s">
        <v>445</v>
      </c>
      <c r="F166" t="s">
        <v>49</v>
      </c>
      <c r="G166" t="s">
        <v>471</v>
      </c>
      <c r="H166" t="s">
        <v>472</v>
      </c>
      <c r="J166" t="str">
        <f>HYPERLINK("https://www.facebook.com/454965103328545/posts/796483409176711?comment_id=1163925531454284","https://www.facebook.com/454965103328545/posts/796483409176711?comment_id=1163925531454284")</f>
        <v>https://www.facebook.com/454965103328545/posts/796483409176711?comment_id=1163925531454284</v>
      </c>
      <c r="O166">
        <v>0</v>
      </c>
      <c r="P166">
        <v>0</v>
      </c>
      <c r="Q166">
        <v>0</v>
      </c>
      <c r="S166">
        <v>0</v>
      </c>
      <c r="T166">
        <v>0</v>
      </c>
      <c r="U166">
        <v>0</v>
      </c>
      <c r="W166" t="s">
        <v>62</v>
      </c>
    </row>
    <row r="167" spans="1:45" x14ac:dyDescent="0.35">
      <c r="A167" t="s">
        <v>45</v>
      </c>
      <c r="B167" t="s">
        <v>427</v>
      </c>
      <c r="C167" t="s">
        <v>47</v>
      </c>
      <c r="D167" t="s">
        <v>445</v>
      </c>
      <c r="E167" t="s">
        <v>445</v>
      </c>
      <c r="F167" t="s">
        <v>142</v>
      </c>
      <c r="G167" t="s">
        <v>473</v>
      </c>
      <c r="H167" t="s">
        <v>474</v>
      </c>
      <c r="J167" t="str">
        <f>HYPERLINK("https://www.facebook.com/454965103328545/posts/796483409176711?comment_id=1553469318557389","https://www.facebook.com/454965103328545/posts/796483409176711?comment_id=1553469318557389")</f>
        <v>https://www.facebook.com/454965103328545/posts/796483409176711?comment_id=1553469318557389</v>
      </c>
      <c r="O167">
        <v>0</v>
      </c>
      <c r="P167">
        <v>0</v>
      </c>
      <c r="Q167">
        <v>0</v>
      </c>
      <c r="S167">
        <v>0</v>
      </c>
      <c r="T167">
        <v>0</v>
      </c>
      <c r="U167">
        <v>0</v>
      </c>
      <c r="W167" t="s">
        <v>62</v>
      </c>
    </row>
    <row r="168" spans="1:45" x14ac:dyDescent="0.35">
      <c r="A168" t="s">
        <v>45</v>
      </c>
      <c r="B168" t="s">
        <v>427</v>
      </c>
      <c r="C168" t="s">
        <v>47</v>
      </c>
      <c r="D168" t="s">
        <v>445</v>
      </c>
      <c r="E168" t="s">
        <v>445</v>
      </c>
      <c r="F168" t="s">
        <v>49</v>
      </c>
      <c r="G168" t="s">
        <v>475</v>
      </c>
      <c r="H168" t="s">
        <v>476</v>
      </c>
      <c r="J168" t="str">
        <f>HYPERLINK("https://www.facebook.com/454965103328545/posts/796483409176711?comment_id=7043533755774889","https://www.facebook.com/454965103328545/posts/796483409176711?comment_id=7043533755774889")</f>
        <v>https://www.facebook.com/454965103328545/posts/796483409176711?comment_id=7043533755774889</v>
      </c>
      <c r="O168">
        <v>0</v>
      </c>
      <c r="P168">
        <v>0</v>
      </c>
      <c r="Q168">
        <v>0</v>
      </c>
      <c r="S168">
        <v>0</v>
      </c>
      <c r="T168">
        <v>0</v>
      </c>
      <c r="U168">
        <v>0</v>
      </c>
      <c r="W168" t="s">
        <v>62</v>
      </c>
      <c r="AP168" t="s">
        <v>101</v>
      </c>
      <c r="AS168" t="s">
        <v>375</v>
      </c>
    </row>
    <row r="169" spans="1:45" x14ac:dyDescent="0.35">
      <c r="A169" t="s">
        <v>45</v>
      </c>
      <c r="B169" t="s">
        <v>427</v>
      </c>
      <c r="C169" t="s">
        <v>47</v>
      </c>
      <c r="D169" t="s">
        <v>445</v>
      </c>
      <c r="E169" t="s">
        <v>445</v>
      </c>
      <c r="F169" t="s">
        <v>49</v>
      </c>
      <c r="G169" t="s">
        <v>477</v>
      </c>
      <c r="H169" t="s">
        <v>478</v>
      </c>
      <c r="J169" t="str">
        <f>HYPERLINK("https://www.facebook.com/454965103328545/posts/796483409176711?comment_id=794683899202855","https://www.facebook.com/454965103328545/posts/796483409176711?comment_id=794683899202855")</f>
        <v>https://www.facebook.com/454965103328545/posts/796483409176711?comment_id=794683899202855</v>
      </c>
      <c r="O169">
        <v>0</v>
      </c>
      <c r="P169">
        <v>0</v>
      </c>
      <c r="Q169">
        <v>0</v>
      </c>
      <c r="S169">
        <v>0</v>
      </c>
      <c r="T169">
        <v>0</v>
      </c>
      <c r="U169">
        <v>0</v>
      </c>
      <c r="W169" t="s">
        <v>62</v>
      </c>
    </row>
    <row r="170" spans="1:45" x14ac:dyDescent="0.35">
      <c r="A170" t="s">
        <v>45</v>
      </c>
      <c r="B170" t="s">
        <v>427</v>
      </c>
      <c r="C170" t="s">
        <v>47</v>
      </c>
      <c r="D170" t="s">
        <v>445</v>
      </c>
      <c r="E170" t="s">
        <v>445</v>
      </c>
      <c r="F170" t="s">
        <v>49</v>
      </c>
      <c r="G170" t="s">
        <v>471</v>
      </c>
      <c r="H170" t="s">
        <v>479</v>
      </c>
      <c r="J170" t="str">
        <f>HYPERLINK("https://www.facebook.com/454965103328545/posts/796483409176711?comment_id=775998157927134","https://www.facebook.com/454965103328545/posts/796483409176711?comment_id=775998157927134")</f>
        <v>https://www.facebook.com/454965103328545/posts/796483409176711?comment_id=775998157927134</v>
      </c>
      <c r="O170">
        <v>0</v>
      </c>
      <c r="P170">
        <v>0</v>
      </c>
      <c r="Q170">
        <v>0</v>
      </c>
      <c r="S170">
        <v>0</v>
      </c>
      <c r="T170">
        <v>0</v>
      </c>
      <c r="U170">
        <v>0</v>
      </c>
      <c r="W170" t="s">
        <v>62</v>
      </c>
    </row>
    <row r="171" spans="1:45" x14ac:dyDescent="0.35">
      <c r="A171" t="s">
        <v>45</v>
      </c>
      <c r="B171" t="s">
        <v>427</v>
      </c>
      <c r="C171" t="s">
        <v>47</v>
      </c>
      <c r="D171" t="s">
        <v>445</v>
      </c>
      <c r="E171" t="s">
        <v>445</v>
      </c>
      <c r="F171" t="s">
        <v>49</v>
      </c>
      <c r="G171" t="s">
        <v>475</v>
      </c>
      <c r="H171" t="s">
        <v>480</v>
      </c>
      <c r="J171" t="str">
        <f>HYPERLINK("https://www.facebook.com/454965103328545/posts/796483409176711?comment_id=742998544585974","https://www.facebook.com/454965103328545/posts/796483409176711?comment_id=742998544585974")</f>
        <v>https://www.facebook.com/454965103328545/posts/796483409176711?comment_id=742998544585974</v>
      </c>
      <c r="O171">
        <v>0</v>
      </c>
      <c r="P171">
        <v>0</v>
      </c>
      <c r="Q171">
        <v>0</v>
      </c>
      <c r="S171">
        <v>0</v>
      </c>
      <c r="T171">
        <v>0</v>
      </c>
      <c r="U171">
        <v>0</v>
      </c>
      <c r="W171" t="s">
        <v>62</v>
      </c>
      <c r="AP171" t="s">
        <v>101</v>
      </c>
    </row>
    <row r="172" spans="1:45" x14ac:dyDescent="0.35">
      <c r="A172" t="s">
        <v>45</v>
      </c>
      <c r="B172" t="s">
        <v>427</v>
      </c>
      <c r="C172" t="s">
        <v>47</v>
      </c>
      <c r="D172" t="s">
        <v>445</v>
      </c>
      <c r="E172" t="s">
        <v>445</v>
      </c>
      <c r="F172" t="s">
        <v>142</v>
      </c>
      <c r="G172" t="s">
        <v>473</v>
      </c>
      <c r="H172" t="s">
        <v>481</v>
      </c>
      <c r="J172" t="str">
        <f>HYPERLINK("https://www.facebook.com/454965103328545/posts/796483409176711?comment_id=791759695663548","https://www.facebook.com/454965103328545/posts/796483409176711?comment_id=791759695663548")</f>
        <v>https://www.facebook.com/454965103328545/posts/796483409176711?comment_id=791759695663548</v>
      </c>
      <c r="O172">
        <v>0</v>
      </c>
      <c r="P172">
        <v>0</v>
      </c>
      <c r="Q172">
        <v>0</v>
      </c>
      <c r="S172">
        <v>0</v>
      </c>
      <c r="T172">
        <v>0</v>
      </c>
      <c r="U172">
        <v>0</v>
      </c>
      <c r="W172" t="s">
        <v>62</v>
      </c>
    </row>
    <row r="173" spans="1:45" x14ac:dyDescent="0.35">
      <c r="A173" t="s">
        <v>45</v>
      </c>
      <c r="B173" t="s">
        <v>427</v>
      </c>
      <c r="C173" t="s">
        <v>47</v>
      </c>
      <c r="D173" t="s">
        <v>445</v>
      </c>
      <c r="E173" t="s">
        <v>445</v>
      </c>
      <c r="F173" t="s">
        <v>49</v>
      </c>
      <c r="G173" t="s">
        <v>475</v>
      </c>
      <c r="H173" t="s">
        <v>482</v>
      </c>
      <c r="J173" t="str">
        <f>HYPERLINK("https://www.facebook.com/454965103328545/posts/796483409176711?comment_id=398650496438980","https://www.facebook.com/454965103328545/posts/796483409176711?comment_id=398650496438980")</f>
        <v>https://www.facebook.com/454965103328545/posts/796483409176711?comment_id=398650496438980</v>
      </c>
      <c r="O173">
        <v>0</v>
      </c>
      <c r="P173">
        <v>0</v>
      </c>
      <c r="Q173">
        <v>0</v>
      </c>
      <c r="S173">
        <v>0</v>
      </c>
      <c r="T173">
        <v>0</v>
      </c>
      <c r="U173">
        <v>0</v>
      </c>
      <c r="W173" t="s">
        <v>62</v>
      </c>
      <c r="AP173" t="s">
        <v>101</v>
      </c>
    </row>
    <row r="174" spans="1:45" x14ac:dyDescent="0.35">
      <c r="A174" t="s">
        <v>45</v>
      </c>
      <c r="B174" t="s">
        <v>427</v>
      </c>
      <c r="C174" t="s">
        <v>47</v>
      </c>
      <c r="D174" t="s">
        <v>445</v>
      </c>
      <c r="E174" t="s">
        <v>445</v>
      </c>
      <c r="F174" t="s">
        <v>49</v>
      </c>
      <c r="G174" t="s">
        <v>477</v>
      </c>
      <c r="H174" t="s">
        <v>483</v>
      </c>
      <c r="J174" t="str">
        <f>HYPERLINK("https://www.facebook.com/454965103328545/posts/796483409176711?comment_id=2578286295691539","https://www.facebook.com/454965103328545/posts/796483409176711?comment_id=2578286295691539")</f>
        <v>https://www.facebook.com/454965103328545/posts/796483409176711?comment_id=2578286295691539</v>
      </c>
      <c r="O174">
        <v>0</v>
      </c>
      <c r="P174">
        <v>0</v>
      </c>
      <c r="Q174">
        <v>0</v>
      </c>
      <c r="S174">
        <v>0</v>
      </c>
      <c r="T174">
        <v>0</v>
      </c>
      <c r="U174">
        <v>0</v>
      </c>
      <c r="W174" t="s">
        <v>62</v>
      </c>
    </row>
    <row r="175" spans="1:45" x14ac:dyDescent="0.35">
      <c r="A175" t="s">
        <v>45</v>
      </c>
      <c r="B175" t="s">
        <v>427</v>
      </c>
      <c r="C175" t="s">
        <v>47</v>
      </c>
      <c r="D175" t="s">
        <v>445</v>
      </c>
      <c r="E175" t="s">
        <v>445</v>
      </c>
      <c r="F175" t="s">
        <v>49</v>
      </c>
      <c r="G175" t="s">
        <v>471</v>
      </c>
      <c r="H175" t="s">
        <v>484</v>
      </c>
      <c r="J175" t="str">
        <f>HYPERLINK("https://www.facebook.com/454965103328545/posts/796483409176711?comment_id=798767348807604","https://www.facebook.com/454965103328545/posts/796483409176711?comment_id=798767348807604")</f>
        <v>https://www.facebook.com/454965103328545/posts/796483409176711?comment_id=798767348807604</v>
      </c>
      <c r="O175">
        <v>0</v>
      </c>
      <c r="P175">
        <v>0</v>
      </c>
      <c r="Q175">
        <v>0</v>
      </c>
      <c r="S175">
        <v>0</v>
      </c>
      <c r="T175">
        <v>0</v>
      </c>
      <c r="U175">
        <v>0</v>
      </c>
      <c r="W175" t="s">
        <v>62</v>
      </c>
    </row>
    <row r="176" spans="1:45" x14ac:dyDescent="0.35">
      <c r="A176" t="s">
        <v>45</v>
      </c>
      <c r="B176" t="s">
        <v>427</v>
      </c>
      <c r="C176" t="s">
        <v>47</v>
      </c>
      <c r="D176" t="s">
        <v>445</v>
      </c>
      <c r="E176" t="s">
        <v>445</v>
      </c>
      <c r="F176" t="s">
        <v>142</v>
      </c>
      <c r="G176" t="s">
        <v>473</v>
      </c>
      <c r="H176" t="s">
        <v>485</v>
      </c>
      <c r="J176" t="str">
        <f>HYPERLINK("https://www.facebook.com/454965103328545/posts/796483409176711?comment_id=1105609054023892","https://www.facebook.com/454965103328545/posts/796483409176711?comment_id=1105609054023892")</f>
        <v>https://www.facebook.com/454965103328545/posts/796483409176711?comment_id=1105609054023892</v>
      </c>
      <c r="O176">
        <v>0</v>
      </c>
      <c r="P176">
        <v>0</v>
      </c>
      <c r="Q176">
        <v>0</v>
      </c>
      <c r="S176">
        <v>0</v>
      </c>
      <c r="T176">
        <v>0</v>
      </c>
      <c r="U176">
        <v>0</v>
      </c>
      <c r="W176" t="s">
        <v>62</v>
      </c>
    </row>
    <row r="177" spans="1:45" x14ac:dyDescent="0.35">
      <c r="A177" t="s">
        <v>45</v>
      </c>
      <c r="B177" t="s">
        <v>427</v>
      </c>
      <c r="C177" t="s">
        <v>47</v>
      </c>
      <c r="D177" t="s">
        <v>445</v>
      </c>
      <c r="E177" t="s">
        <v>445</v>
      </c>
      <c r="F177" t="s">
        <v>49</v>
      </c>
      <c r="G177" t="s">
        <v>475</v>
      </c>
      <c r="H177" t="s">
        <v>486</v>
      </c>
      <c r="J177" t="str">
        <f>HYPERLINK("https://www.facebook.com/454965103328545/posts/796483409176711?comment_id=1901287610289680","https://www.facebook.com/454965103328545/posts/796483409176711?comment_id=1901287610289680")</f>
        <v>https://www.facebook.com/454965103328545/posts/796483409176711?comment_id=1901287610289680</v>
      </c>
      <c r="O177">
        <v>0</v>
      </c>
      <c r="P177">
        <v>0</v>
      </c>
      <c r="Q177">
        <v>0</v>
      </c>
      <c r="S177">
        <v>0</v>
      </c>
      <c r="T177">
        <v>0</v>
      </c>
      <c r="U177">
        <v>0</v>
      </c>
      <c r="W177" t="s">
        <v>62</v>
      </c>
      <c r="AP177" t="s">
        <v>101</v>
      </c>
    </row>
    <row r="178" spans="1:45" x14ac:dyDescent="0.35">
      <c r="A178" t="s">
        <v>45</v>
      </c>
      <c r="B178" t="s">
        <v>427</v>
      </c>
      <c r="C178" t="s">
        <v>63</v>
      </c>
      <c r="D178" t="s">
        <v>487</v>
      </c>
      <c r="E178" t="s">
        <v>487</v>
      </c>
      <c r="F178" t="s">
        <v>49</v>
      </c>
      <c r="G178" t="s">
        <v>488</v>
      </c>
      <c r="H178" t="s">
        <v>489</v>
      </c>
      <c r="J178" t="str">
        <f>HYPERLINK("https://www.instagram.com/reel/C5GLcqcq7A4/","https://www.instagram.com/reel/C5GLcqcq7A4/")</f>
        <v>https://www.instagram.com/reel/C5GLcqcq7A4/</v>
      </c>
      <c r="O178">
        <v>0</v>
      </c>
      <c r="P178">
        <v>0</v>
      </c>
      <c r="Q178">
        <v>0</v>
      </c>
      <c r="S178">
        <v>0</v>
      </c>
      <c r="T178">
        <v>0</v>
      </c>
      <c r="U178">
        <v>0</v>
      </c>
      <c r="W178" t="s">
        <v>62</v>
      </c>
    </row>
    <row r="179" spans="1:45" x14ac:dyDescent="0.35">
      <c r="A179" t="s">
        <v>45</v>
      </c>
      <c r="B179" t="s">
        <v>427</v>
      </c>
      <c r="C179" t="s">
        <v>63</v>
      </c>
      <c r="D179" t="s">
        <v>487</v>
      </c>
      <c r="E179" t="s">
        <v>487</v>
      </c>
      <c r="F179" t="s">
        <v>49</v>
      </c>
      <c r="G179" t="s">
        <v>490</v>
      </c>
      <c r="H179" t="s">
        <v>491</v>
      </c>
      <c r="J179" t="str">
        <f>HYPERLINK("https://www.instagram.com/reel/C5GLcqcq7A4/","https://www.instagram.com/reel/C5GLcqcq7A4/")</f>
        <v>https://www.instagram.com/reel/C5GLcqcq7A4/</v>
      </c>
      <c r="O179">
        <v>0</v>
      </c>
      <c r="P179">
        <v>0</v>
      </c>
      <c r="Q179">
        <v>0</v>
      </c>
      <c r="S179">
        <v>0</v>
      </c>
      <c r="T179">
        <v>0</v>
      </c>
      <c r="U179">
        <v>0</v>
      </c>
      <c r="W179" t="s">
        <v>62</v>
      </c>
    </row>
    <row r="180" spans="1:45" x14ac:dyDescent="0.35">
      <c r="A180" t="s">
        <v>45</v>
      </c>
      <c r="B180" t="s">
        <v>427</v>
      </c>
      <c r="C180" t="s">
        <v>63</v>
      </c>
      <c r="D180" t="s">
        <v>186</v>
      </c>
      <c r="E180" t="s">
        <v>186</v>
      </c>
      <c r="F180" t="s">
        <v>49</v>
      </c>
      <c r="G180" t="s">
        <v>492</v>
      </c>
      <c r="H180" t="s">
        <v>493</v>
      </c>
      <c r="J180" t="str">
        <f>HYPERLINK("https://www.instagram.com/reel/C5GLcqcq7A4/","https://www.instagram.com/reel/C5GLcqcq7A4/")</f>
        <v>https://www.instagram.com/reel/C5GLcqcq7A4/</v>
      </c>
      <c r="O180">
        <v>0</v>
      </c>
      <c r="P180">
        <v>0</v>
      </c>
      <c r="Q180">
        <v>0</v>
      </c>
      <c r="S180">
        <v>7</v>
      </c>
      <c r="T180">
        <v>54</v>
      </c>
      <c r="U180">
        <v>0</v>
      </c>
      <c r="W180" t="s">
        <v>106</v>
      </c>
    </row>
    <row r="181" spans="1:45" x14ac:dyDescent="0.35">
      <c r="A181" t="s">
        <v>45</v>
      </c>
      <c r="B181" t="s">
        <v>427</v>
      </c>
      <c r="C181" t="s">
        <v>47</v>
      </c>
      <c r="D181" t="s">
        <v>45</v>
      </c>
      <c r="E181" t="s">
        <v>45</v>
      </c>
      <c r="F181" t="s">
        <v>49</v>
      </c>
      <c r="G181" t="s">
        <v>492</v>
      </c>
      <c r="H181" t="s">
        <v>494</v>
      </c>
      <c r="J181" t="str">
        <f>HYPERLINK("https://www.facebook.com/357267201017935_796483409176711","https://www.facebook.com/357267201017935_796483409176711")</f>
        <v>https://www.facebook.com/357267201017935_796483409176711</v>
      </c>
      <c r="O181">
        <v>0</v>
      </c>
      <c r="P181">
        <v>0</v>
      </c>
      <c r="Q181">
        <v>0</v>
      </c>
      <c r="S181">
        <v>15</v>
      </c>
      <c r="T181">
        <v>56</v>
      </c>
      <c r="U181">
        <v>8</v>
      </c>
      <c r="W181" t="s">
        <v>106</v>
      </c>
    </row>
    <row r="182" spans="1:45" x14ac:dyDescent="0.35">
      <c r="A182" t="s">
        <v>45</v>
      </c>
      <c r="B182" t="s">
        <v>427</v>
      </c>
      <c r="C182" t="s">
        <v>139</v>
      </c>
      <c r="D182" t="s">
        <v>190</v>
      </c>
      <c r="E182" t="s">
        <v>45</v>
      </c>
      <c r="F182" t="s">
        <v>49</v>
      </c>
      <c r="G182" t="s">
        <v>495</v>
      </c>
      <c r="H182" t="s">
        <v>496</v>
      </c>
      <c r="J182" t="str">
        <f>HYPERLINK("https://twitter.com/FinoPaymntsBank/status/1773673964491182183","https://twitter.com/FinoPaymntsBank/status/1773673964491182183")</f>
        <v>https://twitter.com/FinoPaymntsBank/status/1773673964491182183</v>
      </c>
      <c r="K182" t="s">
        <v>145</v>
      </c>
      <c r="O182">
        <v>0</v>
      </c>
      <c r="P182">
        <v>0</v>
      </c>
      <c r="Q182">
        <v>8482</v>
      </c>
      <c r="R182" t="s">
        <v>193</v>
      </c>
      <c r="S182">
        <v>0</v>
      </c>
      <c r="T182">
        <v>0</v>
      </c>
      <c r="U182">
        <v>0</v>
      </c>
      <c r="W182" t="s">
        <v>146</v>
      </c>
    </row>
    <row r="183" spans="1:45" x14ac:dyDescent="0.35">
      <c r="A183" t="s">
        <v>45</v>
      </c>
      <c r="B183" t="s">
        <v>427</v>
      </c>
      <c r="C183" t="s">
        <v>102</v>
      </c>
      <c r="D183" t="s">
        <v>497</v>
      </c>
      <c r="E183" t="s">
        <v>497</v>
      </c>
      <c r="F183" t="s">
        <v>76</v>
      </c>
      <c r="G183" t="s">
        <v>498</v>
      </c>
      <c r="H183" t="s">
        <v>499</v>
      </c>
      <c r="J183" t="str">
        <f>HYPERLINK("https://www.linkedin.com/feed/update/urn:li:ugcPost:7179436194219352065","https://www.linkedin.com/feed/update/urn:li:ugcPost:7179436194219352065")</f>
        <v>https://www.linkedin.com/feed/update/urn:li:ugcPost:7179436194219352065</v>
      </c>
      <c r="O183">
        <v>0</v>
      </c>
      <c r="P183">
        <v>0</v>
      </c>
      <c r="Q183">
        <v>0</v>
      </c>
      <c r="S183">
        <v>0</v>
      </c>
      <c r="T183">
        <v>0</v>
      </c>
      <c r="U183">
        <v>0</v>
      </c>
      <c r="W183" t="s">
        <v>106</v>
      </c>
    </row>
    <row r="184" spans="1:45" x14ac:dyDescent="0.35">
      <c r="A184" t="s">
        <v>45</v>
      </c>
      <c r="B184" t="s">
        <v>427</v>
      </c>
      <c r="C184" t="s">
        <v>63</v>
      </c>
      <c r="D184" t="s">
        <v>500</v>
      </c>
      <c r="E184" t="s">
        <v>500</v>
      </c>
      <c r="F184" t="s">
        <v>76</v>
      </c>
      <c r="G184" t="s">
        <v>501</v>
      </c>
      <c r="H184" t="s">
        <v>502</v>
      </c>
      <c r="J184" t="str">
        <f>HYPERLINK("https://www.instagram.com/p/C4ucfvtgGcP/","https://www.instagram.com/p/C4ucfvtgGcP/")</f>
        <v>https://www.instagram.com/p/C4ucfvtgGcP/</v>
      </c>
      <c r="O184">
        <v>0</v>
      </c>
      <c r="P184">
        <v>0</v>
      </c>
      <c r="Q184">
        <v>0</v>
      </c>
      <c r="S184">
        <v>0</v>
      </c>
      <c r="T184">
        <v>0</v>
      </c>
      <c r="U184">
        <v>0</v>
      </c>
      <c r="W184" t="s">
        <v>62</v>
      </c>
    </row>
    <row r="185" spans="1:45" x14ac:dyDescent="0.35">
      <c r="A185" t="s">
        <v>45</v>
      </c>
      <c r="B185" t="s">
        <v>427</v>
      </c>
      <c r="C185" t="s">
        <v>63</v>
      </c>
      <c r="D185" t="s">
        <v>503</v>
      </c>
      <c r="E185" t="s">
        <v>503</v>
      </c>
      <c r="F185" t="s">
        <v>142</v>
      </c>
      <c r="G185" t="s">
        <v>504</v>
      </c>
      <c r="H185" t="s">
        <v>505</v>
      </c>
      <c r="J185" t="str">
        <f>HYPERLINK("https://www.instagram.com/p/C4ucfvtgGcP/","https://www.instagram.com/p/C4ucfvtgGcP/")</f>
        <v>https://www.instagram.com/p/C4ucfvtgGcP/</v>
      </c>
      <c r="O185">
        <v>0</v>
      </c>
      <c r="P185">
        <v>0</v>
      </c>
      <c r="Q185">
        <v>0</v>
      </c>
      <c r="S185">
        <v>0</v>
      </c>
      <c r="T185">
        <v>0</v>
      </c>
      <c r="U185">
        <v>0</v>
      </c>
      <c r="W185" t="s">
        <v>62</v>
      </c>
      <c r="AS185" t="s">
        <v>375</v>
      </c>
    </row>
    <row r="186" spans="1:45" x14ac:dyDescent="0.35">
      <c r="A186" t="s">
        <v>45</v>
      </c>
      <c r="B186" t="s">
        <v>427</v>
      </c>
      <c r="C186" t="s">
        <v>63</v>
      </c>
      <c r="D186" t="s">
        <v>503</v>
      </c>
      <c r="E186" t="s">
        <v>503</v>
      </c>
      <c r="F186" t="s">
        <v>49</v>
      </c>
      <c r="G186" t="s">
        <v>506</v>
      </c>
      <c r="H186" t="s">
        <v>507</v>
      </c>
      <c r="J186" t="str">
        <f>HYPERLINK("https://www.instagram.com/p/C4ucfvtgGcP/","https://www.instagram.com/p/C4ucfvtgGcP/")</f>
        <v>https://www.instagram.com/p/C4ucfvtgGcP/</v>
      </c>
      <c r="O186">
        <v>0</v>
      </c>
      <c r="P186">
        <v>0</v>
      </c>
      <c r="Q186">
        <v>0</v>
      </c>
      <c r="S186">
        <v>0</v>
      </c>
      <c r="T186">
        <v>0</v>
      </c>
      <c r="U186">
        <v>0</v>
      </c>
      <c r="W186" t="s">
        <v>62</v>
      </c>
      <c r="AS186" t="s">
        <v>375</v>
      </c>
    </row>
    <row r="187" spans="1:45" x14ac:dyDescent="0.35">
      <c r="A187" t="s">
        <v>45</v>
      </c>
      <c r="B187" t="s">
        <v>427</v>
      </c>
      <c r="C187" t="s">
        <v>63</v>
      </c>
      <c r="D187" t="s">
        <v>508</v>
      </c>
      <c r="E187" t="s">
        <v>508</v>
      </c>
      <c r="F187" t="s">
        <v>49</v>
      </c>
      <c r="G187" t="s">
        <v>509</v>
      </c>
      <c r="H187" t="s">
        <v>510</v>
      </c>
      <c r="J187" t="str">
        <f>HYPERLINK("https://www.instagram.com/reel/C5BPxOoI0c3/","https://www.instagram.com/reel/C5BPxOoI0c3/")</f>
        <v>https://www.instagram.com/reel/C5BPxOoI0c3/</v>
      </c>
      <c r="O187">
        <v>0</v>
      </c>
      <c r="P187">
        <v>0</v>
      </c>
      <c r="Q187">
        <v>0</v>
      </c>
      <c r="S187">
        <v>0</v>
      </c>
      <c r="T187">
        <v>0</v>
      </c>
      <c r="U187">
        <v>0</v>
      </c>
      <c r="W187" t="s">
        <v>62</v>
      </c>
      <c r="AS187" t="s">
        <v>375</v>
      </c>
    </row>
    <row r="188" spans="1:45" x14ac:dyDescent="0.35">
      <c r="A188" t="s">
        <v>45</v>
      </c>
      <c r="B188" t="s">
        <v>427</v>
      </c>
      <c r="C188" t="s">
        <v>47</v>
      </c>
      <c r="D188" t="s">
        <v>511</v>
      </c>
      <c r="E188" t="s">
        <v>511</v>
      </c>
      <c r="F188" t="s">
        <v>49</v>
      </c>
      <c r="G188" t="s">
        <v>512</v>
      </c>
      <c r="H188" t="s">
        <v>513</v>
      </c>
      <c r="J188" t="str">
        <f>HYPERLINK("https://www.facebook.com/357267201017935/inbox/7213265995417987/","https://www.facebook.com/357267201017935/inbox/7213265995417987/")</f>
        <v>https://www.facebook.com/357267201017935/inbox/7213265995417987/</v>
      </c>
      <c r="O188">
        <v>0</v>
      </c>
      <c r="P188">
        <v>0</v>
      </c>
      <c r="Q188">
        <v>0</v>
      </c>
      <c r="S188">
        <v>0</v>
      </c>
      <c r="T188">
        <v>0</v>
      </c>
      <c r="U188">
        <v>0</v>
      </c>
      <c r="W188" t="s">
        <v>52</v>
      </c>
      <c r="AS188" t="s">
        <v>375</v>
      </c>
    </row>
    <row r="189" spans="1:45" x14ac:dyDescent="0.35">
      <c r="A189" t="s">
        <v>45</v>
      </c>
      <c r="B189" t="s">
        <v>427</v>
      </c>
      <c r="C189" t="s">
        <v>47</v>
      </c>
      <c r="D189" t="s">
        <v>511</v>
      </c>
      <c r="E189" t="s">
        <v>511</v>
      </c>
      <c r="F189" t="s">
        <v>49</v>
      </c>
      <c r="G189" t="s">
        <v>514</v>
      </c>
      <c r="H189" t="s">
        <v>515</v>
      </c>
      <c r="J189" t="str">
        <f>HYPERLINK("https://www.facebook.com/357267201017935/inbox/7213265995417987/","https://www.facebook.com/357267201017935/inbox/7213265995417987/")</f>
        <v>https://www.facebook.com/357267201017935/inbox/7213265995417987/</v>
      </c>
      <c r="O189">
        <v>0</v>
      </c>
      <c r="P189">
        <v>0</v>
      </c>
      <c r="Q189">
        <v>0</v>
      </c>
      <c r="S189">
        <v>0</v>
      </c>
      <c r="T189">
        <v>0</v>
      </c>
      <c r="U189">
        <v>0</v>
      </c>
      <c r="W189" t="s">
        <v>52</v>
      </c>
      <c r="AS189" t="s">
        <v>375</v>
      </c>
    </row>
    <row r="190" spans="1:45" x14ac:dyDescent="0.35">
      <c r="A190" t="s">
        <v>45</v>
      </c>
      <c r="B190" t="s">
        <v>427</v>
      </c>
      <c r="C190" t="s">
        <v>47</v>
      </c>
      <c r="D190" t="s">
        <v>511</v>
      </c>
      <c r="E190" t="s">
        <v>511</v>
      </c>
      <c r="F190" t="s">
        <v>49</v>
      </c>
      <c r="G190" t="s">
        <v>516</v>
      </c>
      <c r="H190" t="s">
        <v>517</v>
      </c>
      <c r="J190" t="str">
        <f>HYPERLINK("https://www.facebook.com/357267201017935/inbox/7213265995417987/","https://www.facebook.com/357267201017935/inbox/7213265995417987/")</f>
        <v>https://www.facebook.com/357267201017935/inbox/7213265995417987/</v>
      </c>
      <c r="O190">
        <v>0</v>
      </c>
      <c r="P190">
        <v>0</v>
      </c>
      <c r="Q190">
        <v>0</v>
      </c>
      <c r="S190">
        <v>0</v>
      </c>
      <c r="T190">
        <v>0</v>
      </c>
      <c r="U190">
        <v>0</v>
      </c>
      <c r="W190" t="s">
        <v>52</v>
      </c>
      <c r="AS190" t="s">
        <v>375</v>
      </c>
    </row>
    <row r="191" spans="1:45" x14ac:dyDescent="0.35">
      <c r="A191" t="s">
        <v>45</v>
      </c>
      <c r="B191" t="s">
        <v>427</v>
      </c>
      <c r="C191" t="s">
        <v>47</v>
      </c>
      <c r="D191" t="s">
        <v>511</v>
      </c>
      <c r="E191" t="s">
        <v>511</v>
      </c>
      <c r="F191" t="s">
        <v>49</v>
      </c>
      <c r="G191" t="s">
        <v>518</v>
      </c>
      <c r="H191" t="s">
        <v>519</v>
      </c>
      <c r="J191" t="str">
        <f>HYPERLINK("https://www.facebook.com/357267201017935/inbox/7213265995417987/","https://www.facebook.com/357267201017935/inbox/7213265995417987/")</f>
        <v>https://www.facebook.com/357267201017935/inbox/7213265995417987/</v>
      </c>
      <c r="O191">
        <v>0</v>
      </c>
      <c r="P191">
        <v>0</v>
      </c>
      <c r="Q191">
        <v>0</v>
      </c>
      <c r="S191">
        <v>0</v>
      </c>
      <c r="T191">
        <v>0</v>
      </c>
      <c r="U191">
        <v>0</v>
      </c>
      <c r="W191" t="s">
        <v>52</v>
      </c>
    </row>
    <row r="192" spans="1:45" x14ac:dyDescent="0.35">
      <c r="A192" t="s">
        <v>45</v>
      </c>
      <c r="B192" t="s">
        <v>427</v>
      </c>
      <c r="C192" t="s">
        <v>47</v>
      </c>
      <c r="D192" t="s">
        <v>520</v>
      </c>
      <c r="E192" t="s">
        <v>520</v>
      </c>
      <c r="F192" t="s">
        <v>49</v>
      </c>
      <c r="G192" s="1" t="s">
        <v>521</v>
      </c>
      <c r="H192" t="s">
        <v>522</v>
      </c>
      <c r="J192" t="str">
        <f>HYPERLINK("https://www.facebook.com/454965103328545/posts/788107050014347?comment_id=1117215582820747","https://www.facebook.com/454965103328545/posts/788107050014347?comment_id=1117215582820747")</f>
        <v>https://www.facebook.com/454965103328545/posts/788107050014347?comment_id=1117215582820747</v>
      </c>
      <c r="O192">
        <v>0</v>
      </c>
      <c r="P192">
        <v>0</v>
      </c>
      <c r="Q192">
        <v>0</v>
      </c>
      <c r="S192">
        <v>0</v>
      </c>
      <c r="T192">
        <v>0</v>
      </c>
      <c r="U192">
        <v>0</v>
      </c>
      <c r="W192" t="s">
        <v>62</v>
      </c>
    </row>
    <row r="193" spans="1:45" x14ac:dyDescent="0.35">
      <c r="A193" t="s">
        <v>45</v>
      </c>
      <c r="B193" t="s">
        <v>427</v>
      </c>
      <c r="C193" t="s">
        <v>63</v>
      </c>
      <c r="D193" t="s">
        <v>523</v>
      </c>
      <c r="E193" t="s">
        <v>523</v>
      </c>
      <c r="F193" t="s">
        <v>76</v>
      </c>
      <c r="G193" t="s">
        <v>524</v>
      </c>
      <c r="H193" t="s">
        <v>525</v>
      </c>
      <c r="J193" t="str">
        <f>HYPERLINK("https://www.instagram.com/p/C4vCzwWgO7t/","https://www.instagram.com/p/C4vCzwWgO7t/")</f>
        <v>https://www.instagram.com/p/C4vCzwWgO7t/</v>
      </c>
      <c r="O193">
        <v>0</v>
      </c>
      <c r="P193">
        <v>0</v>
      </c>
      <c r="Q193">
        <v>0</v>
      </c>
      <c r="S193">
        <v>0</v>
      </c>
      <c r="T193">
        <v>0</v>
      </c>
      <c r="U193">
        <v>0</v>
      </c>
      <c r="W193" t="s">
        <v>62</v>
      </c>
      <c r="AO193" t="s">
        <v>119</v>
      </c>
    </row>
    <row r="194" spans="1:45" x14ac:dyDescent="0.35">
      <c r="A194" t="s">
        <v>45</v>
      </c>
      <c r="B194" t="s">
        <v>427</v>
      </c>
      <c r="C194" t="s">
        <v>63</v>
      </c>
      <c r="D194" t="s">
        <v>523</v>
      </c>
      <c r="E194" t="s">
        <v>523</v>
      </c>
      <c r="F194" t="s">
        <v>76</v>
      </c>
      <c r="G194" t="s">
        <v>526</v>
      </c>
      <c r="H194" t="s">
        <v>527</v>
      </c>
      <c r="J194" t="str">
        <f>HYPERLINK("https://www.instagram.com/p/C4vCzwWgO7t/","https://www.instagram.com/p/C4vCzwWgO7t/")</f>
        <v>https://www.instagram.com/p/C4vCzwWgO7t/</v>
      </c>
      <c r="O194">
        <v>0</v>
      </c>
      <c r="P194">
        <v>0</v>
      </c>
      <c r="Q194">
        <v>0</v>
      </c>
      <c r="S194">
        <v>0</v>
      </c>
      <c r="T194">
        <v>0</v>
      </c>
      <c r="U194">
        <v>0</v>
      </c>
      <c r="W194" t="s">
        <v>62</v>
      </c>
    </row>
    <row r="195" spans="1:45" x14ac:dyDescent="0.35">
      <c r="A195" t="s">
        <v>45</v>
      </c>
      <c r="B195" t="s">
        <v>427</v>
      </c>
      <c r="C195" t="s">
        <v>63</v>
      </c>
      <c r="D195" t="s">
        <v>528</v>
      </c>
      <c r="E195" t="s">
        <v>528</v>
      </c>
      <c r="F195" t="s">
        <v>49</v>
      </c>
      <c r="G195" t="s">
        <v>529</v>
      </c>
      <c r="H195" t="s">
        <v>530</v>
      </c>
      <c r="J195" t="str">
        <f>HYPERLINK("https://www.instagram.com/p/C5Dmoi3yDSD/","https://www.instagram.com/p/C5Dmoi3yDSD/")</f>
        <v>https://www.instagram.com/p/C5Dmoi3yDSD/</v>
      </c>
      <c r="O195">
        <v>0</v>
      </c>
      <c r="P195">
        <v>0</v>
      </c>
      <c r="Q195">
        <v>0</v>
      </c>
      <c r="S195">
        <v>0</v>
      </c>
      <c r="T195">
        <v>0</v>
      </c>
      <c r="U195">
        <v>0</v>
      </c>
      <c r="W195" t="s">
        <v>62</v>
      </c>
    </row>
    <row r="196" spans="1:45" x14ac:dyDescent="0.35">
      <c r="A196" t="s">
        <v>45</v>
      </c>
      <c r="B196" t="s">
        <v>427</v>
      </c>
      <c r="C196" t="s">
        <v>47</v>
      </c>
      <c r="D196" t="s">
        <v>531</v>
      </c>
      <c r="E196" t="s">
        <v>531</v>
      </c>
      <c r="F196" t="s">
        <v>49</v>
      </c>
      <c r="G196" t="s">
        <v>532</v>
      </c>
      <c r="H196" t="s">
        <v>533</v>
      </c>
      <c r="J196" t="str">
        <f>HYPERLINK("https://www.facebook.com/454965103328545/videos/1792369101228633?comment_id=1541059813409425","https://www.facebook.com/454965103328545/videos/1792369101228633?comment_id=1541059813409425")</f>
        <v>https://www.facebook.com/454965103328545/videos/1792369101228633?comment_id=1541059813409425</v>
      </c>
      <c r="O196">
        <v>0</v>
      </c>
      <c r="P196">
        <v>0</v>
      </c>
      <c r="Q196">
        <v>0</v>
      </c>
      <c r="S196">
        <v>0</v>
      </c>
      <c r="T196">
        <v>0</v>
      </c>
      <c r="U196">
        <v>0</v>
      </c>
      <c r="W196" t="s">
        <v>62</v>
      </c>
    </row>
    <row r="197" spans="1:45" x14ac:dyDescent="0.35">
      <c r="A197" t="s">
        <v>45</v>
      </c>
      <c r="B197" t="s">
        <v>427</v>
      </c>
      <c r="C197" t="s">
        <v>47</v>
      </c>
      <c r="D197" t="s">
        <v>534</v>
      </c>
      <c r="E197" t="s">
        <v>534</v>
      </c>
      <c r="F197" t="s">
        <v>49</v>
      </c>
      <c r="G197" t="s">
        <v>56</v>
      </c>
      <c r="H197" t="s">
        <v>535</v>
      </c>
      <c r="J197" t="str">
        <f>HYPERLINK("https://www.facebook.com/357267201017935/inbox/7211928172218436/","https://www.facebook.com/357267201017935/inbox/7211928172218436/")</f>
        <v>https://www.facebook.com/357267201017935/inbox/7211928172218436/</v>
      </c>
      <c r="O197">
        <v>0</v>
      </c>
      <c r="P197">
        <v>0</v>
      </c>
      <c r="Q197">
        <v>0</v>
      </c>
      <c r="S197">
        <v>0</v>
      </c>
      <c r="T197">
        <v>0</v>
      </c>
      <c r="U197">
        <v>0</v>
      </c>
      <c r="W197" t="s">
        <v>52</v>
      </c>
      <c r="AS197" t="s">
        <v>375</v>
      </c>
    </row>
    <row r="198" spans="1:45" x14ac:dyDescent="0.35">
      <c r="A198" t="s">
        <v>45</v>
      </c>
      <c r="B198" t="s">
        <v>427</v>
      </c>
      <c r="C198" t="s">
        <v>47</v>
      </c>
      <c r="D198" t="s">
        <v>536</v>
      </c>
      <c r="E198" t="s">
        <v>536</v>
      </c>
      <c r="F198" t="s">
        <v>49</v>
      </c>
      <c r="G198" t="s">
        <v>537</v>
      </c>
      <c r="H198" t="s">
        <v>538</v>
      </c>
      <c r="J198" t="str">
        <f>HYPERLINK("https://www.facebook.com/454965103328545/posts/755944923230560?comment_id=1121454605660625","https://www.facebook.com/454965103328545/posts/755944923230560?comment_id=1121454605660625")</f>
        <v>https://www.facebook.com/454965103328545/posts/755944923230560?comment_id=1121454605660625</v>
      </c>
      <c r="O198">
        <v>0</v>
      </c>
      <c r="P198">
        <v>0</v>
      </c>
      <c r="Q198">
        <v>0</v>
      </c>
      <c r="S198">
        <v>0</v>
      </c>
      <c r="T198">
        <v>0</v>
      </c>
      <c r="U198">
        <v>0</v>
      </c>
      <c r="W198" t="s">
        <v>62</v>
      </c>
    </row>
    <row r="199" spans="1:45" x14ac:dyDescent="0.35">
      <c r="A199" t="s">
        <v>45</v>
      </c>
      <c r="B199" t="s">
        <v>539</v>
      </c>
      <c r="C199" t="s">
        <v>58</v>
      </c>
      <c r="D199" t="s">
        <v>540</v>
      </c>
      <c r="E199" t="s">
        <v>540</v>
      </c>
      <c r="F199" t="s">
        <v>49</v>
      </c>
      <c r="G199" t="s">
        <v>541</v>
      </c>
      <c r="H199" t="s">
        <v>542</v>
      </c>
      <c r="J199" t="str">
        <f>HYPERLINK("https://www.youtube.com/watch?v=gnQHJOX8440","https://www.youtube.com/watch?v=gnQHJOX8440")</f>
        <v>https://www.youtube.com/watch?v=gnQHJOX8440</v>
      </c>
      <c r="O199">
        <v>0</v>
      </c>
      <c r="P199">
        <v>0</v>
      </c>
      <c r="Q199">
        <v>0</v>
      </c>
      <c r="S199">
        <v>0</v>
      </c>
      <c r="T199">
        <v>0</v>
      </c>
      <c r="U199">
        <v>0</v>
      </c>
      <c r="W199" t="s">
        <v>106</v>
      </c>
    </row>
    <row r="200" spans="1:45" x14ac:dyDescent="0.35">
      <c r="A200" t="s">
        <v>45</v>
      </c>
      <c r="B200" t="s">
        <v>539</v>
      </c>
      <c r="C200" t="s">
        <v>63</v>
      </c>
      <c r="D200" t="s">
        <v>487</v>
      </c>
      <c r="E200" t="s">
        <v>487</v>
      </c>
      <c r="F200" t="s">
        <v>49</v>
      </c>
      <c r="G200" t="s">
        <v>543</v>
      </c>
      <c r="H200" t="s">
        <v>544</v>
      </c>
      <c r="J200" t="str">
        <f>HYPERLINK("https://www.instagram.com/p/C5Dmoi3yDSD/","https://www.instagram.com/p/C5Dmoi3yDSD/")</f>
        <v>https://www.instagram.com/p/C5Dmoi3yDSD/</v>
      </c>
      <c r="O200">
        <v>0</v>
      </c>
      <c r="P200">
        <v>0</v>
      </c>
      <c r="Q200">
        <v>0</v>
      </c>
      <c r="S200">
        <v>0</v>
      </c>
      <c r="T200">
        <v>0</v>
      </c>
      <c r="U200">
        <v>0</v>
      </c>
      <c r="W200" t="s">
        <v>62</v>
      </c>
    </row>
    <row r="201" spans="1:45" x14ac:dyDescent="0.35">
      <c r="A201" t="s">
        <v>45</v>
      </c>
      <c r="B201" t="s">
        <v>539</v>
      </c>
      <c r="C201" t="s">
        <v>58</v>
      </c>
      <c r="D201" t="s">
        <v>545</v>
      </c>
      <c r="E201" t="s">
        <v>545</v>
      </c>
      <c r="F201" t="s">
        <v>49</v>
      </c>
      <c r="G201" t="s">
        <v>546</v>
      </c>
      <c r="H201" t="s">
        <v>547</v>
      </c>
      <c r="J201" t="str">
        <f>HYPERLINK("https://www.youtube.com/watch?v=70BBupeiq4g","https://www.youtube.com/watch?v=70BBupeiq4g")</f>
        <v>https://www.youtube.com/watch?v=70BBupeiq4g</v>
      </c>
      <c r="O201">
        <v>0</v>
      </c>
      <c r="P201">
        <v>0</v>
      </c>
      <c r="Q201">
        <v>0</v>
      </c>
      <c r="S201">
        <v>0</v>
      </c>
      <c r="T201">
        <v>0</v>
      </c>
      <c r="U201">
        <v>0</v>
      </c>
      <c r="W201" t="s">
        <v>106</v>
      </c>
    </row>
    <row r="202" spans="1:45" x14ac:dyDescent="0.35">
      <c r="A202" t="s">
        <v>45</v>
      </c>
      <c r="B202" t="s">
        <v>539</v>
      </c>
      <c r="C202" t="s">
        <v>139</v>
      </c>
      <c r="D202" t="s">
        <v>548</v>
      </c>
      <c r="E202" t="s">
        <v>549</v>
      </c>
      <c r="F202" t="s">
        <v>49</v>
      </c>
      <c r="G202" t="s">
        <v>550</v>
      </c>
      <c r="H202" t="s">
        <v>551</v>
      </c>
      <c r="J202" t="str">
        <f>HYPERLINK("https://twitter.com/Karthikeya74079/status/1773388222795805174","https://twitter.com/Karthikeya74079/status/1773388222795805174")</f>
        <v>https://twitter.com/Karthikeya74079/status/1773388222795805174</v>
      </c>
      <c r="K202" t="s">
        <v>145</v>
      </c>
      <c r="O202">
        <v>0</v>
      </c>
      <c r="P202">
        <v>0</v>
      </c>
      <c r="Q202">
        <v>115</v>
      </c>
      <c r="S202">
        <v>0</v>
      </c>
      <c r="T202">
        <v>0</v>
      </c>
      <c r="U202">
        <v>0</v>
      </c>
      <c r="W202" t="s">
        <v>552</v>
      </c>
    </row>
    <row r="203" spans="1:45" x14ac:dyDescent="0.35">
      <c r="A203" t="s">
        <v>45</v>
      </c>
      <c r="B203" t="s">
        <v>539</v>
      </c>
      <c r="C203" t="s">
        <v>63</v>
      </c>
      <c r="D203" t="s">
        <v>553</v>
      </c>
      <c r="E203" t="s">
        <v>553</v>
      </c>
      <c r="F203" t="s">
        <v>49</v>
      </c>
      <c r="G203" t="s">
        <v>554</v>
      </c>
      <c r="H203" t="s">
        <v>555</v>
      </c>
      <c r="J203" t="str">
        <f>HYPERLINK("https://www.instagram.com/reel/C5Df3E0tuCk/","https://www.instagram.com/reel/C5Df3E0tuCk/")</f>
        <v>https://www.instagram.com/reel/C5Df3E0tuCk/</v>
      </c>
      <c r="O203">
        <v>0</v>
      </c>
      <c r="P203">
        <v>0</v>
      </c>
      <c r="Q203">
        <v>0</v>
      </c>
      <c r="S203">
        <v>0</v>
      </c>
      <c r="T203">
        <v>0</v>
      </c>
      <c r="U203">
        <v>0</v>
      </c>
      <c r="W203" t="s">
        <v>106</v>
      </c>
    </row>
    <row r="204" spans="1:45" x14ac:dyDescent="0.35">
      <c r="A204" t="s">
        <v>45</v>
      </c>
      <c r="B204" t="s">
        <v>539</v>
      </c>
      <c r="C204" t="s">
        <v>58</v>
      </c>
      <c r="D204" t="s">
        <v>556</v>
      </c>
      <c r="E204" t="s">
        <v>556</v>
      </c>
      <c r="F204" t="s">
        <v>49</v>
      </c>
      <c r="G204" t="s">
        <v>557</v>
      </c>
      <c r="H204" t="s">
        <v>558</v>
      </c>
      <c r="J204" t="str">
        <f>HYPERLINK("https://www.youtube.com/watch?v=7N60C9-ztcY","https://www.youtube.com/watch?v=7N60C9-ztcY")</f>
        <v>https://www.youtube.com/watch?v=7N60C9-ztcY</v>
      </c>
      <c r="O204">
        <v>0</v>
      </c>
      <c r="P204">
        <v>0</v>
      </c>
      <c r="Q204">
        <v>0</v>
      </c>
      <c r="S204">
        <v>0</v>
      </c>
      <c r="T204">
        <v>0</v>
      </c>
      <c r="U204">
        <v>0</v>
      </c>
      <c r="W204" t="s">
        <v>106</v>
      </c>
    </row>
    <row r="205" spans="1:45" x14ac:dyDescent="0.35">
      <c r="A205" t="s">
        <v>45</v>
      </c>
      <c r="B205" t="s">
        <v>539</v>
      </c>
      <c r="C205" t="s">
        <v>47</v>
      </c>
      <c r="D205" t="s">
        <v>308</v>
      </c>
      <c r="E205" t="s">
        <v>308</v>
      </c>
      <c r="F205" t="s">
        <v>49</v>
      </c>
      <c r="G205" t="s">
        <v>559</v>
      </c>
      <c r="H205" t="s">
        <v>560</v>
      </c>
      <c r="J205" t="str">
        <f t="shared" ref="J205:J210" si="0">HYPERLINK("https://www.facebook.com/357267201017935/inbox/2808031775941453/","https://www.facebook.com/357267201017935/inbox/2808031775941453/")</f>
        <v>https://www.facebook.com/357267201017935/inbox/2808031775941453/</v>
      </c>
      <c r="O205">
        <v>0</v>
      </c>
      <c r="P205">
        <v>0</v>
      </c>
      <c r="Q205">
        <v>0</v>
      </c>
      <c r="S205">
        <v>0</v>
      </c>
      <c r="T205">
        <v>0</v>
      </c>
      <c r="U205">
        <v>0</v>
      </c>
      <c r="W205" t="s">
        <v>52</v>
      </c>
      <c r="AS205" t="s">
        <v>375</v>
      </c>
    </row>
    <row r="206" spans="1:45" x14ac:dyDescent="0.35">
      <c r="A206" t="s">
        <v>45</v>
      </c>
      <c r="B206" t="s">
        <v>539</v>
      </c>
      <c r="C206" t="s">
        <v>47</v>
      </c>
      <c r="D206" t="s">
        <v>308</v>
      </c>
      <c r="E206" t="s">
        <v>308</v>
      </c>
      <c r="F206" t="s">
        <v>49</v>
      </c>
      <c r="G206" t="s">
        <v>561</v>
      </c>
      <c r="H206" t="s">
        <v>562</v>
      </c>
      <c r="J206" t="str">
        <f t="shared" si="0"/>
        <v>https://www.facebook.com/357267201017935/inbox/2808031775941453/</v>
      </c>
      <c r="O206">
        <v>0</v>
      </c>
      <c r="P206">
        <v>0</v>
      </c>
      <c r="Q206">
        <v>0</v>
      </c>
      <c r="S206">
        <v>0</v>
      </c>
      <c r="T206">
        <v>0</v>
      </c>
      <c r="U206">
        <v>0</v>
      </c>
      <c r="W206" t="s">
        <v>52</v>
      </c>
    </row>
    <row r="207" spans="1:45" x14ac:dyDescent="0.35">
      <c r="A207" t="s">
        <v>45</v>
      </c>
      <c r="B207" t="s">
        <v>539</v>
      </c>
      <c r="C207" t="s">
        <v>47</v>
      </c>
      <c r="D207" t="s">
        <v>308</v>
      </c>
      <c r="E207" t="s">
        <v>308</v>
      </c>
      <c r="F207" t="s">
        <v>142</v>
      </c>
      <c r="G207" t="s">
        <v>563</v>
      </c>
      <c r="H207" t="s">
        <v>564</v>
      </c>
      <c r="J207" t="str">
        <f t="shared" si="0"/>
        <v>https://www.facebook.com/357267201017935/inbox/2808031775941453/</v>
      </c>
      <c r="O207">
        <v>0</v>
      </c>
      <c r="P207">
        <v>0</v>
      </c>
      <c r="Q207">
        <v>0</v>
      </c>
      <c r="S207">
        <v>0</v>
      </c>
      <c r="T207">
        <v>0</v>
      </c>
      <c r="U207">
        <v>0</v>
      </c>
      <c r="W207" t="s">
        <v>52</v>
      </c>
      <c r="AP207" t="s">
        <v>147</v>
      </c>
      <c r="AS207" t="s">
        <v>375</v>
      </c>
    </row>
    <row r="208" spans="1:45" x14ac:dyDescent="0.35">
      <c r="A208" t="s">
        <v>45</v>
      </c>
      <c r="B208" t="s">
        <v>539</v>
      </c>
      <c r="C208" t="s">
        <v>47</v>
      </c>
      <c r="D208" t="s">
        <v>308</v>
      </c>
      <c r="E208" t="s">
        <v>308</v>
      </c>
      <c r="F208" t="s">
        <v>49</v>
      </c>
      <c r="G208" t="s">
        <v>565</v>
      </c>
      <c r="H208" t="s">
        <v>566</v>
      </c>
      <c r="J208" t="str">
        <f t="shared" si="0"/>
        <v>https://www.facebook.com/357267201017935/inbox/2808031775941453/</v>
      </c>
      <c r="O208">
        <v>0</v>
      </c>
      <c r="P208">
        <v>0</v>
      </c>
      <c r="Q208">
        <v>0</v>
      </c>
      <c r="S208">
        <v>0</v>
      </c>
      <c r="T208">
        <v>0</v>
      </c>
      <c r="U208">
        <v>0</v>
      </c>
      <c r="W208" t="s">
        <v>52</v>
      </c>
      <c r="AS208" t="s">
        <v>375</v>
      </c>
    </row>
    <row r="209" spans="1:45" x14ac:dyDescent="0.35">
      <c r="A209" t="s">
        <v>45</v>
      </c>
      <c r="B209" t="s">
        <v>539</v>
      </c>
      <c r="C209" t="s">
        <v>47</v>
      </c>
      <c r="D209" t="s">
        <v>308</v>
      </c>
      <c r="E209" t="s">
        <v>308</v>
      </c>
      <c r="F209" t="s">
        <v>142</v>
      </c>
      <c r="G209" t="s">
        <v>567</v>
      </c>
      <c r="H209" t="s">
        <v>568</v>
      </c>
      <c r="J209" t="str">
        <f t="shared" si="0"/>
        <v>https://www.facebook.com/357267201017935/inbox/2808031775941453/</v>
      </c>
      <c r="O209">
        <v>0</v>
      </c>
      <c r="P209">
        <v>0</v>
      </c>
      <c r="Q209">
        <v>0</v>
      </c>
      <c r="S209">
        <v>0</v>
      </c>
      <c r="T209">
        <v>0</v>
      </c>
      <c r="U209">
        <v>0</v>
      </c>
      <c r="W209" t="s">
        <v>52</v>
      </c>
      <c r="AP209" t="s">
        <v>147</v>
      </c>
    </row>
    <row r="210" spans="1:45" x14ac:dyDescent="0.35">
      <c r="A210" t="s">
        <v>45</v>
      </c>
      <c r="B210" t="s">
        <v>539</v>
      </c>
      <c r="C210" t="s">
        <v>47</v>
      </c>
      <c r="D210" t="s">
        <v>308</v>
      </c>
      <c r="E210" t="s">
        <v>308</v>
      </c>
      <c r="F210" t="s">
        <v>49</v>
      </c>
      <c r="G210" t="s">
        <v>56</v>
      </c>
      <c r="H210" t="s">
        <v>569</v>
      </c>
      <c r="J210" t="str">
        <f t="shared" si="0"/>
        <v>https://www.facebook.com/357267201017935/inbox/2808031775941453/</v>
      </c>
      <c r="O210">
        <v>0</v>
      </c>
      <c r="P210">
        <v>0</v>
      </c>
      <c r="Q210">
        <v>0</v>
      </c>
      <c r="S210">
        <v>0</v>
      </c>
      <c r="T210">
        <v>0</v>
      </c>
      <c r="U210">
        <v>0</v>
      </c>
      <c r="W210" t="s">
        <v>52</v>
      </c>
      <c r="AS210" t="s">
        <v>375</v>
      </c>
    </row>
    <row r="211" spans="1:45" x14ac:dyDescent="0.35">
      <c r="A211" t="s">
        <v>45</v>
      </c>
      <c r="B211" t="s">
        <v>539</v>
      </c>
      <c r="C211" t="s">
        <v>47</v>
      </c>
      <c r="D211" t="s">
        <v>455</v>
      </c>
      <c r="E211" t="s">
        <v>455</v>
      </c>
      <c r="F211" t="s">
        <v>49</v>
      </c>
      <c r="G211" t="s">
        <v>570</v>
      </c>
      <c r="H211" t="s">
        <v>571</v>
      </c>
      <c r="J211" t="str">
        <f>HYPERLINK("https://www.facebook.com/454965103328545/videos/1792369101228633?comment_id=1351161352239261","https://www.facebook.com/454965103328545/videos/1792369101228633?comment_id=1351161352239261")</f>
        <v>https://www.facebook.com/454965103328545/videos/1792369101228633?comment_id=1351161352239261</v>
      </c>
      <c r="O211">
        <v>0</v>
      </c>
      <c r="P211">
        <v>0</v>
      </c>
      <c r="Q211">
        <v>0</v>
      </c>
      <c r="S211">
        <v>0</v>
      </c>
      <c r="T211">
        <v>0</v>
      </c>
      <c r="U211">
        <v>0</v>
      </c>
      <c r="W211" t="s">
        <v>62</v>
      </c>
      <c r="AS211" t="s">
        <v>375</v>
      </c>
    </row>
    <row r="212" spans="1:45" x14ac:dyDescent="0.35">
      <c r="A212" t="s">
        <v>45</v>
      </c>
      <c r="B212" t="s">
        <v>539</v>
      </c>
      <c r="C212" t="s">
        <v>63</v>
      </c>
      <c r="D212" t="s">
        <v>572</v>
      </c>
      <c r="E212" t="s">
        <v>572</v>
      </c>
      <c r="F212" t="s">
        <v>49</v>
      </c>
      <c r="G212" t="s">
        <v>573</v>
      </c>
      <c r="H212" t="s">
        <v>574</v>
      </c>
      <c r="J212" t="str">
        <f>HYPERLINK("https://www.instagram.com/p/C2w6aNLgipi/","https://www.instagram.com/p/C2w6aNLgipi/")</f>
        <v>https://www.instagram.com/p/C2w6aNLgipi/</v>
      </c>
      <c r="O212">
        <v>0</v>
      </c>
      <c r="P212">
        <v>0</v>
      </c>
      <c r="Q212">
        <v>0</v>
      </c>
      <c r="S212">
        <v>0</v>
      </c>
      <c r="T212">
        <v>0</v>
      </c>
      <c r="U212">
        <v>0</v>
      </c>
      <c r="W212" t="s">
        <v>62</v>
      </c>
      <c r="AS212" t="s">
        <v>375</v>
      </c>
    </row>
    <row r="213" spans="1:45" x14ac:dyDescent="0.35">
      <c r="A213" t="s">
        <v>45</v>
      </c>
      <c r="B213" t="s">
        <v>539</v>
      </c>
      <c r="C213" t="s">
        <v>47</v>
      </c>
      <c r="D213" t="s">
        <v>575</v>
      </c>
      <c r="E213" t="s">
        <v>575</v>
      </c>
      <c r="F213" t="s">
        <v>49</v>
      </c>
      <c r="G213" t="s">
        <v>576</v>
      </c>
      <c r="H213" t="s">
        <v>577</v>
      </c>
      <c r="J213" t="str">
        <f>HYPERLINK("https://www.facebook.com/357267201017935/inbox/7210292922381961/","https://www.facebook.com/357267201017935/inbox/7210292922381961/")</f>
        <v>https://www.facebook.com/357267201017935/inbox/7210292922381961/</v>
      </c>
      <c r="O213">
        <v>0</v>
      </c>
      <c r="P213">
        <v>0</v>
      </c>
      <c r="Q213">
        <v>0</v>
      </c>
      <c r="S213">
        <v>0</v>
      </c>
      <c r="T213">
        <v>0</v>
      </c>
      <c r="U213">
        <v>0</v>
      </c>
      <c r="W213" t="s">
        <v>52</v>
      </c>
      <c r="AS213" t="s">
        <v>375</v>
      </c>
    </row>
    <row r="214" spans="1:45" x14ac:dyDescent="0.35">
      <c r="A214" t="s">
        <v>45</v>
      </c>
      <c r="B214" t="s">
        <v>539</v>
      </c>
      <c r="C214" t="s">
        <v>47</v>
      </c>
      <c r="D214" t="s">
        <v>575</v>
      </c>
      <c r="E214" t="s">
        <v>575</v>
      </c>
      <c r="F214" t="s">
        <v>49</v>
      </c>
      <c r="G214" t="s">
        <v>50</v>
      </c>
      <c r="H214" t="s">
        <v>578</v>
      </c>
      <c r="J214" t="str">
        <f>HYPERLINK("https://www.facebook.com/357267201017935/inbox/7210292922381961/","https://www.facebook.com/357267201017935/inbox/7210292922381961/")</f>
        <v>https://www.facebook.com/357267201017935/inbox/7210292922381961/</v>
      </c>
      <c r="O214">
        <v>0</v>
      </c>
      <c r="P214">
        <v>0</v>
      </c>
      <c r="Q214">
        <v>0</v>
      </c>
      <c r="S214">
        <v>0</v>
      </c>
      <c r="T214">
        <v>0</v>
      </c>
      <c r="U214">
        <v>0</v>
      </c>
      <c r="W214" t="s">
        <v>52</v>
      </c>
      <c r="AS214" t="s">
        <v>375</v>
      </c>
    </row>
    <row r="215" spans="1:45" x14ac:dyDescent="0.35">
      <c r="A215" t="s">
        <v>45</v>
      </c>
      <c r="B215" t="s">
        <v>539</v>
      </c>
      <c r="C215" t="s">
        <v>139</v>
      </c>
      <c r="D215" t="s">
        <v>579</v>
      </c>
      <c r="E215" t="s">
        <v>580</v>
      </c>
      <c r="F215" t="s">
        <v>49</v>
      </c>
      <c r="G215" t="s">
        <v>550</v>
      </c>
      <c r="H215" t="s">
        <v>581</v>
      </c>
      <c r="J215" t="str">
        <f>HYPERLINK("https://twitter.com/iam_TommyShelby/status/1773359738501099690","https://twitter.com/iam_TommyShelby/status/1773359738501099690")</f>
        <v>https://twitter.com/iam_TommyShelby/status/1773359738501099690</v>
      </c>
      <c r="K215" t="s">
        <v>145</v>
      </c>
      <c r="O215">
        <v>0</v>
      </c>
      <c r="P215">
        <v>0</v>
      </c>
      <c r="Q215">
        <v>3</v>
      </c>
      <c r="R215" t="s">
        <v>582</v>
      </c>
      <c r="S215">
        <v>0</v>
      </c>
      <c r="T215">
        <v>0</v>
      </c>
      <c r="U215">
        <v>0</v>
      </c>
      <c r="W215" t="s">
        <v>552</v>
      </c>
    </row>
    <row r="216" spans="1:45" x14ac:dyDescent="0.35">
      <c r="A216" t="s">
        <v>45</v>
      </c>
      <c r="B216" t="s">
        <v>539</v>
      </c>
      <c r="C216" t="s">
        <v>139</v>
      </c>
      <c r="D216" t="s">
        <v>583</v>
      </c>
      <c r="E216" t="s">
        <v>584</v>
      </c>
      <c r="F216" t="s">
        <v>49</v>
      </c>
      <c r="G216" t="s">
        <v>550</v>
      </c>
      <c r="H216" t="s">
        <v>585</v>
      </c>
      <c r="J216" t="str">
        <f>HYPERLINK("https://twitter.com/KalashS13945083/status/1773352020751053242","https://twitter.com/KalashS13945083/status/1773352020751053242")</f>
        <v>https://twitter.com/KalashS13945083/status/1773352020751053242</v>
      </c>
      <c r="K216" t="s">
        <v>145</v>
      </c>
      <c r="O216">
        <v>0</v>
      </c>
      <c r="P216">
        <v>0</v>
      </c>
      <c r="Q216">
        <v>23</v>
      </c>
      <c r="S216">
        <v>0</v>
      </c>
      <c r="T216">
        <v>0</v>
      </c>
      <c r="U216">
        <v>0</v>
      </c>
      <c r="W216" t="s">
        <v>552</v>
      </c>
    </row>
    <row r="217" spans="1:45" x14ac:dyDescent="0.35">
      <c r="A217" t="s">
        <v>45</v>
      </c>
      <c r="B217" t="s">
        <v>539</v>
      </c>
      <c r="C217" t="s">
        <v>47</v>
      </c>
      <c r="D217" t="s">
        <v>45</v>
      </c>
      <c r="E217" t="s">
        <v>45</v>
      </c>
      <c r="F217" t="s">
        <v>49</v>
      </c>
      <c r="G217" t="s">
        <v>586</v>
      </c>
      <c r="H217" t="s">
        <v>587</v>
      </c>
      <c r="J217" t="str">
        <f>HYPERLINK("https://www.facebook.com/357267201017935_796548465836872","https://www.facebook.com/357267201017935_796548465836872")</f>
        <v>https://www.facebook.com/357267201017935_796548465836872</v>
      </c>
      <c r="O217">
        <v>0</v>
      </c>
      <c r="P217">
        <v>0</v>
      </c>
      <c r="Q217">
        <v>0</v>
      </c>
      <c r="S217">
        <v>0</v>
      </c>
      <c r="T217">
        <v>0</v>
      </c>
      <c r="U217">
        <v>0</v>
      </c>
      <c r="W217" t="s">
        <v>106</v>
      </c>
      <c r="AS217" t="s">
        <v>115</v>
      </c>
    </row>
    <row r="218" spans="1:45" x14ac:dyDescent="0.35">
      <c r="A218" t="s">
        <v>45</v>
      </c>
      <c r="B218" t="s">
        <v>539</v>
      </c>
      <c r="C218" t="s">
        <v>47</v>
      </c>
      <c r="D218" t="s">
        <v>588</v>
      </c>
      <c r="E218" t="s">
        <v>588</v>
      </c>
      <c r="F218" t="s">
        <v>49</v>
      </c>
      <c r="G218" t="s">
        <v>589</v>
      </c>
      <c r="H218" t="s">
        <v>590</v>
      </c>
      <c r="J218" t="str">
        <f>HYPERLINK("https://www.facebook.com/454965103328545/posts/795263512632034?comment_id=627800906176336&amp;reply_comment_id=1127702328370053","https://www.facebook.com/454965103328545/posts/795263512632034?comment_id=627800906176336&amp;reply_comment_id=1127702328370053")</f>
        <v>https://www.facebook.com/454965103328545/posts/795263512632034?comment_id=627800906176336&amp;reply_comment_id=1127702328370053</v>
      </c>
      <c r="O218">
        <v>0</v>
      </c>
      <c r="P218">
        <v>0</v>
      </c>
      <c r="Q218">
        <v>0</v>
      </c>
      <c r="S218">
        <v>0</v>
      </c>
      <c r="T218">
        <v>0</v>
      </c>
      <c r="U218">
        <v>0</v>
      </c>
      <c r="W218" t="s">
        <v>62</v>
      </c>
    </row>
    <row r="219" spans="1:45" x14ac:dyDescent="0.35">
      <c r="A219" t="s">
        <v>45</v>
      </c>
      <c r="B219" t="s">
        <v>539</v>
      </c>
      <c r="C219" t="s">
        <v>139</v>
      </c>
      <c r="D219" t="s">
        <v>591</v>
      </c>
      <c r="E219" t="s">
        <v>592</v>
      </c>
      <c r="F219" t="s">
        <v>49</v>
      </c>
      <c r="G219" t="s">
        <v>550</v>
      </c>
      <c r="H219" t="s">
        <v>593</v>
      </c>
      <c r="J219" t="str">
        <f>HYPERLINK("https://twitter.com/Rajeev71181793/status/1773331276893745656","https://twitter.com/Rajeev71181793/status/1773331276893745656")</f>
        <v>https://twitter.com/Rajeev71181793/status/1773331276893745656</v>
      </c>
      <c r="K219" t="s">
        <v>145</v>
      </c>
      <c r="O219">
        <v>0</v>
      </c>
      <c r="P219">
        <v>0</v>
      </c>
      <c r="Q219">
        <v>9</v>
      </c>
      <c r="S219">
        <v>0</v>
      </c>
      <c r="T219">
        <v>0</v>
      </c>
      <c r="U219">
        <v>0</v>
      </c>
      <c r="W219" t="s">
        <v>552</v>
      </c>
    </row>
    <row r="220" spans="1:45" x14ac:dyDescent="0.35">
      <c r="A220" t="s">
        <v>45</v>
      </c>
      <c r="B220" t="s">
        <v>539</v>
      </c>
      <c r="C220" t="s">
        <v>47</v>
      </c>
      <c r="D220" t="s">
        <v>445</v>
      </c>
      <c r="E220" t="s">
        <v>445</v>
      </c>
      <c r="F220" t="s">
        <v>142</v>
      </c>
      <c r="G220" t="s">
        <v>473</v>
      </c>
      <c r="H220" t="s">
        <v>594</v>
      </c>
      <c r="J220" t="str">
        <f>HYPERLINK("https://www.facebook.com/454965103328545/posts/795257599299292?comment_id=781698493504492","https://www.facebook.com/454965103328545/posts/795257599299292?comment_id=781698493504492")</f>
        <v>https://www.facebook.com/454965103328545/posts/795257599299292?comment_id=781698493504492</v>
      </c>
      <c r="O220">
        <v>0</v>
      </c>
      <c r="P220">
        <v>0</v>
      </c>
      <c r="Q220">
        <v>0</v>
      </c>
      <c r="S220">
        <v>0</v>
      </c>
      <c r="T220">
        <v>0</v>
      </c>
      <c r="U220">
        <v>0</v>
      </c>
      <c r="W220" t="s">
        <v>62</v>
      </c>
    </row>
    <row r="221" spans="1:45" x14ac:dyDescent="0.35">
      <c r="A221" t="s">
        <v>45</v>
      </c>
      <c r="B221" t="s">
        <v>539</v>
      </c>
      <c r="C221" t="s">
        <v>47</v>
      </c>
      <c r="D221" t="s">
        <v>445</v>
      </c>
      <c r="E221" t="s">
        <v>445</v>
      </c>
      <c r="F221" t="s">
        <v>142</v>
      </c>
      <c r="G221" t="s">
        <v>473</v>
      </c>
      <c r="H221" t="s">
        <v>595</v>
      </c>
      <c r="J221" t="str">
        <f>HYPERLINK("https://www.facebook.com/454965103328545/posts/795257599299292?comment_id=388942063998318","https://www.facebook.com/454965103328545/posts/795257599299292?comment_id=388942063998318")</f>
        <v>https://www.facebook.com/454965103328545/posts/795257599299292?comment_id=388942063998318</v>
      </c>
      <c r="O221">
        <v>0</v>
      </c>
      <c r="P221">
        <v>0</v>
      </c>
      <c r="Q221">
        <v>0</v>
      </c>
      <c r="S221">
        <v>0</v>
      </c>
      <c r="T221">
        <v>0</v>
      </c>
      <c r="U221">
        <v>0</v>
      </c>
      <c r="W221" t="s">
        <v>62</v>
      </c>
    </row>
    <row r="222" spans="1:45" x14ac:dyDescent="0.35">
      <c r="A222" t="s">
        <v>45</v>
      </c>
      <c r="B222" t="s">
        <v>539</v>
      </c>
      <c r="C222" t="s">
        <v>47</v>
      </c>
      <c r="D222" t="s">
        <v>445</v>
      </c>
      <c r="E222" t="s">
        <v>445</v>
      </c>
      <c r="F222" t="s">
        <v>49</v>
      </c>
      <c r="G222" t="s">
        <v>477</v>
      </c>
      <c r="H222" t="s">
        <v>596</v>
      </c>
      <c r="J222" t="str">
        <f>HYPERLINK("https://www.facebook.com/454965103328545/posts/795257599299292?comment_id=1105404430705708","https://www.facebook.com/454965103328545/posts/795257599299292?comment_id=1105404430705708")</f>
        <v>https://www.facebook.com/454965103328545/posts/795257599299292?comment_id=1105404430705708</v>
      </c>
      <c r="O222">
        <v>0</v>
      </c>
      <c r="P222">
        <v>0</v>
      </c>
      <c r="Q222">
        <v>0</v>
      </c>
      <c r="S222">
        <v>0</v>
      </c>
      <c r="T222">
        <v>0</v>
      </c>
      <c r="U222">
        <v>0</v>
      </c>
      <c r="W222" t="s">
        <v>62</v>
      </c>
      <c r="AS222" t="s">
        <v>375</v>
      </c>
    </row>
    <row r="223" spans="1:45" x14ac:dyDescent="0.35">
      <c r="A223" t="s">
        <v>45</v>
      </c>
      <c r="B223" t="s">
        <v>539</v>
      </c>
      <c r="C223" t="s">
        <v>47</v>
      </c>
      <c r="D223" t="s">
        <v>445</v>
      </c>
      <c r="E223" t="s">
        <v>445</v>
      </c>
      <c r="F223" t="s">
        <v>49</v>
      </c>
      <c r="G223" t="s">
        <v>471</v>
      </c>
      <c r="H223" t="s">
        <v>597</v>
      </c>
      <c r="J223" t="str">
        <f>HYPERLINK("https://www.facebook.com/454965103328545/posts/795257599299292?comment_id=1913569415749845","https://www.facebook.com/454965103328545/posts/795257599299292?comment_id=1913569415749845")</f>
        <v>https://www.facebook.com/454965103328545/posts/795257599299292?comment_id=1913569415749845</v>
      </c>
      <c r="O223">
        <v>0</v>
      </c>
      <c r="P223">
        <v>0</v>
      </c>
      <c r="Q223">
        <v>0</v>
      </c>
      <c r="S223">
        <v>0</v>
      </c>
      <c r="T223">
        <v>0</v>
      </c>
      <c r="U223">
        <v>0</v>
      </c>
      <c r="W223" t="s">
        <v>62</v>
      </c>
      <c r="AS223" t="s">
        <v>375</v>
      </c>
    </row>
    <row r="224" spans="1:45" x14ac:dyDescent="0.35">
      <c r="A224" t="s">
        <v>45</v>
      </c>
      <c r="B224" t="s">
        <v>539</v>
      </c>
      <c r="C224" t="s">
        <v>47</v>
      </c>
      <c r="D224" t="s">
        <v>445</v>
      </c>
      <c r="E224" t="s">
        <v>445</v>
      </c>
      <c r="F224" t="s">
        <v>142</v>
      </c>
      <c r="G224" t="s">
        <v>473</v>
      </c>
      <c r="H224" t="s">
        <v>598</v>
      </c>
      <c r="J224" t="str">
        <f>HYPERLINK("https://www.facebook.com/454965103328545/posts/795257599299292?comment_id=366094003072362","https://www.facebook.com/454965103328545/posts/795257599299292?comment_id=366094003072362")</f>
        <v>https://www.facebook.com/454965103328545/posts/795257599299292?comment_id=366094003072362</v>
      </c>
      <c r="O224">
        <v>0</v>
      </c>
      <c r="P224">
        <v>0</v>
      </c>
      <c r="Q224">
        <v>0</v>
      </c>
      <c r="S224">
        <v>0</v>
      </c>
      <c r="T224">
        <v>0</v>
      </c>
      <c r="U224">
        <v>0</v>
      </c>
      <c r="W224" t="s">
        <v>62</v>
      </c>
    </row>
    <row r="225" spans="1:45" x14ac:dyDescent="0.35">
      <c r="A225" t="s">
        <v>45</v>
      </c>
      <c r="B225" t="s">
        <v>539</v>
      </c>
      <c r="C225" t="s">
        <v>47</v>
      </c>
      <c r="D225" t="s">
        <v>445</v>
      </c>
      <c r="E225" t="s">
        <v>445</v>
      </c>
      <c r="F225" t="s">
        <v>49</v>
      </c>
      <c r="G225" t="s">
        <v>475</v>
      </c>
      <c r="H225" t="s">
        <v>599</v>
      </c>
      <c r="J225" t="str">
        <f>HYPERLINK("https://www.facebook.com/454965103328545/posts/795257599299292?comment_id=721745933505545","https://www.facebook.com/454965103328545/posts/795257599299292?comment_id=721745933505545")</f>
        <v>https://www.facebook.com/454965103328545/posts/795257599299292?comment_id=721745933505545</v>
      </c>
      <c r="O225">
        <v>0</v>
      </c>
      <c r="P225">
        <v>0</v>
      </c>
      <c r="Q225">
        <v>0</v>
      </c>
      <c r="S225">
        <v>0</v>
      </c>
      <c r="T225">
        <v>0</v>
      </c>
      <c r="U225">
        <v>0</v>
      </c>
      <c r="W225" t="s">
        <v>62</v>
      </c>
      <c r="AP225" t="s">
        <v>101</v>
      </c>
    </row>
    <row r="226" spans="1:45" x14ac:dyDescent="0.35">
      <c r="A226" t="s">
        <v>45</v>
      </c>
      <c r="B226" t="s">
        <v>539</v>
      </c>
      <c r="C226" t="s">
        <v>47</v>
      </c>
      <c r="D226" t="s">
        <v>445</v>
      </c>
      <c r="E226" t="s">
        <v>445</v>
      </c>
      <c r="F226" t="s">
        <v>49</v>
      </c>
      <c r="G226" t="s">
        <v>477</v>
      </c>
      <c r="H226" t="s">
        <v>600</v>
      </c>
      <c r="J226" t="str">
        <f>HYPERLINK("https://www.facebook.com/454965103328545/posts/795257599299292?comment_id=952980063049367","https://www.facebook.com/454965103328545/posts/795257599299292?comment_id=952980063049367")</f>
        <v>https://www.facebook.com/454965103328545/posts/795257599299292?comment_id=952980063049367</v>
      </c>
      <c r="O226">
        <v>0</v>
      </c>
      <c r="P226">
        <v>0</v>
      </c>
      <c r="Q226">
        <v>0</v>
      </c>
      <c r="S226">
        <v>0</v>
      </c>
      <c r="T226">
        <v>0</v>
      </c>
      <c r="U226">
        <v>0</v>
      </c>
      <c r="W226" t="s">
        <v>62</v>
      </c>
    </row>
    <row r="227" spans="1:45" x14ac:dyDescent="0.35">
      <c r="A227" t="s">
        <v>45</v>
      </c>
      <c r="B227" t="s">
        <v>539</v>
      </c>
      <c r="C227" t="s">
        <v>47</v>
      </c>
      <c r="D227" t="s">
        <v>445</v>
      </c>
      <c r="E227" t="s">
        <v>445</v>
      </c>
      <c r="F227" t="s">
        <v>142</v>
      </c>
      <c r="G227" t="s">
        <v>473</v>
      </c>
      <c r="H227" t="s">
        <v>601</v>
      </c>
      <c r="J227" t="str">
        <f>HYPERLINK("https://www.facebook.com/454965103328545/posts/795257599299292?comment_id=954715116377768","https://www.facebook.com/454965103328545/posts/795257599299292?comment_id=954715116377768")</f>
        <v>https://www.facebook.com/454965103328545/posts/795257599299292?comment_id=954715116377768</v>
      </c>
      <c r="O227">
        <v>0</v>
      </c>
      <c r="P227">
        <v>0</v>
      </c>
      <c r="Q227">
        <v>0</v>
      </c>
      <c r="S227">
        <v>0</v>
      </c>
      <c r="T227">
        <v>0</v>
      </c>
      <c r="U227">
        <v>0</v>
      </c>
      <c r="W227" t="s">
        <v>62</v>
      </c>
    </row>
    <row r="228" spans="1:45" x14ac:dyDescent="0.35">
      <c r="A228" t="s">
        <v>45</v>
      </c>
      <c r="B228" t="s">
        <v>539</v>
      </c>
      <c r="C228" t="s">
        <v>47</v>
      </c>
      <c r="D228" t="s">
        <v>445</v>
      </c>
      <c r="E228" t="s">
        <v>445</v>
      </c>
      <c r="F228" t="s">
        <v>49</v>
      </c>
      <c r="G228" t="s">
        <v>475</v>
      </c>
      <c r="H228" t="s">
        <v>602</v>
      </c>
      <c r="J228" t="str">
        <f>HYPERLINK("https://www.facebook.com/454965103328545/posts/795257599299292?comment_id=1128064288327542","https://www.facebook.com/454965103328545/posts/795257599299292?comment_id=1128064288327542")</f>
        <v>https://www.facebook.com/454965103328545/posts/795257599299292?comment_id=1128064288327542</v>
      </c>
      <c r="O228">
        <v>0</v>
      </c>
      <c r="P228">
        <v>0</v>
      </c>
      <c r="Q228">
        <v>0</v>
      </c>
      <c r="S228">
        <v>0</v>
      </c>
      <c r="T228">
        <v>0</v>
      </c>
      <c r="U228">
        <v>0</v>
      </c>
      <c r="W228" t="s">
        <v>62</v>
      </c>
      <c r="AP228" t="s">
        <v>101</v>
      </c>
    </row>
    <row r="229" spans="1:45" x14ac:dyDescent="0.35">
      <c r="A229" t="s">
        <v>45</v>
      </c>
      <c r="B229" t="s">
        <v>539</v>
      </c>
      <c r="C229" t="s">
        <v>47</v>
      </c>
      <c r="D229" t="s">
        <v>445</v>
      </c>
      <c r="E229" t="s">
        <v>445</v>
      </c>
      <c r="F229" t="s">
        <v>49</v>
      </c>
      <c r="G229" t="s">
        <v>471</v>
      </c>
      <c r="H229" t="s">
        <v>603</v>
      </c>
      <c r="J229" t="str">
        <f>HYPERLINK("https://www.facebook.com/454965103328545/posts/795257599299292?comment_id=2240954722773148","https://www.facebook.com/454965103328545/posts/795257599299292?comment_id=2240954722773148")</f>
        <v>https://www.facebook.com/454965103328545/posts/795257599299292?comment_id=2240954722773148</v>
      </c>
      <c r="O229">
        <v>0</v>
      </c>
      <c r="P229">
        <v>0</v>
      </c>
      <c r="Q229">
        <v>0</v>
      </c>
      <c r="S229">
        <v>0</v>
      </c>
      <c r="T229">
        <v>0</v>
      </c>
      <c r="U229">
        <v>0</v>
      </c>
      <c r="W229" t="s">
        <v>62</v>
      </c>
    </row>
    <row r="230" spans="1:45" x14ac:dyDescent="0.35">
      <c r="A230" t="s">
        <v>45</v>
      </c>
      <c r="B230" t="s">
        <v>539</v>
      </c>
      <c r="C230" t="s">
        <v>47</v>
      </c>
      <c r="D230" t="s">
        <v>445</v>
      </c>
      <c r="E230" t="s">
        <v>445</v>
      </c>
      <c r="F230" t="s">
        <v>49</v>
      </c>
      <c r="G230" t="s">
        <v>477</v>
      </c>
      <c r="H230" t="s">
        <v>604</v>
      </c>
      <c r="J230" t="str">
        <f>HYPERLINK("https://www.facebook.com/454965103328545/posts/795257599299292?comment_id=979933687092491","https://www.facebook.com/454965103328545/posts/795257599299292?comment_id=979933687092491")</f>
        <v>https://www.facebook.com/454965103328545/posts/795257599299292?comment_id=979933687092491</v>
      </c>
      <c r="O230">
        <v>0</v>
      </c>
      <c r="P230">
        <v>0</v>
      </c>
      <c r="Q230">
        <v>0</v>
      </c>
      <c r="S230">
        <v>0</v>
      </c>
      <c r="T230">
        <v>0</v>
      </c>
      <c r="U230">
        <v>0</v>
      </c>
      <c r="W230" t="s">
        <v>62</v>
      </c>
    </row>
    <row r="231" spans="1:45" x14ac:dyDescent="0.35">
      <c r="A231" t="s">
        <v>45</v>
      </c>
      <c r="B231" t="s">
        <v>539</v>
      </c>
      <c r="C231" t="s">
        <v>47</v>
      </c>
      <c r="D231" t="s">
        <v>445</v>
      </c>
      <c r="E231" t="s">
        <v>445</v>
      </c>
      <c r="F231" t="s">
        <v>142</v>
      </c>
      <c r="G231" t="s">
        <v>473</v>
      </c>
      <c r="H231" t="s">
        <v>605</v>
      </c>
      <c r="J231" t="str">
        <f>HYPERLINK("https://www.facebook.com/454965103328545/posts/795257599299292?comment_id=306937392176173","https://www.facebook.com/454965103328545/posts/795257599299292?comment_id=306937392176173")</f>
        <v>https://www.facebook.com/454965103328545/posts/795257599299292?comment_id=306937392176173</v>
      </c>
      <c r="O231">
        <v>0</v>
      </c>
      <c r="P231">
        <v>0</v>
      </c>
      <c r="Q231">
        <v>0</v>
      </c>
      <c r="S231">
        <v>0</v>
      </c>
      <c r="T231">
        <v>0</v>
      </c>
      <c r="U231">
        <v>0</v>
      </c>
      <c r="W231" t="s">
        <v>62</v>
      </c>
    </row>
    <row r="232" spans="1:45" x14ac:dyDescent="0.35">
      <c r="A232" t="s">
        <v>45</v>
      </c>
      <c r="B232" t="s">
        <v>539</v>
      </c>
      <c r="C232" t="s">
        <v>47</v>
      </c>
      <c r="D232" t="s">
        <v>445</v>
      </c>
      <c r="E232" t="s">
        <v>445</v>
      </c>
      <c r="F232" t="s">
        <v>49</v>
      </c>
      <c r="G232" t="s">
        <v>475</v>
      </c>
      <c r="H232" t="s">
        <v>606</v>
      </c>
      <c r="J232" t="str">
        <f>HYPERLINK("https://www.facebook.com/454965103328545/posts/795257599299292?comment_id=1774393469722443","https://www.facebook.com/454965103328545/posts/795257599299292?comment_id=1774393469722443")</f>
        <v>https://www.facebook.com/454965103328545/posts/795257599299292?comment_id=1774393469722443</v>
      </c>
      <c r="O232">
        <v>0</v>
      </c>
      <c r="P232">
        <v>0</v>
      </c>
      <c r="Q232">
        <v>0</v>
      </c>
      <c r="S232">
        <v>0</v>
      </c>
      <c r="T232">
        <v>0</v>
      </c>
      <c r="U232">
        <v>0</v>
      </c>
      <c r="W232" t="s">
        <v>62</v>
      </c>
      <c r="AP232" t="s">
        <v>101</v>
      </c>
    </row>
    <row r="233" spans="1:45" x14ac:dyDescent="0.35">
      <c r="A233" t="s">
        <v>45</v>
      </c>
      <c r="B233" t="s">
        <v>539</v>
      </c>
      <c r="C233" t="s">
        <v>47</v>
      </c>
      <c r="D233" t="s">
        <v>445</v>
      </c>
      <c r="E233" t="s">
        <v>445</v>
      </c>
      <c r="F233" t="s">
        <v>49</v>
      </c>
      <c r="G233" t="s">
        <v>471</v>
      </c>
      <c r="H233" t="s">
        <v>607</v>
      </c>
      <c r="J233" t="str">
        <f>HYPERLINK("https://www.facebook.com/454965103328545/posts/795257599299292?comment_id=948070963166009","https://www.facebook.com/454965103328545/posts/795257599299292?comment_id=948070963166009")</f>
        <v>https://www.facebook.com/454965103328545/posts/795257599299292?comment_id=948070963166009</v>
      </c>
      <c r="O233">
        <v>0</v>
      </c>
      <c r="P233">
        <v>0</v>
      </c>
      <c r="Q233">
        <v>0</v>
      </c>
      <c r="S233">
        <v>0</v>
      </c>
      <c r="T233">
        <v>0</v>
      </c>
      <c r="U233">
        <v>0</v>
      </c>
      <c r="W233" t="s">
        <v>62</v>
      </c>
    </row>
    <row r="234" spans="1:45" x14ac:dyDescent="0.35">
      <c r="A234" t="s">
        <v>45</v>
      </c>
      <c r="B234" t="s">
        <v>539</v>
      </c>
      <c r="C234" t="s">
        <v>139</v>
      </c>
      <c r="D234" t="s">
        <v>171</v>
      </c>
      <c r="E234" t="s">
        <v>172</v>
      </c>
      <c r="F234" t="s">
        <v>49</v>
      </c>
      <c r="G234" t="s">
        <v>608</v>
      </c>
      <c r="H234" t="s">
        <v>609</v>
      </c>
      <c r="J234" t="str">
        <f>HYPERLINK("https://twitter.com/RitikRitik76676/status/1773328714752778346","https://twitter.com/RitikRitik76676/status/1773328714752778346")</f>
        <v>https://twitter.com/RitikRitik76676/status/1773328714752778346</v>
      </c>
      <c r="K234" t="s">
        <v>145</v>
      </c>
      <c r="O234">
        <v>0</v>
      </c>
      <c r="P234">
        <v>0</v>
      </c>
      <c r="Q234">
        <v>1</v>
      </c>
      <c r="S234">
        <v>0</v>
      </c>
      <c r="T234">
        <v>0</v>
      </c>
      <c r="U234">
        <v>0</v>
      </c>
      <c r="W234" t="s">
        <v>146</v>
      </c>
      <c r="AS234" t="s">
        <v>375</v>
      </c>
    </row>
    <row r="235" spans="1:45" x14ac:dyDescent="0.35">
      <c r="A235" t="s">
        <v>45</v>
      </c>
      <c r="B235" t="s">
        <v>539</v>
      </c>
      <c r="C235" t="s">
        <v>47</v>
      </c>
      <c r="D235" t="s">
        <v>98</v>
      </c>
      <c r="E235" t="s">
        <v>98</v>
      </c>
      <c r="F235" t="s">
        <v>49</v>
      </c>
      <c r="G235" t="s">
        <v>610</v>
      </c>
      <c r="H235" t="s">
        <v>611</v>
      </c>
      <c r="J235" t="str">
        <f>HYPERLINK("https://www.facebook.com/454965103328545/posts/795257599299292?comment_id=775392830899695","https://www.facebook.com/454965103328545/posts/795257599299292?comment_id=775392830899695")</f>
        <v>https://www.facebook.com/454965103328545/posts/795257599299292?comment_id=775392830899695</v>
      </c>
      <c r="O235">
        <v>0</v>
      </c>
      <c r="P235">
        <v>0</v>
      </c>
      <c r="Q235">
        <v>0</v>
      </c>
      <c r="S235">
        <v>0</v>
      </c>
      <c r="T235">
        <v>0</v>
      </c>
      <c r="U235">
        <v>0</v>
      </c>
      <c r="W235" t="s">
        <v>62</v>
      </c>
      <c r="Y235" t="s">
        <v>612</v>
      </c>
      <c r="Z235" t="s">
        <v>613</v>
      </c>
      <c r="AA235" t="s">
        <v>614</v>
      </c>
    </row>
    <row r="236" spans="1:45" x14ac:dyDescent="0.35">
      <c r="A236" t="s">
        <v>45</v>
      </c>
      <c r="B236" t="s">
        <v>539</v>
      </c>
      <c r="C236" t="s">
        <v>63</v>
      </c>
      <c r="D236" t="s">
        <v>186</v>
      </c>
      <c r="E236" t="s">
        <v>186</v>
      </c>
      <c r="F236" t="s">
        <v>49</v>
      </c>
      <c r="G236" t="s">
        <v>615</v>
      </c>
      <c r="H236" t="s">
        <v>616</v>
      </c>
      <c r="J236" t="str">
        <f>HYPERLINK("https://www.instagram.com/p/C5Dmoi3yDSD/","https://www.instagram.com/p/C5Dmoi3yDSD/")</f>
        <v>https://www.instagram.com/p/C5Dmoi3yDSD/</v>
      </c>
      <c r="O236">
        <v>0</v>
      </c>
      <c r="P236">
        <v>0</v>
      </c>
      <c r="Q236">
        <v>0</v>
      </c>
      <c r="S236">
        <v>3</v>
      </c>
      <c r="T236">
        <v>60</v>
      </c>
      <c r="U236">
        <v>0</v>
      </c>
      <c r="W236" t="s">
        <v>106</v>
      </c>
      <c r="AO236" t="s">
        <v>67</v>
      </c>
    </row>
    <row r="237" spans="1:45" x14ac:dyDescent="0.35">
      <c r="A237" t="s">
        <v>45</v>
      </c>
      <c r="B237" t="s">
        <v>539</v>
      </c>
      <c r="C237" t="s">
        <v>139</v>
      </c>
      <c r="D237" t="s">
        <v>190</v>
      </c>
      <c r="E237" t="s">
        <v>45</v>
      </c>
      <c r="F237" t="s">
        <v>49</v>
      </c>
      <c r="G237" t="s">
        <v>617</v>
      </c>
      <c r="H237" t="s">
        <v>618</v>
      </c>
      <c r="J237" t="str">
        <f>HYPERLINK("https://twitter.com/FinoPaymntsBank/status/1773311576050966767","https://twitter.com/FinoPaymntsBank/status/1773311576050966767")</f>
        <v>https://twitter.com/FinoPaymntsBank/status/1773311576050966767</v>
      </c>
      <c r="K237" t="s">
        <v>145</v>
      </c>
      <c r="O237">
        <v>0</v>
      </c>
      <c r="P237">
        <v>0</v>
      </c>
      <c r="Q237">
        <v>8478</v>
      </c>
      <c r="R237" t="s">
        <v>193</v>
      </c>
      <c r="S237">
        <v>0</v>
      </c>
      <c r="T237">
        <v>0</v>
      </c>
      <c r="U237">
        <v>0</v>
      </c>
      <c r="W237" t="s">
        <v>146</v>
      </c>
      <c r="AO237" t="s">
        <v>67</v>
      </c>
    </row>
    <row r="238" spans="1:45" x14ac:dyDescent="0.35">
      <c r="A238" t="s">
        <v>45</v>
      </c>
      <c r="B238" t="s">
        <v>539</v>
      </c>
      <c r="C238" t="s">
        <v>139</v>
      </c>
      <c r="D238" t="s">
        <v>619</v>
      </c>
      <c r="E238" t="s">
        <v>620</v>
      </c>
      <c r="F238" t="s">
        <v>49</v>
      </c>
      <c r="G238" t="s">
        <v>621</v>
      </c>
      <c r="H238" t="s">
        <v>622</v>
      </c>
      <c r="J238" t="str">
        <f>HYPERLINK("https://twitter.com/VishalAgrawals/status/1773309347780493649","https://twitter.com/VishalAgrawals/status/1773309347780493649")</f>
        <v>https://twitter.com/VishalAgrawals/status/1773309347780493649</v>
      </c>
      <c r="K238" t="s">
        <v>145</v>
      </c>
      <c r="O238">
        <v>0</v>
      </c>
      <c r="P238">
        <v>0</v>
      </c>
      <c r="Q238">
        <v>111</v>
      </c>
      <c r="R238" t="s">
        <v>623</v>
      </c>
      <c r="S238">
        <v>0</v>
      </c>
      <c r="T238">
        <v>0</v>
      </c>
      <c r="U238">
        <v>0</v>
      </c>
      <c r="W238" t="s">
        <v>146</v>
      </c>
      <c r="AS238" t="s">
        <v>375</v>
      </c>
    </row>
    <row r="239" spans="1:45" x14ac:dyDescent="0.35">
      <c r="A239" t="s">
        <v>45</v>
      </c>
      <c r="B239" t="s">
        <v>539</v>
      </c>
      <c r="C239" t="s">
        <v>63</v>
      </c>
      <c r="D239" t="s">
        <v>624</v>
      </c>
      <c r="E239" t="s">
        <v>624</v>
      </c>
      <c r="F239" t="s">
        <v>49</v>
      </c>
      <c r="G239" t="s">
        <v>625</v>
      </c>
      <c r="H239" t="s">
        <v>626</v>
      </c>
      <c r="J239" t="str">
        <f>HYPERLINK("https://www.instagram.com/reel/C42LP53BVdn/","https://www.instagram.com/reel/C42LP53BVdn/")</f>
        <v>https://www.instagram.com/reel/C42LP53BVdn/</v>
      </c>
      <c r="O239">
        <v>0</v>
      </c>
      <c r="P239">
        <v>0</v>
      </c>
      <c r="Q239">
        <v>0</v>
      </c>
      <c r="S239">
        <v>0</v>
      </c>
      <c r="T239">
        <v>0</v>
      </c>
      <c r="U239">
        <v>0</v>
      </c>
      <c r="W239" t="s">
        <v>62</v>
      </c>
    </row>
    <row r="240" spans="1:45" x14ac:dyDescent="0.35">
      <c r="A240" t="s">
        <v>45</v>
      </c>
      <c r="B240" t="s">
        <v>539</v>
      </c>
      <c r="C240" t="s">
        <v>63</v>
      </c>
      <c r="D240" t="s">
        <v>627</v>
      </c>
      <c r="E240" t="s">
        <v>627</v>
      </c>
      <c r="F240" t="s">
        <v>49</v>
      </c>
      <c r="G240" t="s">
        <v>628</v>
      </c>
      <c r="H240" t="s">
        <v>629</v>
      </c>
      <c r="J240" t="str">
        <f>HYPERLINK("https://www.instagram.com/reel/C42LP53BVdn/","https://www.instagram.com/reel/C42LP53BVdn/")</f>
        <v>https://www.instagram.com/reel/C42LP53BVdn/</v>
      </c>
      <c r="O240">
        <v>0</v>
      </c>
      <c r="P240">
        <v>0</v>
      </c>
      <c r="Q240">
        <v>0</v>
      </c>
      <c r="S240">
        <v>0</v>
      </c>
      <c r="T240">
        <v>0</v>
      </c>
      <c r="U240">
        <v>0</v>
      </c>
      <c r="W240" t="s">
        <v>62</v>
      </c>
    </row>
    <row r="241" spans="1:45" x14ac:dyDescent="0.35">
      <c r="A241" t="s">
        <v>45</v>
      </c>
      <c r="B241" t="s">
        <v>539</v>
      </c>
      <c r="C241" t="s">
        <v>47</v>
      </c>
      <c r="D241" t="s">
        <v>630</v>
      </c>
      <c r="E241" t="s">
        <v>630</v>
      </c>
      <c r="F241" t="s">
        <v>49</v>
      </c>
      <c r="G241" t="s">
        <v>631</v>
      </c>
      <c r="H241" t="s">
        <v>632</v>
      </c>
      <c r="J241" t="str">
        <f>HYPERLINK("https://www.facebook.com/454965103328545/posts/795975695894149?comment_id=653281963590414&amp;reply_comment_id=946291613696830","https://www.facebook.com/454965103328545/posts/795975695894149?comment_id=653281963590414&amp;reply_comment_id=946291613696830")</f>
        <v>https://www.facebook.com/454965103328545/posts/795975695894149?comment_id=653281963590414&amp;reply_comment_id=946291613696830</v>
      </c>
      <c r="O241">
        <v>0</v>
      </c>
      <c r="P241">
        <v>0</v>
      </c>
      <c r="Q241">
        <v>0</v>
      </c>
      <c r="S241">
        <v>0</v>
      </c>
      <c r="T241">
        <v>0</v>
      </c>
      <c r="U241">
        <v>0</v>
      </c>
      <c r="W241" t="s">
        <v>62</v>
      </c>
    </row>
    <row r="242" spans="1:45" x14ac:dyDescent="0.35">
      <c r="A242" t="s">
        <v>45</v>
      </c>
      <c r="B242" t="s">
        <v>539</v>
      </c>
      <c r="C242" t="s">
        <v>47</v>
      </c>
      <c r="F242" t="s">
        <v>49</v>
      </c>
      <c r="G242" t="s">
        <v>633</v>
      </c>
      <c r="H242" t="s">
        <v>634</v>
      </c>
      <c r="J242" t="str">
        <f>HYPERLINK("https://www.facebook.com/113299678422499_3413974962227762","https://www.facebook.com/113299678422499_3413974962227762")</f>
        <v>https://www.facebook.com/113299678422499_3413974962227762</v>
      </c>
      <c r="O242">
        <v>0</v>
      </c>
      <c r="P242">
        <v>0</v>
      </c>
      <c r="Q242">
        <v>0</v>
      </c>
      <c r="S242">
        <v>0</v>
      </c>
      <c r="T242">
        <v>0</v>
      </c>
      <c r="U242">
        <v>0</v>
      </c>
      <c r="W242" t="s">
        <v>106</v>
      </c>
    </row>
    <row r="243" spans="1:45" x14ac:dyDescent="0.35">
      <c r="A243" t="s">
        <v>45</v>
      </c>
      <c r="B243" t="s">
        <v>539</v>
      </c>
      <c r="C243" t="s">
        <v>102</v>
      </c>
      <c r="D243" t="s">
        <v>635</v>
      </c>
      <c r="E243" t="s">
        <v>635</v>
      </c>
      <c r="F243" t="s">
        <v>76</v>
      </c>
      <c r="G243" t="s">
        <v>636</v>
      </c>
      <c r="H243" t="s">
        <v>637</v>
      </c>
      <c r="J243" t="str">
        <f>HYPERLINK("https://www.linkedin.com/feed/update/urn:li:ugcPost:7179062965969555456","https://www.linkedin.com/feed/update/urn:li:ugcPost:7179062965969555456")</f>
        <v>https://www.linkedin.com/feed/update/urn:li:ugcPost:7179062965969555456</v>
      </c>
      <c r="O243">
        <v>0</v>
      </c>
      <c r="P243">
        <v>0</v>
      </c>
      <c r="Q243">
        <v>0</v>
      </c>
      <c r="S243">
        <v>0</v>
      </c>
      <c r="T243">
        <v>0</v>
      </c>
      <c r="U243">
        <v>0</v>
      </c>
      <c r="W243" t="s">
        <v>106</v>
      </c>
    </row>
    <row r="244" spans="1:45" x14ac:dyDescent="0.35">
      <c r="A244" t="s">
        <v>45</v>
      </c>
      <c r="B244" t="s">
        <v>539</v>
      </c>
      <c r="C244" t="s">
        <v>102</v>
      </c>
      <c r="D244" t="s">
        <v>635</v>
      </c>
      <c r="E244" t="s">
        <v>635</v>
      </c>
      <c r="F244" t="s">
        <v>76</v>
      </c>
      <c r="G244" t="s">
        <v>636</v>
      </c>
      <c r="H244" t="s">
        <v>638</v>
      </c>
      <c r="J244" t="str">
        <f>HYPERLINK("https://www.linkedin.com/feed/update/urn:li:ugcPost:7179062037342240768","https://www.linkedin.com/feed/update/urn:li:ugcPost:7179062037342240768")</f>
        <v>https://www.linkedin.com/feed/update/urn:li:ugcPost:7179062037342240768</v>
      </c>
      <c r="O244">
        <v>0</v>
      </c>
      <c r="P244">
        <v>0</v>
      </c>
      <c r="Q244">
        <v>0</v>
      </c>
      <c r="S244">
        <v>0</v>
      </c>
      <c r="T244">
        <v>0</v>
      </c>
      <c r="U244">
        <v>0</v>
      </c>
      <c r="W244" t="s">
        <v>106</v>
      </c>
    </row>
    <row r="245" spans="1:45" x14ac:dyDescent="0.35">
      <c r="A245" t="s">
        <v>45</v>
      </c>
      <c r="B245" t="s">
        <v>539</v>
      </c>
      <c r="C245" t="s">
        <v>139</v>
      </c>
      <c r="D245" t="s">
        <v>639</v>
      </c>
      <c r="E245" t="s">
        <v>640</v>
      </c>
      <c r="F245" t="s">
        <v>49</v>
      </c>
      <c r="G245" t="s">
        <v>550</v>
      </c>
      <c r="H245" t="s">
        <v>641</v>
      </c>
      <c r="J245" t="str">
        <f>HYPERLINK("https://twitter.com/UjvinNevatia/status/1773289241180533146","https://twitter.com/UjvinNevatia/status/1773289241180533146")</f>
        <v>https://twitter.com/UjvinNevatia/status/1773289241180533146</v>
      </c>
      <c r="O245">
        <v>0</v>
      </c>
      <c r="P245">
        <v>0</v>
      </c>
      <c r="Q245">
        <v>327</v>
      </c>
      <c r="R245" t="s">
        <v>582</v>
      </c>
      <c r="S245">
        <v>0</v>
      </c>
      <c r="T245">
        <v>0</v>
      </c>
      <c r="U245">
        <v>0</v>
      </c>
      <c r="V245" t="s">
        <v>642</v>
      </c>
      <c r="W245" t="s">
        <v>552</v>
      </c>
    </row>
    <row r="246" spans="1:45" x14ac:dyDescent="0.35">
      <c r="A246" t="s">
        <v>45</v>
      </c>
      <c r="B246" t="s">
        <v>539</v>
      </c>
      <c r="C246" t="s">
        <v>47</v>
      </c>
      <c r="D246" t="s">
        <v>643</v>
      </c>
      <c r="E246" t="s">
        <v>643</v>
      </c>
      <c r="F246" t="s">
        <v>49</v>
      </c>
      <c r="G246" t="s">
        <v>644</v>
      </c>
      <c r="H246" t="s">
        <v>645</v>
      </c>
      <c r="J246" t="str">
        <f>HYPERLINK("https://www.facebook.com/454965103328545/posts/788107050014347?comment_id=832405552247864","https://www.facebook.com/454965103328545/posts/788107050014347?comment_id=832405552247864")</f>
        <v>https://www.facebook.com/454965103328545/posts/788107050014347?comment_id=832405552247864</v>
      </c>
      <c r="O246">
        <v>0</v>
      </c>
      <c r="P246">
        <v>0</v>
      </c>
      <c r="Q246">
        <v>0</v>
      </c>
      <c r="S246">
        <v>0</v>
      </c>
      <c r="T246">
        <v>0</v>
      </c>
      <c r="U246">
        <v>0</v>
      </c>
      <c r="W246" t="s">
        <v>62</v>
      </c>
    </row>
    <row r="247" spans="1:45" x14ac:dyDescent="0.35">
      <c r="A247" t="s">
        <v>45</v>
      </c>
      <c r="B247" t="s">
        <v>539</v>
      </c>
      <c r="C247" t="s">
        <v>63</v>
      </c>
      <c r="D247" t="s">
        <v>646</v>
      </c>
      <c r="E247" t="s">
        <v>646</v>
      </c>
      <c r="F247" t="s">
        <v>76</v>
      </c>
      <c r="G247" t="s">
        <v>647</v>
      </c>
      <c r="H247" t="s">
        <v>648</v>
      </c>
      <c r="J247" t="str">
        <f>HYPERLINK("https://www.instagram.com/reel/C40J758i1B-/","https://www.instagram.com/reel/C40J758i1B-/")</f>
        <v>https://www.instagram.com/reel/C40J758i1B-/</v>
      </c>
      <c r="O247">
        <v>0</v>
      </c>
      <c r="P247">
        <v>0</v>
      </c>
      <c r="Q247">
        <v>0</v>
      </c>
      <c r="S247">
        <v>0</v>
      </c>
      <c r="T247">
        <v>0</v>
      </c>
      <c r="U247">
        <v>0</v>
      </c>
      <c r="W247" t="s">
        <v>62</v>
      </c>
    </row>
    <row r="248" spans="1:45" x14ac:dyDescent="0.35">
      <c r="A248" t="s">
        <v>45</v>
      </c>
      <c r="B248" t="s">
        <v>539</v>
      </c>
      <c r="C248" t="s">
        <v>139</v>
      </c>
      <c r="D248" t="s">
        <v>649</v>
      </c>
      <c r="E248" t="s">
        <v>650</v>
      </c>
      <c r="F248" t="s">
        <v>49</v>
      </c>
      <c r="G248" s="1" t="s">
        <v>651</v>
      </c>
      <c r="H248" t="s">
        <v>652</v>
      </c>
      <c r="J248" t="str">
        <f>HYPERLINK("https://twitter.com/ashok_rajini/status/1773253292379849072","https://twitter.com/ashok_rajini/status/1773253292379849072")</f>
        <v>https://twitter.com/ashok_rajini/status/1773253292379849072</v>
      </c>
      <c r="K248" t="s">
        <v>145</v>
      </c>
      <c r="O248">
        <v>0</v>
      </c>
      <c r="P248">
        <v>0</v>
      </c>
      <c r="Q248">
        <v>59</v>
      </c>
      <c r="R248" t="s">
        <v>582</v>
      </c>
      <c r="S248">
        <v>0</v>
      </c>
      <c r="T248">
        <v>0</v>
      </c>
      <c r="U248">
        <v>0</v>
      </c>
      <c r="W248" t="s">
        <v>146</v>
      </c>
    </row>
    <row r="249" spans="1:45" x14ac:dyDescent="0.35">
      <c r="A249" t="s">
        <v>45</v>
      </c>
      <c r="B249" t="s">
        <v>539</v>
      </c>
      <c r="C249" t="s">
        <v>47</v>
      </c>
      <c r="D249" t="s">
        <v>653</v>
      </c>
      <c r="E249" t="s">
        <v>653</v>
      </c>
      <c r="F249" t="s">
        <v>49</v>
      </c>
      <c r="G249" t="s">
        <v>654</v>
      </c>
      <c r="H249" t="s">
        <v>655</v>
      </c>
      <c r="J249" t="str">
        <f>HYPERLINK("https://www.facebook.com/357267201017935/inbox/7209075355837051/","https://www.facebook.com/357267201017935/inbox/7209075355837051/")</f>
        <v>https://www.facebook.com/357267201017935/inbox/7209075355837051/</v>
      </c>
      <c r="O249">
        <v>0</v>
      </c>
      <c r="P249">
        <v>0</v>
      </c>
      <c r="Q249">
        <v>0</v>
      </c>
      <c r="S249">
        <v>0</v>
      </c>
      <c r="T249">
        <v>0</v>
      </c>
      <c r="U249">
        <v>0</v>
      </c>
      <c r="W249" t="s">
        <v>52</v>
      </c>
      <c r="AO249" t="s">
        <v>119</v>
      </c>
      <c r="AP249" t="s">
        <v>101</v>
      </c>
      <c r="AS249" t="s">
        <v>375</v>
      </c>
    </row>
    <row r="250" spans="1:45" x14ac:dyDescent="0.35">
      <c r="A250" t="s">
        <v>45</v>
      </c>
      <c r="B250" t="s">
        <v>539</v>
      </c>
      <c r="C250" t="s">
        <v>139</v>
      </c>
      <c r="D250" t="s">
        <v>656</v>
      </c>
      <c r="E250" t="s">
        <v>657</v>
      </c>
      <c r="F250" t="s">
        <v>49</v>
      </c>
      <c r="G250" t="s">
        <v>658</v>
      </c>
      <c r="H250" t="s">
        <v>659</v>
      </c>
      <c r="J250" t="str">
        <f>HYPERLINK("https://twitter.com/VishalP77029084/status/1773251159408410984","https://twitter.com/VishalP77029084/status/1773251159408410984")</f>
        <v>https://twitter.com/VishalP77029084/status/1773251159408410984</v>
      </c>
      <c r="O250">
        <v>0</v>
      </c>
      <c r="P250">
        <v>0</v>
      </c>
      <c r="Q250">
        <v>7</v>
      </c>
      <c r="R250" t="s">
        <v>660</v>
      </c>
      <c r="S250">
        <v>0</v>
      </c>
      <c r="T250">
        <v>0</v>
      </c>
      <c r="U250">
        <v>0</v>
      </c>
      <c r="W250" t="s">
        <v>146</v>
      </c>
      <c r="AS250" t="s">
        <v>375</v>
      </c>
    </row>
    <row r="251" spans="1:45" x14ac:dyDescent="0.35">
      <c r="A251" t="s">
        <v>45</v>
      </c>
      <c r="B251" t="s">
        <v>539</v>
      </c>
      <c r="C251" t="s">
        <v>58</v>
      </c>
      <c r="D251" t="s">
        <v>661</v>
      </c>
      <c r="E251" t="s">
        <v>661</v>
      </c>
      <c r="F251" t="s">
        <v>49</v>
      </c>
      <c r="G251" t="s">
        <v>662</v>
      </c>
      <c r="H251" t="s">
        <v>663</v>
      </c>
      <c r="J251" t="str">
        <f>HYPERLINK("https://www.youtube.com/watch?v=Tpil2l0QnJE&amp;lc=UgxDWvhX0TP6hEICrep4AaABAg","https://www.youtube.com/watch?v=Tpil2l0QnJE&amp;lc=UgxDWvhX0TP6hEICrep4AaABAg")</f>
        <v>https://www.youtube.com/watch?v=Tpil2l0QnJE&amp;lc=UgxDWvhX0TP6hEICrep4AaABAg</v>
      </c>
      <c r="O251">
        <v>0</v>
      </c>
      <c r="P251">
        <v>0</v>
      </c>
      <c r="Q251">
        <v>0</v>
      </c>
      <c r="S251">
        <v>0</v>
      </c>
      <c r="T251">
        <v>0</v>
      </c>
      <c r="U251">
        <v>0</v>
      </c>
      <c r="W251" t="s">
        <v>62</v>
      </c>
    </row>
    <row r="252" spans="1:45" x14ac:dyDescent="0.35">
      <c r="A252" t="s">
        <v>45</v>
      </c>
      <c r="B252" t="s">
        <v>539</v>
      </c>
      <c r="C252" t="s">
        <v>139</v>
      </c>
      <c r="D252" t="s">
        <v>664</v>
      </c>
      <c r="E252" t="s">
        <v>665</v>
      </c>
      <c r="F252" t="s">
        <v>49</v>
      </c>
      <c r="G252" t="s">
        <v>550</v>
      </c>
      <c r="H252" t="s">
        <v>666</v>
      </c>
      <c r="J252" t="str">
        <f>HYPERLINK("https://twitter.com/rahul_lucky2/status/1773241209147855205","https://twitter.com/rahul_lucky2/status/1773241209147855205")</f>
        <v>https://twitter.com/rahul_lucky2/status/1773241209147855205</v>
      </c>
      <c r="K252" t="s">
        <v>145</v>
      </c>
      <c r="O252">
        <v>0</v>
      </c>
      <c r="P252">
        <v>0</v>
      </c>
      <c r="Q252">
        <v>77</v>
      </c>
      <c r="R252" t="s">
        <v>667</v>
      </c>
      <c r="S252">
        <v>0</v>
      </c>
      <c r="T252">
        <v>0</v>
      </c>
      <c r="U252">
        <v>0</v>
      </c>
      <c r="W252" t="s">
        <v>552</v>
      </c>
    </row>
    <row r="253" spans="1:45" x14ac:dyDescent="0.35">
      <c r="A253" t="s">
        <v>45</v>
      </c>
      <c r="B253" t="s">
        <v>539</v>
      </c>
      <c r="C253" t="s">
        <v>47</v>
      </c>
      <c r="D253" t="s">
        <v>252</v>
      </c>
      <c r="E253" t="s">
        <v>252</v>
      </c>
      <c r="F253" t="s">
        <v>49</v>
      </c>
      <c r="G253" t="s">
        <v>668</v>
      </c>
      <c r="H253" t="s">
        <v>669</v>
      </c>
      <c r="J253" t="str">
        <f>HYPERLINK("https://www.facebook.com/357267201017935/inbox/7208936699184250/","https://www.facebook.com/357267201017935/inbox/7208936699184250/")</f>
        <v>https://www.facebook.com/357267201017935/inbox/7208936699184250/</v>
      </c>
      <c r="O253">
        <v>0</v>
      </c>
      <c r="P253">
        <v>0</v>
      </c>
      <c r="Q253">
        <v>0</v>
      </c>
      <c r="S253">
        <v>0</v>
      </c>
      <c r="T253">
        <v>0</v>
      </c>
      <c r="U253">
        <v>0</v>
      </c>
      <c r="W253" t="s">
        <v>52</v>
      </c>
      <c r="AS253" t="s">
        <v>375</v>
      </c>
    </row>
    <row r="254" spans="1:45" x14ac:dyDescent="0.35">
      <c r="A254" t="s">
        <v>45</v>
      </c>
      <c r="B254" t="s">
        <v>539</v>
      </c>
      <c r="C254" t="s">
        <v>139</v>
      </c>
      <c r="D254" t="s">
        <v>670</v>
      </c>
      <c r="E254" t="s">
        <v>671</v>
      </c>
      <c r="F254" t="s">
        <v>49</v>
      </c>
      <c r="G254" t="s">
        <v>672</v>
      </c>
      <c r="H254" t="s">
        <v>673</v>
      </c>
      <c r="J254" t="str">
        <f>HYPERLINK("https://twitter.com/marketsday/status/1773237174906880470","https://twitter.com/marketsday/status/1773237174906880470")</f>
        <v>https://twitter.com/marketsday/status/1773237174906880470</v>
      </c>
      <c r="O254">
        <v>0</v>
      </c>
      <c r="P254">
        <v>0</v>
      </c>
      <c r="Q254">
        <v>14908</v>
      </c>
      <c r="R254" t="s">
        <v>674</v>
      </c>
      <c r="S254">
        <v>0</v>
      </c>
      <c r="T254">
        <v>0</v>
      </c>
      <c r="U254">
        <v>0</v>
      </c>
      <c r="W254" t="s">
        <v>146</v>
      </c>
    </row>
    <row r="255" spans="1:45" x14ac:dyDescent="0.35">
      <c r="A255" t="s">
        <v>45</v>
      </c>
      <c r="B255" t="s">
        <v>539</v>
      </c>
      <c r="C255" t="s">
        <v>63</v>
      </c>
      <c r="D255" t="s">
        <v>675</v>
      </c>
      <c r="E255" t="s">
        <v>675</v>
      </c>
      <c r="F255" t="s">
        <v>49</v>
      </c>
      <c r="G255" t="s">
        <v>676</v>
      </c>
      <c r="H255" t="s">
        <v>677</v>
      </c>
      <c r="J255" t="str">
        <f>HYPERLINK("https://www.instagram.com/p/C3VES0FgrdQ/","https://www.instagram.com/p/C3VES0FgrdQ/")</f>
        <v>https://www.instagram.com/p/C3VES0FgrdQ/</v>
      </c>
      <c r="O255">
        <v>0</v>
      </c>
      <c r="P255">
        <v>0</v>
      </c>
      <c r="Q255">
        <v>0</v>
      </c>
      <c r="S255">
        <v>0</v>
      </c>
      <c r="T255">
        <v>0</v>
      </c>
      <c r="U255">
        <v>0</v>
      </c>
      <c r="W255" t="s">
        <v>62</v>
      </c>
    </row>
    <row r="256" spans="1:45" x14ac:dyDescent="0.35">
      <c r="A256" t="s">
        <v>45</v>
      </c>
      <c r="B256" t="s">
        <v>539</v>
      </c>
      <c r="C256" t="s">
        <v>139</v>
      </c>
      <c r="D256" t="s">
        <v>678</v>
      </c>
      <c r="E256" t="s">
        <v>679</v>
      </c>
      <c r="F256" t="s">
        <v>49</v>
      </c>
      <c r="G256" t="s">
        <v>550</v>
      </c>
      <c r="H256" t="s">
        <v>680</v>
      </c>
      <c r="J256" t="str">
        <f>HYPERLINK("https://twitter.com/StocktwitsIndia/status/1773231340034441639","https://twitter.com/StocktwitsIndia/status/1773231340034441639")</f>
        <v>https://twitter.com/StocktwitsIndia/status/1773231340034441639</v>
      </c>
      <c r="O256">
        <v>0</v>
      </c>
      <c r="P256">
        <v>0</v>
      </c>
      <c r="Q256">
        <v>54588</v>
      </c>
      <c r="S256">
        <v>0</v>
      </c>
      <c r="T256">
        <v>0</v>
      </c>
      <c r="U256">
        <v>0</v>
      </c>
      <c r="V256" t="s">
        <v>642</v>
      </c>
      <c r="W256" t="s">
        <v>146</v>
      </c>
    </row>
    <row r="257" spans="1:45" x14ac:dyDescent="0.35">
      <c r="A257" t="s">
        <v>45</v>
      </c>
      <c r="B257" t="s">
        <v>539</v>
      </c>
      <c r="C257" t="s">
        <v>139</v>
      </c>
      <c r="D257" t="s">
        <v>681</v>
      </c>
      <c r="E257" t="s">
        <v>682</v>
      </c>
      <c r="F257" t="s">
        <v>49</v>
      </c>
      <c r="G257" t="s">
        <v>683</v>
      </c>
      <c r="H257" t="s">
        <v>684</v>
      </c>
      <c r="J257" t="str">
        <f>HYPERLINK("https://twitter.com/Shadab55481483/status/1773231079635185767","https://twitter.com/Shadab55481483/status/1773231079635185767")</f>
        <v>https://twitter.com/Shadab55481483/status/1773231079635185767</v>
      </c>
      <c r="K257" t="s">
        <v>145</v>
      </c>
      <c r="O257">
        <v>0</v>
      </c>
      <c r="P257">
        <v>0</v>
      </c>
      <c r="Q257">
        <v>0</v>
      </c>
      <c r="S257">
        <v>0</v>
      </c>
      <c r="T257">
        <v>0</v>
      </c>
      <c r="U257">
        <v>0</v>
      </c>
      <c r="W257" t="s">
        <v>146</v>
      </c>
    </row>
    <row r="258" spans="1:45" x14ac:dyDescent="0.35">
      <c r="A258" t="s">
        <v>45</v>
      </c>
      <c r="B258" t="s">
        <v>539</v>
      </c>
      <c r="C258" t="s">
        <v>58</v>
      </c>
      <c r="D258" t="s">
        <v>685</v>
      </c>
      <c r="E258" t="s">
        <v>685</v>
      </c>
      <c r="F258" t="s">
        <v>49</v>
      </c>
      <c r="G258" t="s">
        <v>686</v>
      </c>
      <c r="H258" t="s">
        <v>687</v>
      </c>
      <c r="J258" t="str">
        <f>HYPERLINK("https://www.youtube.com/watch?v=VHL4pXNkX8k&amp;lc=UgwJmDCTAnArPhm0R9R4AaABAg","https://www.youtube.com/watch?v=VHL4pXNkX8k&amp;lc=UgwJmDCTAnArPhm0R9R4AaABAg")</f>
        <v>https://www.youtube.com/watch?v=VHL4pXNkX8k&amp;lc=UgwJmDCTAnArPhm0R9R4AaABAg</v>
      </c>
      <c r="O258">
        <v>0</v>
      </c>
      <c r="P258">
        <v>0</v>
      </c>
      <c r="Q258">
        <v>0</v>
      </c>
      <c r="S258">
        <v>0</v>
      </c>
      <c r="T258">
        <v>0</v>
      </c>
      <c r="U258">
        <v>0</v>
      </c>
      <c r="W258" t="s">
        <v>62</v>
      </c>
      <c r="AP258" t="s">
        <v>101</v>
      </c>
    </row>
    <row r="259" spans="1:45" x14ac:dyDescent="0.35">
      <c r="A259" t="s">
        <v>45</v>
      </c>
      <c r="B259" t="s">
        <v>539</v>
      </c>
      <c r="C259" t="s">
        <v>58</v>
      </c>
      <c r="D259" t="s">
        <v>685</v>
      </c>
      <c r="E259" t="s">
        <v>685</v>
      </c>
      <c r="F259" t="s">
        <v>49</v>
      </c>
      <c r="G259" t="s">
        <v>688</v>
      </c>
      <c r="H259" t="s">
        <v>689</v>
      </c>
      <c r="J259" t="str">
        <f>HYPERLINK("https://www.youtube.com/watch?v=0jykPZJIZUU&amp;lc=UgxoABLBhwIvNN5CUL54AaABAg","https://www.youtube.com/watch?v=0jykPZJIZUU&amp;lc=UgxoABLBhwIvNN5CUL54AaABAg")</f>
        <v>https://www.youtube.com/watch?v=0jykPZJIZUU&amp;lc=UgxoABLBhwIvNN5CUL54AaABAg</v>
      </c>
      <c r="O259">
        <v>0</v>
      </c>
      <c r="P259">
        <v>0</v>
      </c>
      <c r="Q259">
        <v>0</v>
      </c>
      <c r="S259">
        <v>0</v>
      </c>
      <c r="T259">
        <v>0</v>
      </c>
      <c r="U259">
        <v>0</v>
      </c>
      <c r="W259" t="s">
        <v>62</v>
      </c>
      <c r="AP259" t="s">
        <v>101</v>
      </c>
      <c r="AS259" t="s">
        <v>375</v>
      </c>
    </row>
    <row r="260" spans="1:45" x14ac:dyDescent="0.35">
      <c r="A260" t="s">
        <v>45</v>
      </c>
      <c r="B260" t="s">
        <v>539</v>
      </c>
      <c r="C260" t="s">
        <v>63</v>
      </c>
      <c r="D260" t="s">
        <v>690</v>
      </c>
      <c r="E260" t="s">
        <v>690</v>
      </c>
      <c r="F260" t="s">
        <v>49</v>
      </c>
      <c r="G260" t="s">
        <v>691</v>
      </c>
      <c r="H260" t="s">
        <v>692</v>
      </c>
      <c r="J260" t="str">
        <f>HYPERLINK("https://www.instagram.com/p/C4ucfvtgGcP/","https://www.instagram.com/p/C4ucfvtgGcP/")</f>
        <v>https://www.instagram.com/p/C4ucfvtgGcP/</v>
      </c>
      <c r="O260">
        <v>0</v>
      </c>
      <c r="P260">
        <v>0</v>
      </c>
      <c r="Q260">
        <v>0</v>
      </c>
      <c r="S260">
        <v>0</v>
      </c>
      <c r="T260">
        <v>0</v>
      </c>
      <c r="U260">
        <v>0</v>
      </c>
      <c r="W260" t="s">
        <v>62</v>
      </c>
      <c r="AS260" t="s">
        <v>375</v>
      </c>
    </row>
    <row r="261" spans="1:45" x14ac:dyDescent="0.35">
      <c r="A261" t="s">
        <v>45</v>
      </c>
      <c r="B261" t="s">
        <v>539</v>
      </c>
      <c r="C261" t="s">
        <v>139</v>
      </c>
      <c r="D261" t="s">
        <v>693</v>
      </c>
      <c r="E261" t="s">
        <v>694</v>
      </c>
      <c r="F261" t="s">
        <v>49</v>
      </c>
      <c r="G261" t="s">
        <v>695</v>
      </c>
      <c r="H261" t="s">
        <v>696</v>
      </c>
      <c r="J261" t="str">
        <f>HYPERLINK("https://twitter.com/Priyanshu20066/status/1773218459876221125","https://twitter.com/Priyanshu20066/status/1773218459876221125")</f>
        <v>https://twitter.com/Priyanshu20066/status/1773218459876221125</v>
      </c>
      <c r="K261" t="s">
        <v>145</v>
      </c>
      <c r="O261">
        <v>0</v>
      </c>
      <c r="P261">
        <v>0</v>
      </c>
      <c r="Q261">
        <v>0</v>
      </c>
      <c r="S261">
        <v>0</v>
      </c>
      <c r="T261">
        <v>0</v>
      </c>
      <c r="U261">
        <v>0</v>
      </c>
      <c r="W261" t="s">
        <v>146</v>
      </c>
      <c r="AP261" t="s">
        <v>101</v>
      </c>
      <c r="AS261" t="s">
        <v>375</v>
      </c>
    </row>
    <row r="262" spans="1:45" x14ac:dyDescent="0.35">
      <c r="A262" t="s">
        <v>45</v>
      </c>
      <c r="B262" t="s">
        <v>539</v>
      </c>
      <c r="C262" t="s">
        <v>139</v>
      </c>
      <c r="D262" t="s">
        <v>697</v>
      </c>
      <c r="E262" t="s">
        <v>698</v>
      </c>
      <c r="F262" t="s">
        <v>49</v>
      </c>
      <c r="G262" t="s">
        <v>699</v>
      </c>
      <c r="H262" t="s">
        <v>700</v>
      </c>
      <c r="J262" t="str">
        <f>HYPERLINK("https://twitter.com/Amitkum05878705/status/1773197425877877213","https://twitter.com/Amitkum05878705/status/1773197425877877213")</f>
        <v>https://twitter.com/Amitkum05878705/status/1773197425877877213</v>
      </c>
      <c r="K262" t="s">
        <v>145</v>
      </c>
      <c r="O262">
        <v>0</v>
      </c>
      <c r="P262">
        <v>0</v>
      </c>
      <c r="Q262">
        <v>2</v>
      </c>
      <c r="S262">
        <v>0</v>
      </c>
      <c r="T262">
        <v>0</v>
      </c>
      <c r="U262">
        <v>0</v>
      </c>
      <c r="W262" t="s">
        <v>146</v>
      </c>
    </row>
    <row r="263" spans="1:45" x14ac:dyDescent="0.35">
      <c r="A263" t="s">
        <v>45</v>
      </c>
      <c r="B263" t="s">
        <v>539</v>
      </c>
      <c r="C263" t="s">
        <v>139</v>
      </c>
      <c r="D263" t="s">
        <v>701</v>
      </c>
      <c r="E263" t="s">
        <v>702</v>
      </c>
      <c r="F263" t="s">
        <v>49</v>
      </c>
      <c r="G263" t="s">
        <v>703</v>
      </c>
      <c r="H263" t="s">
        <v>704</v>
      </c>
      <c r="J263" t="str">
        <f>HYPERLINK("https://twitter.com/GauravK71531548/status/1773196928781627439","https://twitter.com/GauravK71531548/status/1773196928781627439")</f>
        <v>https://twitter.com/GauravK71531548/status/1773196928781627439</v>
      </c>
      <c r="K263" t="s">
        <v>145</v>
      </c>
      <c r="O263">
        <v>0</v>
      </c>
      <c r="P263">
        <v>0</v>
      </c>
      <c r="Q263">
        <v>0</v>
      </c>
      <c r="S263">
        <v>0</v>
      </c>
      <c r="T263">
        <v>0</v>
      </c>
      <c r="U263">
        <v>0</v>
      </c>
      <c r="W263" t="s">
        <v>146</v>
      </c>
      <c r="AS263" t="s">
        <v>375</v>
      </c>
    </row>
    <row r="264" spans="1:45" x14ac:dyDescent="0.35">
      <c r="A264" t="s">
        <v>45</v>
      </c>
      <c r="B264" t="s">
        <v>539</v>
      </c>
      <c r="C264" t="s">
        <v>47</v>
      </c>
      <c r="D264" t="s">
        <v>445</v>
      </c>
      <c r="E264" t="s">
        <v>445</v>
      </c>
      <c r="F264" t="s">
        <v>49</v>
      </c>
      <c r="G264" t="s">
        <v>705</v>
      </c>
      <c r="H264" t="s">
        <v>706</v>
      </c>
      <c r="J264" t="str">
        <f>HYPERLINK("https://www.facebook.com/454965103328545/posts/795975695894149?comment_id=1083787896213651","https://www.facebook.com/454965103328545/posts/795975695894149?comment_id=1083787896213651")</f>
        <v>https://www.facebook.com/454965103328545/posts/795975695894149?comment_id=1083787896213651</v>
      </c>
      <c r="O264">
        <v>0</v>
      </c>
      <c r="P264">
        <v>0</v>
      </c>
      <c r="Q264">
        <v>0</v>
      </c>
      <c r="S264">
        <v>0</v>
      </c>
      <c r="T264">
        <v>0</v>
      </c>
      <c r="U264">
        <v>0</v>
      </c>
      <c r="W264" t="s">
        <v>62</v>
      </c>
    </row>
    <row r="265" spans="1:45" x14ac:dyDescent="0.35">
      <c r="A265" t="s">
        <v>45</v>
      </c>
      <c r="B265" t="s">
        <v>539</v>
      </c>
      <c r="C265" t="s">
        <v>47</v>
      </c>
      <c r="D265" t="s">
        <v>445</v>
      </c>
      <c r="E265" t="s">
        <v>445</v>
      </c>
      <c r="F265" t="s">
        <v>142</v>
      </c>
      <c r="G265" t="s">
        <v>473</v>
      </c>
      <c r="H265" t="s">
        <v>707</v>
      </c>
      <c r="J265" t="str">
        <f>HYPERLINK("https://www.facebook.com/454965103328545/posts/795975695894149?comment_id=328946769775156","https://www.facebook.com/454965103328545/posts/795975695894149?comment_id=328946769775156")</f>
        <v>https://www.facebook.com/454965103328545/posts/795975695894149?comment_id=328946769775156</v>
      </c>
      <c r="O265">
        <v>0</v>
      </c>
      <c r="P265">
        <v>0</v>
      </c>
      <c r="Q265">
        <v>0</v>
      </c>
      <c r="S265">
        <v>0</v>
      </c>
      <c r="T265">
        <v>0</v>
      </c>
      <c r="U265">
        <v>0</v>
      </c>
      <c r="W265" t="s">
        <v>62</v>
      </c>
    </row>
    <row r="266" spans="1:45" x14ac:dyDescent="0.35">
      <c r="A266" t="s">
        <v>45</v>
      </c>
      <c r="B266" t="s">
        <v>539</v>
      </c>
      <c r="C266" t="s">
        <v>47</v>
      </c>
      <c r="D266" t="s">
        <v>445</v>
      </c>
      <c r="E266" t="s">
        <v>445</v>
      </c>
      <c r="F266" t="s">
        <v>49</v>
      </c>
      <c r="G266" t="s">
        <v>477</v>
      </c>
      <c r="H266" t="s">
        <v>708</v>
      </c>
      <c r="J266" t="str">
        <f>HYPERLINK("https://www.facebook.com/454965103328545/posts/795975695894149?comment_id=1416932105860287","https://www.facebook.com/454965103328545/posts/795975695894149?comment_id=1416932105860287")</f>
        <v>https://www.facebook.com/454965103328545/posts/795975695894149?comment_id=1416932105860287</v>
      </c>
      <c r="O266">
        <v>0</v>
      </c>
      <c r="P266">
        <v>0</v>
      </c>
      <c r="Q266">
        <v>0</v>
      </c>
      <c r="S266">
        <v>0</v>
      </c>
      <c r="T266">
        <v>0</v>
      </c>
      <c r="U266">
        <v>0</v>
      </c>
      <c r="W266" t="s">
        <v>62</v>
      </c>
    </row>
    <row r="267" spans="1:45" x14ac:dyDescent="0.35">
      <c r="A267" t="s">
        <v>45</v>
      </c>
      <c r="B267" t="s">
        <v>539</v>
      </c>
      <c r="C267" t="s">
        <v>47</v>
      </c>
      <c r="D267" t="s">
        <v>445</v>
      </c>
      <c r="E267" t="s">
        <v>445</v>
      </c>
      <c r="F267" t="s">
        <v>49</v>
      </c>
      <c r="G267" t="s">
        <v>477</v>
      </c>
      <c r="H267" t="s">
        <v>709</v>
      </c>
      <c r="J267" t="str">
        <f>HYPERLINK("https://www.facebook.com/454965103328545/posts/795975695894149?comment_id=313642444760996","https://www.facebook.com/454965103328545/posts/795975695894149?comment_id=313642444760996")</f>
        <v>https://www.facebook.com/454965103328545/posts/795975695894149?comment_id=313642444760996</v>
      </c>
      <c r="O267">
        <v>0</v>
      </c>
      <c r="P267">
        <v>0</v>
      </c>
      <c r="Q267">
        <v>0</v>
      </c>
      <c r="S267">
        <v>0</v>
      </c>
      <c r="T267">
        <v>0</v>
      </c>
      <c r="U267">
        <v>0</v>
      </c>
      <c r="W267" t="s">
        <v>62</v>
      </c>
    </row>
    <row r="268" spans="1:45" x14ac:dyDescent="0.35">
      <c r="A268" t="s">
        <v>45</v>
      </c>
      <c r="B268" t="s">
        <v>539</v>
      </c>
      <c r="C268" t="s">
        <v>47</v>
      </c>
      <c r="D268" t="s">
        <v>445</v>
      </c>
      <c r="E268" t="s">
        <v>445</v>
      </c>
      <c r="F268" t="s">
        <v>142</v>
      </c>
      <c r="G268" t="s">
        <v>473</v>
      </c>
      <c r="H268" t="s">
        <v>710</v>
      </c>
      <c r="J268" t="str">
        <f>HYPERLINK("https://www.facebook.com/454965103328545/posts/795975695894149?comment_id=1099815867932625","https://www.facebook.com/454965103328545/posts/795975695894149?comment_id=1099815867932625")</f>
        <v>https://www.facebook.com/454965103328545/posts/795975695894149?comment_id=1099815867932625</v>
      </c>
      <c r="O268">
        <v>0</v>
      </c>
      <c r="P268">
        <v>0</v>
      </c>
      <c r="Q268">
        <v>0</v>
      </c>
      <c r="S268">
        <v>0</v>
      </c>
      <c r="T268">
        <v>0</v>
      </c>
      <c r="U268">
        <v>0</v>
      </c>
      <c r="W268" t="s">
        <v>62</v>
      </c>
    </row>
    <row r="269" spans="1:45" x14ac:dyDescent="0.35">
      <c r="A269" t="s">
        <v>45</v>
      </c>
      <c r="B269" t="s">
        <v>539</v>
      </c>
      <c r="C269" t="s">
        <v>47</v>
      </c>
      <c r="D269" t="s">
        <v>445</v>
      </c>
      <c r="E269" t="s">
        <v>445</v>
      </c>
      <c r="F269" t="s">
        <v>49</v>
      </c>
      <c r="G269" t="s">
        <v>471</v>
      </c>
      <c r="H269" t="s">
        <v>711</v>
      </c>
      <c r="J269" t="str">
        <f>HYPERLINK("https://www.facebook.com/454965103328545/posts/795975695894149?comment_id=1330517307614315","https://www.facebook.com/454965103328545/posts/795975695894149?comment_id=1330517307614315")</f>
        <v>https://www.facebook.com/454965103328545/posts/795975695894149?comment_id=1330517307614315</v>
      </c>
      <c r="O269">
        <v>0</v>
      </c>
      <c r="P269">
        <v>0</v>
      </c>
      <c r="Q269">
        <v>0</v>
      </c>
      <c r="S269">
        <v>0</v>
      </c>
      <c r="T269">
        <v>0</v>
      </c>
      <c r="U269">
        <v>0</v>
      </c>
      <c r="W269" t="s">
        <v>62</v>
      </c>
    </row>
    <row r="270" spans="1:45" x14ac:dyDescent="0.35">
      <c r="A270" t="s">
        <v>45</v>
      </c>
      <c r="B270" t="s">
        <v>539</v>
      </c>
      <c r="C270" t="s">
        <v>47</v>
      </c>
      <c r="D270" t="s">
        <v>445</v>
      </c>
      <c r="E270" t="s">
        <v>445</v>
      </c>
      <c r="F270" t="s">
        <v>49</v>
      </c>
      <c r="G270" t="s">
        <v>477</v>
      </c>
      <c r="H270" t="s">
        <v>712</v>
      </c>
      <c r="J270" t="str">
        <f>HYPERLINK("https://www.facebook.com/454965103328545/posts/795975695894149?comment_id=1663925234417663","https://www.facebook.com/454965103328545/posts/795975695894149?comment_id=1663925234417663")</f>
        <v>https://www.facebook.com/454965103328545/posts/795975695894149?comment_id=1663925234417663</v>
      </c>
      <c r="O270">
        <v>0</v>
      </c>
      <c r="P270">
        <v>0</v>
      </c>
      <c r="Q270">
        <v>0</v>
      </c>
      <c r="S270">
        <v>0</v>
      </c>
      <c r="T270">
        <v>0</v>
      </c>
      <c r="U270">
        <v>0</v>
      </c>
      <c r="W270" t="s">
        <v>62</v>
      </c>
    </row>
    <row r="271" spans="1:45" x14ac:dyDescent="0.35">
      <c r="A271" t="s">
        <v>45</v>
      </c>
      <c r="B271" t="s">
        <v>539</v>
      </c>
      <c r="C271" t="s">
        <v>47</v>
      </c>
      <c r="D271" t="s">
        <v>445</v>
      </c>
      <c r="E271" t="s">
        <v>445</v>
      </c>
      <c r="F271" t="s">
        <v>49</v>
      </c>
      <c r="G271" t="s">
        <v>471</v>
      </c>
      <c r="H271" t="s">
        <v>713</v>
      </c>
      <c r="J271" t="str">
        <f>HYPERLINK("https://www.facebook.com/454965103328545/posts/795975695894149?comment_id=2374422039434788","https://www.facebook.com/454965103328545/posts/795975695894149?comment_id=2374422039434788")</f>
        <v>https://www.facebook.com/454965103328545/posts/795975695894149?comment_id=2374422039434788</v>
      </c>
      <c r="O271">
        <v>0</v>
      </c>
      <c r="P271">
        <v>0</v>
      </c>
      <c r="Q271">
        <v>0</v>
      </c>
      <c r="S271">
        <v>0</v>
      </c>
      <c r="T271">
        <v>0</v>
      </c>
      <c r="U271">
        <v>0</v>
      </c>
      <c r="W271" t="s">
        <v>62</v>
      </c>
    </row>
    <row r="272" spans="1:45" x14ac:dyDescent="0.35">
      <c r="A272" t="s">
        <v>45</v>
      </c>
      <c r="B272" t="s">
        <v>539</v>
      </c>
      <c r="C272" t="s">
        <v>47</v>
      </c>
      <c r="D272" t="s">
        <v>445</v>
      </c>
      <c r="E272" t="s">
        <v>445</v>
      </c>
      <c r="F272" t="s">
        <v>142</v>
      </c>
      <c r="G272" t="s">
        <v>473</v>
      </c>
      <c r="H272" t="s">
        <v>714</v>
      </c>
      <c r="J272" t="str">
        <f>HYPERLINK("https://www.facebook.com/454965103328545/posts/795975695894149?comment_id=729752385668489","https://www.facebook.com/454965103328545/posts/795975695894149?comment_id=729752385668489")</f>
        <v>https://www.facebook.com/454965103328545/posts/795975695894149?comment_id=729752385668489</v>
      </c>
      <c r="O272">
        <v>0</v>
      </c>
      <c r="P272">
        <v>0</v>
      </c>
      <c r="Q272">
        <v>0</v>
      </c>
      <c r="S272">
        <v>0</v>
      </c>
      <c r="T272">
        <v>0</v>
      </c>
      <c r="U272">
        <v>0</v>
      </c>
      <c r="W272" t="s">
        <v>62</v>
      </c>
    </row>
    <row r="273" spans="1:45" x14ac:dyDescent="0.35">
      <c r="A273" t="s">
        <v>45</v>
      </c>
      <c r="B273" t="s">
        <v>539</v>
      </c>
      <c r="C273" t="s">
        <v>47</v>
      </c>
      <c r="D273" t="s">
        <v>445</v>
      </c>
      <c r="E273" t="s">
        <v>445</v>
      </c>
      <c r="F273" t="s">
        <v>49</v>
      </c>
      <c r="G273" t="s">
        <v>475</v>
      </c>
      <c r="H273" t="s">
        <v>715</v>
      </c>
      <c r="J273" t="str">
        <f>HYPERLINK("https://www.facebook.com/454965103328545/posts/795975695894149?comment_id=748661490707951","https://www.facebook.com/454965103328545/posts/795975695894149?comment_id=748661490707951")</f>
        <v>https://www.facebook.com/454965103328545/posts/795975695894149?comment_id=748661490707951</v>
      </c>
      <c r="O273">
        <v>0</v>
      </c>
      <c r="P273">
        <v>0</v>
      </c>
      <c r="Q273">
        <v>0</v>
      </c>
      <c r="S273">
        <v>0</v>
      </c>
      <c r="T273">
        <v>0</v>
      </c>
      <c r="U273">
        <v>0</v>
      </c>
      <c r="W273" t="s">
        <v>62</v>
      </c>
      <c r="AP273" t="s">
        <v>101</v>
      </c>
    </row>
    <row r="274" spans="1:45" x14ac:dyDescent="0.35">
      <c r="A274" t="s">
        <v>45</v>
      </c>
      <c r="B274" t="s">
        <v>539</v>
      </c>
      <c r="C274" t="s">
        <v>47</v>
      </c>
      <c r="D274" t="s">
        <v>716</v>
      </c>
      <c r="E274" t="s">
        <v>716</v>
      </c>
      <c r="F274" t="s">
        <v>49</v>
      </c>
      <c r="G274" t="s">
        <v>717</v>
      </c>
      <c r="H274" t="s">
        <v>718</v>
      </c>
      <c r="J274" t="str">
        <f>HYPERLINK("https://www.facebook.com/357267201017935/inbox/7130917956986125/","https://www.facebook.com/357267201017935/inbox/7130917956986125/")</f>
        <v>https://www.facebook.com/357267201017935/inbox/7130917956986125/</v>
      </c>
      <c r="O274">
        <v>0</v>
      </c>
      <c r="P274">
        <v>0</v>
      </c>
      <c r="Q274">
        <v>0</v>
      </c>
      <c r="S274">
        <v>0</v>
      </c>
      <c r="T274">
        <v>0</v>
      </c>
      <c r="U274">
        <v>0</v>
      </c>
      <c r="W274" t="s">
        <v>52</v>
      </c>
    </row>
    <row r="275" spans="1:45" x14ac:dyDescent="0.35">
      <c r="A275" t="s">
        <v>45</v>
      </c>
      <c r="B275" t="s">
        <v>539</v>
      </c>
      <c r="C275" t="s">
        <v>47</v>
      </c>
      <c r="D275" t="s">
        <v>716</v>
      </c>
      <c r="E275" t="s">
        <v>716</v>
      </c>
      <c r="F275" t="s">
        <v>49</v>
      </c>
      <c r="G275" t="s">
        <v>719</v>
      </c>
      <c r="H275" t="s">
        <v>720</v>
      </c>
      <c r="J275" t="str">
        <f>HYPERLINK("https://www.facebook.com/357267201017935/inbox/7130917956986125/","https://www.facebook.com/357267201017935/inbox/7130917956986125/")</f>
        <v>https://www.facebook.com/357267201017935/inbox/7130917956986125/</v>
      </c>
      <c r="O275">
        <v>0</v>
      </c>
      <c r="P275">
        <v>0</v>
      </c>
      <c r="Q275">
        <v>0</v>
      </c>
      <c r="S275">
        <v>0</v>
      </c>
      <c r="T275">
        <v>0</v>
      </c>
      <c r="U275">
        <v>0</v>
      </c>
      <c r="W275" t="s">
        <v>52</v>
      </c>
      <c r="AS275" t="s">
        <v>375</v>
      </c>
    </row>
    <row r="276" spans="1:45" x14ac:dyDescent="0.35">
      <c r="A276" t="s">
        <v>45</v>
      </c>
      <c r="B276" t="s">
        <v>539</v>
      </c>
      <c r="C276" t="s">
        <v>58</v>
      </c>
      <c r="D276" t="s">
        <v>721</v>
      </c>
      <c r="E276" t="s">
        <v>721</v>
      </c>
      <c r="F276" t="s">
        <v>49</v>
      </c>
      <c r="G276" t="s">
        <v>722</v>
      </c>
      <c r="H276" t="s">
        <v>723</v>
      </c>
      <c r="J276" t="str">
        <f>HYPERLINK("https://www.youtube.com/watch?v=xUxBDhe1iiI","https://www.youtube.com/watch?v=xUxBDhe1iiI")</f>
        <v>https://www.youtube.com/watch?v=xUxBDhe1iiI</v>
      </c>
      <c r="O276">
        <v>0</v>
      </c>
      <c r="P276">
        <v>0</v>
      </c>
      <c r="Q276">
        <v>0</v>
      </c>
      <c r="S276">
        <v>0</v>
      </c>
      <c r="T276">
        <v>0</v>
      </c>
      <c r="U276">
        <v>0</v>
      </c>
      <c r="W276" t="s">
        <v>106</v>
      </c>
    </row>
    <row r="277" spans="1:45" x14ac:dyDescent="0.35">
      <c r="A277" t="s">
        <v>45</v>
      </c>
      <c r="B277" t="s">
        <v>539</v>
      </c>
      <c r="C277" t="s">
        <v>63</v>
      </c>
      <c r="D277" t="s">
        <v>369</v>
      </c>
      <c r="E277" t="s">
        <v>369</v>
      </c>
      <c r="F277" t="s">
        <v>49</v>
      </c>
      <c r="G277" t="s">
        <v>724</v>
      </c>
      <c r="H277" t="s">
        <v>725</v>
      </c>
      <c r="J277" t="str">
        <f>HYPERLINK("https://www.instagram.com/p/C4ucfvtgGcP/","https://www.instagram.com/p/C4ucfvtgGcP/")</f>
        <v>https://www.instagram.com/p/C4ucfvtgGcP/</v>
      </c>
      <c r="O277">
        <v>0</v>
      </c>
      <c r="P277">
        <v>0</v>
      </c>
      <c r="Q277">
        <v>0</v>
      </c>
      <c r="S277">
        <v>0</v>
      </c>
      <c r="T277">
        <v>0</v>
      </c>
      <c r="U277">
        <v>0</v>
      </c>
      <c r="W277" t="s">
        <v>62</v>
      </c>
      <c r="AP277" t="s">
        <v>101</v>
      </c>
      <c r="AS277" t="s">
        <v>375</v>
      </c>
    </row>
    <row r="278" spans="1:45" x14ac:dyDescent="0.35">
      <c r="A278" t="s">
        <v>45</v>
      </c>
      <c r="B278" t="s">
        <v>539</v>
      </c>
      <c r="C278" t="s">
        <v>139</v>
      </c>
      <c r="D278" t="s">
        <v>726</v>
      </c>
      <c r="E278" t="s">
        <v>727</v>
      </c>
      <c r="F278" t="s">
        <v>49</v>
      </c>
      <c r="G278" t="s">
        <v>728</v>
      </c>
      <c r="H278" t="s">
        <v>729</v>
      </c>
      <c r="J278" t="str">
        <f>HYPERLINK("https://twitter.com/AkashYakov92580/status/1773130087056941263","https://twitter.com/AkashYakov92580/status/1773130087056941263")</f>
        <v>https://twitter.com/AkashYakov92580/status/1773130087056941263</v>
      </c>
      <c r="K278" t="s">
        <v>145</v>
      </c>
      <c r="O278">
        <v>0</v>
      </c>
      <c r="P278">
        <v>0</v>
      </c>
      <c r="Q278">
        <v>0</v>
      </c>
      <c r="R278" t="s">
        <v>730</v>
      </c>
      <c r="S278">
        <v>0</v>
      </c>
      <c r="T278">
        <v>0</v>
      </c>
      <c r="U278">
        <v>0</v>
      </c>
      <c r="W278" t="s">
        <v>146</v>
      </c>
    </row>
    <row r="279" spans="1:45" x14ac:dyDescent="0.35">
      <c r="A279" t="s">
        <v>45</v>
      </c>
      <c r="B279" t="s">
        <v>539</v>
      </c>
      <c r="C279" t="s">
        <v>63</v>
      </c>
      <c r="D279" t="s">
        <v>731</v>
      </c>
      <c r="E279" t="s">
        <v>731</v>
      </c>
      <c r="F279" t="s">
        <v>142</v>
      </c>
      <c r="G279" t="s">
        <v>732</v>
      </c>
      <c r="H279" t="s">
        <v>733</v>
      </c>
      <c r="J279" t="str">
        <f>HYPERLINK("https://www.instagram.com/p/C5B8UrES3Qf/","https://www.instagram.com/p/C5B8UrES3Qf/")</f>
        <v>https://www.instagram.com/p/C5B8UrES3Qf/</v>
      </c>
      <c r="O279">
        <v>0</v>
      </c>
      <c r="P279">
        <v>0</v>
      </c>
      <c r="Q279">
        <v>0</v>
      </c>
      <c r="S279">
        <v>0</v>
      </c>
      <c r="T279">
        <v>1</v>
      </c>
      <c r="U279">
        <v>0</v>
      </c>
      <c r="W279" t="s">
        <v>106</v>
      </c>
    </row>
    <row r="280" spans="1:45" x14ac:dyDescent="0.35">
      <c r="A280" t="s">
        <v>45</v>
      </c>
      <c r="B280" t="s">
        <v>539</v>
      </c>
      <c r="C280" t="s">
        <v>47</v>
      </c>
      <c r="F280" t="s">
        <v>142</v>
      </c>
      <c r="G280" t="s">
        <v>734</v>
      </c>
      <c r="H280" t="s">
        <v>735</v>
      </c>
      <c r="J280" t="str">
        <f>HYPERLINK("https://www.facebook.com/114777301601686_2085372628485732","https://www.facebook.com/114777301601686_2085372628485732")</f>
        <v>https://www.facebook.com/114777301601686_2085372628485732</v>
      </c>
      <c r="O280">
        <v>0</v>
      </c>
      <c r="P280">
        <v>0</v>
      </c>
      <c r="Q280">
        <v>0</v>
      </c>
      <c r="S280">
        <v>0</v>
      </c>
      <c r="T280">
        <v>0</v>
      </c>
      <c r="U280">
        <v>0</v>
      </c>
      <c r="W280" t="s">
        <v>106</v>
      </c>
      <c r="AP280" t="s">
        <v>147</v>
      </c>
    </row>
    <row r="281" spans="1:45" x14ac:dyDescent="0.35">
      <c r="A281" t="s">
        <v>45</v>
      </c>
      <c r="B281" t="s">
        <v>539</v>
      </c>
      <c r="C281" t="s">
        <v>63</v>
      </c>
      <c r="D281" t="s">
        <v>736</v>
      </c>
      <c r="E281" t="s">
        <v>736</v>
      </c>
      <c r="F281" t="s">
        <v>49</v>
      </c>
      <c r="G281">
        <v>6383558164</v>
      </c>
      <c r="H281" t="s">
        <v>737</v>
      </c>
      <c r="J281" t="str">
        <f>HYPERLINK("https://www.instagram.com/p/C4ucfvtgGcP/","https://www.instagram.com/p/C4ucfvtgGcP/")</f>
        <v>https://www.instagram.com/p/C4ucfvtgGcP/</v>
      </c>
      <c r="O281">
        <v>0</v>
      </c>
      <c r="P281">
        <v>0</v>
      </c>
      <c r="Q281">
        <v>0</v>
      </c>
      <c r="S281">
        <v>0</v>
      </c>
      <c r="T281">
        <v>0</v>
      </c>
      <c r="U281">
        <v>0</v>
      </c>
      <c r="W281" t="s">
        <v>62</v>
      </c>
      <c r="Y281" t="s">
        <v>738</v>
      </c>
      <c r="Z281" t="s">
        <v>613</v>
      </c>
      <c r="AA281" t="s">
        <v>614</v>
      </c>
    </row>
    <row r="282" spans="1:45" x14ac:dyDescent="0.35">
      <c r="A282" t="s">
        <v>45</v>
      </c>
      <c r="B282" t="s">
        <v>539</v>
      </c>
      <c r="C282" t="s">
        <v>63</v>
      </c>
      <c r="D282" t="s">
        <v>736</v>
      </c>
      <c r="E282" t="s">
        <v>736</v>
      </c>
      <c r="F282" t="s">
        <v>49</v>
      </c>
      <c r="G282" t="s">
        <v>739</v>
      </c>
      <c r="H282" t="s">
        <v>740</v>
      </c>
      <c r="J282" t="str">
        <f>HYPERLINK("https://www.instagram.com/p/C4ucfvtgGcP/","https://www.instagram.com/p/C4ucfvtgGcP/")</f>
        <v>https://www.instagram.com/p/C4ucfvtgGcP/</v>
      </c>
      <c r="O282">
        <v>0</v>
      </c>
      <c r="P282">
        <v>0</v>
      </c>
      <c r="Q282">
        <v>0</v>
      </c>
      <c r="S282">
        <v>0</v>
      </c>
      <c r="T282">
        <v>0</v>
      </c>
      <c r="U282">
        <v>0</v>
      </c>
      <c r="W282" t="s">
        <v>62</v>
      </c>
      <c r="AS282" t="s">
        <v>375</v>
      </c>
    </row>
    <row r="283" spans="1:45" x14ac:dyDescent="0.35">
      <c r="A283" t="s">
        <v>45</v>
      </c>
      <c r="B283" t="s">
        <v>539</v>
      </c>
      <c r="C283" t="s">
        <v>139</v>
      </c>
      <c r="D283" t="s">
        <v>741</v>
      </c>
      <c r="E283" t="s">
        <v>742</v>
      </c>
      <c r="F283" t="s">
        <v>49</v>
      </c>
      <c r="G283" t="s">
        <v>743</v>
      </c>
      <c r="H283" t="s">
        <v>744</v>
      </c>
      <c r="J283" t="str">
        <f>HYPERLINK("https://twitter.com/PMichael8570165/status/1773059136143437890","https://twitter.com/PMichael8570165/status/1773059136143437890")</f>
        <v>https://twitter.com/PMichael8570165/status/1773059136143437890</v>
      </c>
      <c r="O283">
        <v>0</v>
      </c>
      <c r="P283">
        <v>0</v>
      </c>
      <c r="Q283">
        <v>0</v>
      </c>
      <c r="S283">
        <v>0</v>
      </c>
      <c r="T283">
        <v>0</v>
      </c>
      <c r="U283">
        <v>0</v>
      </c>
      <c r="W283" t="s">
        <v>146</v>
      </c>
    </row>
    <row r="284" spans="1:45" x14ac:dyDescent="0.35">
      <c r="A284" t="s">
        <v>45</v>
      </c>
      <c r="B284" t="s">
        <v>745</v>
      </c>
      <c r="C284" t="s">
        <v>47</v>
      </c>
      <c r="D284" t="s">
        <v>746</v>
      </c>
      <c r="E284" t="s">
        <v>746</v>
      </c>
      <c r="F284" t="s">
        <v>49</v>
      </c>
      <c r="G284" t="s">
        <v>747</v>
      </c>
      <c r="H284" t="s">
        <v>748</v>
      </c>
      <c r="J284" t="str">
        <f>HYPERLINK("https://www.facebook.com/357267201017935/inbox/7206936612717592/","https://www.facebook.com/357267201017935/inbox/7206936612717592/")</f>
        <v>https://www.facebook.com/357267201017935/inbox/7206936612717592/</v>
      </c>
      <c r="O284">
        <v>0</v>
      </c>
      <c r="P284">
        <v>0</v>
      </c>
      <c r="Q284">
        <v>0</v>
      </c>
      <c r="S284">
        <v>0</v>
      </c>
      <c r="T284">
        <v>0</v>
      </c>
      <c r="U284">
        <v>0</v>
      </c>
      <c r="W284" t="s">
        <v>52</v>
      </c>
      <c r="AO284" t="s">
        <v>119</v>
      </c>
      <c r="AP284" t="s">
        <v>101</v>
      </c>
    </row>
    <row r="285" spans="1:45" x14ac:dyDescent="0.35">
      <c r="A285" t="s">
        <v>45</v>
      </c>
      <c r="B285" t="s">
        <v>745</v>
      </c>
      <c r="C285" t="s">
        <v>47</v>
      </c>
      <c r="D285" t="s">
        <v>749</v>
      </c>
      <c r="E285" t="s">
        <v>749</v>
      </c>
      <c r="F285" t="s">
        <v>49</v>
      </c>
      <c r="G285" t="s">
        <v>750</v>
      </c>
      <c r="H285" t="s">
        <v>751</v>
      </c>
      <c r="J285" t="str">
        <f>HYPERLINK("https://www.facebook.com/454965103328545/posts/795975695894149?comment_id=1138250334027095","https://www.facebook.com/454965103328545/posts/795975695894149?comment_id=1138250334027095")</f>
        <v>https://www.facebook.com/454965103328545/posts/795975695894149?comment_id=1138250334027095</v>
      </c>
      <c r="O285">
        <v>0</v>
      </c>
      <c r="P285">
        <v>0</v>
      </c>
      <c r="Q285">
        <v>0</v>
      </c>
      <c r="S285">
        <v>0</v>
      </c>
      <c r="T285">
        <v>0</v>
      </c>
      <c r="U285">
        <v>0</v>
      </c>
      <c r="W285" t="s">
        <v>62</v>
      </c>
      <c r="AS285" t="s">
        <v>375</v>
      </c>
    </row>
    <row r="286" spans="1:45" x14ac:dyDescent="0.35">
      <c r="A286" t="s">
        <v>45</v>
      </c>
      <c r="B286" t="s">
        <v>745</v>
      </c>
      <c r="C286" t="s">
        <v>58</v>
      </c>
      <c r="D286" t="s">
        <v>752</v>
      </c>
      <c r="E286" t="s">
        <v>752</v>
      </c>
      <c r="F286" t="s">
        <v>49</v>
      </c>
      <c r="G286" t="s">
        <v>753</v>
      </c>
      <c r="H286" t="s">
        <v>754</v>
      </c>
      <c r="J286" t="str">
        <f>HYPERLINK("https://www.youtube.com/watch?v=uT_09H9IP3E","https://www.youtube.com/watch?v=uT_09H9IP3E")</f>
        <v>https://www.youtube.com/watch?v=uT_09H9IP3E</v>
      </c>
      <c r="O286">
        <v>0</v>
      </c>
      <c r="P286">
        <v>0</v>
      </c>
      <c r="Q286">
        <v>0</v>
      </c>
      <c r="S286">
        <v>0</v>
      </c>
      <c r="T286">
        <v>0</v>
      </c>
      <c r="U286">
        <v>0</v>
      </c>
      <c r="W286" t="s">
        <v>106</v>
      </c>
    </row>
    <row r="287" spans="1:45" x14ac:dyDescent="0.35">
      <c r="A287" t="s">
        <v>45</v>
      </c>
      <c r="B287" t="s">
        <v>745</v>
      </c>
      <c r="C287" t="s">
        <v>47</v>
      </c>
      <c r="F287" t="s">
        <v>49</v>
      </c>
      <c r="G287" t="s">
        <v>755</v>
      </c>
      <c r="H287" t="s">
        <v>756</v>
      </c>
      <c r="J287" t="str">
        <f>HYPERLINK("https://www.facebook.com/3339111299495920_3661436514138342","https://www.facebook.com/3339111299495920_3661436514138342")</f>
        <v>https://www.facebook.com/3339111299495920_3661436514138342</v>
      </c>
      <c r="O287">
        <v>0</v>
      </c>
      <c r="P287">
        <v>0</v>
      </c>
      <c r="Q287">
        <v>0</v>
      </c>
      <c r="S287">
        <v>0</v>
      </c>
      <c r="T287">
        <v>0</v>
      </c>
      <c r="U287">
        <v>0</v>
      </c>
      <c r="W287" t="s">
        <v>106</v>
      </c>
    </row>
    <row r="288" spans="1:45" x14ac:dyDescent="0.35">
      <c r="A288" t="s">
        <v>45</v>
      </c>
      <c r="B288" t="s">
        <v>745</v>
      </c>
      <c r="C288" t="s">
        <v>47</v>
      </c>
      <c r="D288" t="s">
        <v>757</v>
      </c>
      <c r="E288" t="s">
        <v>757</v>
      </c>
      <c r="F288" t="s">
        <v>49</v>
      </c>
      <c r="G288" t="s">
        <v>758</v>
      </c>
      <c r="H288" t="s">
        <v>759</v>
      </c>
      <c r="J288" t="str">
        <f>HYPERLINK("https://www.facebook.com/454965103328545/posts/795975695894149?comment_id=938697750893477","https://www.facebook.com/454965103328545/posts/795975695894149?comment_id=938697750893477")</f>
        <v>https://www.facebook.com/454965103328545/posts/795975695894149?comment_id=938697750893477</v>
      </c>
      <c r="O288">
        <v>0</v>
      </c>
      <c r="P288">
        <v>0</v>
      </c>
      <c r="Q288">
        <v>0</v>
      </c>
      <c r="S288">
        <v>0</v>
      </c>
      <c r="T288">
        <v>0</v>
      </c>
      <c r="U288">
        <v>0</v>
      </c>
      <c r="W288" t="s">
        <v>62</v>
      </c>
      <c r="AO288" t="s">
        <v>67</v>
      </c>
      <c r="AS288" t="s">
        <v>375</v>
      </c>
    </row>
    <row r="289" spans="1:45" x14ac:dyDescent="0.35">
      <c r="A289" t="s">
        <v>45</v>
      </c>
      <c r="B289" t="s">
        <v>745</v>
      </c>
      <c r="C289" t="s">
        <v>47</v>
      </c>
      <c r="D289" t="s">
        <v>760</v>
      </c>
      <c r="E289" t="s">
        <v>760</v>
      </c>
      <c r="F289" t="s">
        <v>49</v>
      </c>
      <c r="G289" t="s">
        <v>761</v>
      </c>
      <c r="H289" t="s">
        <v>762</v>
      </c>
      <c r="J289" t="str">
        <f>HYPERLINK("https://www.facebook.com/454965103328545/posts/791533523005033?comment_id=394083556746156","https://www.facebook.com/454965103328545/posts/791533523005033?comment_id=394083556746156")</f>
        <v>https://www.facebook.com/454965103328545/posts/791533523005033?comment_id=394083556746156</v>
      </c>
      <c r="O289">
        <v>0</v>
      </c>
      <c r="P289">
        <v>0</v>
      </c>
      <c r="Q289">
        <v>0</v>
      </c>
      <c r="S289">
        <v>0</v>
      </c>
      <c r="T289">
        <v>0</v>
      </c>
      <c r="U289">
        <v>0</v>
      </c>
      <c r="W289" t="s">
        <v>62</v>
      </c>
    </row>
    <row r="290" spans="1:45" x14ac:dyDescent="0.35">
      <c r="A290" t="s">
        <v>45</v>
      </c>
      <c r="B290" t="s">
        <v>745</v>
      </c>
      <c r="C290" t="s">
        <v>47</v>
      </c>
      <c r="D290" t="s">
        <v>763</v>
      </c>
      <c r="E290" t="s">
        <v>763</v>
      </c>
      <c r="F290" t="s">
        <v>49</v>
      </c>
      <c r="G290">
        <v>9361708634</v>
      </c>
      <c r="H290" t="s">
        <v>764</v>
      </c>
      <c r="J290" t="str">
        <f>HYPERLINK("https://www.facebook.com/454965103328545/posts/771906841634368?comment_id=729710775814646","https://www.facebook.com/454965103328545/posts/771906841634368?comment_id=729710775814646")</f>
        <v>https://www.facebook.com/454965103328545/posts/771906841634368?comment_id=729710775814646</v>
      </c>
      <c r="O290">
        <v>0</v>
      </c>
      <c r="P290">
        <v>0</v>
      </c>
      <c r="Q290">
        <v>0</v>
      </c>
      <c r="S290">
        <v>0</v>
      </c>
      <c r="T290">
        <v>0</v>
      </c>
      <c r="U290">
        <v>0</v>
      </c>
      <c r="W290" t="s">
        <v>62</v>
      </c>
      <c r="Y290" t="s">
        <v>765</v>
      </c>
      <c r="Z290" t="s">
        <v>613</v>
      </c>
      <c r="AA290" t="s">
        <v>614</v>
      </c>
    </row>
    <row r="291" spans="1:45" x14ac:dyDescent="0.35">
      <c r="A291" t="s">
        <v>45</v>
      </c>
      <c r="B291" t="s">
        <v>745</v>
      </c>
      <c r="C291" t="s">
        <v>47</v>
      </c>
      <c r="D291" t="s">
        <v>763</v>
      </c>
      <c r="E291" t="s">
        <v>763</v>
      </c>
      <c r="F291" t="s">
        <v>49</v>
      </c>
      <c r="G291" t="s">
        <v>131</v>
      </c>
      <c r="H291" t="s">
        <v>766</v>
      </c>
      <c r="J291" t="str">
        <f>HYPERLINK("https://www.facebook.com/454965103328545/posts/771906841634368?comment_id=1163543681663579","https://www.facebook.com/454965103328545/posts/771906841634368?comment_id=1163543681663579")</f>
        <v>https://www.facebook.com/454965103328545/posts/771906841634368?comment_id=1163543681663579</v>
      </c>
      <c r="O291">
        <v>0</v>
      </c>
      <c r="P291">
        <v>0</v>
      </c>
      <c r="Q291">
        <v>0</v>
      </c>
      <c r="S291">
        <v>0</v>
      </c>
      <c r="T291">
        <v>0</v>
      </c>
      <c r="U291">
        <v>0</v>
      </c>
      <c r="W291" t="s">
        <v>62</v>
      </c>
      <c r="AS291" t="s">
        <v>375</v>
      </c>
    </row>
    <row r="292" spans="1:45" x14ac:dyDescent="0.35">
      <c r="A292" t="s">
        <v>45</v>
      </c>
      <c r="B292" t="s">
        <v>745</v>
      </c>
      <c r="C292" t="s">
        <v>63</v>
      </c>
      <c r="D292" t="s">
        <v>767</v>
      </c>
      <c r="E292" t="s">
        <v>767</v>
      </c>
      <c r="F292" t="s">
        <v>49</v>
      </c>
      <c r="G292" t="s">
        <v>768</v>
      </c>
      <c r="H292" t="s">
        <v>769</v>
      </c>
      <c r="J292" t="str">
        <f>HYPERLINK("https://www.instagram.com/reel/C5BPxOoI0c3/","https://www.instagram.com/reel/C5BPxOoI0c3/")</f>
        <v>https://www.instagram.com/reel/C5BPxOoI0c3/</v>
      </c>
      <c r="O292">
        <v>0</v>
      </c>
      <c r="P292">
        <v>0</v>
      </c>
      <c r="Q292">
        <v>0</v>
      </c>
      <c r="S292">
        <v>0</v>
      </c>
      <c r="T292">
        <v>0</v>
      </c>
      <c r="U292">
        <v>0</v>
      </c>
      <c r="W292" t="s">
        <v>62</v>
      </c>
    </row>
    <row r="293" spans="1:45" x14ac:dyDescent="0.35">
      <c r="A293" t="s">
        <v>45</v>
      </c>
      <c r="B293" t="s">
        <v>745</v>
      </c>
      <c r="C293" t="s">
        <v>47</v>
      </c>
      <c r="D293" t="s">
        <v>770</v>
      </c>
      <c r="E293" t="s">
        <v>770</v>
      </c>
      <c r="F293" t="s">
        <v>49</v>
      </c>
      <c r="G293" t="s">
        <v>771</v>
      </c>
      <c r="H293" t="s">
        <v>772</v>
      </c>
      <c r="J293" t="str">
        <f>HYPERLINK("https://www.facebook.com/454965103328545/posts/795975695894149?comment_id=653281963590414","https://www.facebook.com/454965103328545/posts/795975695894149?comment_id=653281963590414")</f>
        <v>https://www.facebook.com/454965103328545/posts/795975695894149?comment_id=653281963590414</v>
      </c>
      <c r="O293">
        <v>0</v>
      </c>
      <c r="P293">
        <v>0</v>
      </c>
      <c r="Q293">
        <v>0</v>
      </c>
      <c r="S293">
        <v>0</v>
      </c>
      <c r="T293">
        <v>0</v>
      </c>
      <c r="U293">
        <v>0</v>
      </c>
      <c r="W293" t="s">
        <v>62</v>
      </c>
    </row>
    <row r="294" spans="1:45" x14ac:dyDescent="0.35">
      <c r="A294" t="s">
        <v>45</v>
      </c>
      <c r="B294" t="s">
        <v>745</v>
      </c>
      <c r="C294" t="s">
        <v>63</v>
      </c>
      <c r="D294" t="s">
        <v>249</v>
      </c>
      <c r="E294" t="s">
        <v>249</v>
      </c>
      <c r="F294" t="s">
        <v>49</v>
      </c>
      <c r="G294" t="s">
        <v>773</v>
      </c>
      <c r="H294" t="s">
        <v>774</v>
      </c>
      <c r="J294" t="str">
        <f>HYPERLINK("https://www.instagram.com/reel/C5BPxOoI0c3/","https://www.instagram.com/reel/C5BPxOoI0c3/")</f>
        <v>https://www.instagram.com/reel/C5BPxOoI0c3/</v>
      </c>
      <c r="O294">
        <v>0</v>
      </c>
      <c r="P294">
        <v>0</v>
      </c>
      <c r="Q294">
        <v>0</v>
      </c>
      <c r="S294">
        <v>0</v>
      </c>
      <c r="T294">
        <v>0</v>
      </c>
      <c r="U294">
        <v>0</v>
      </c>
      <c r="W294" t="s">
        <v>62</v>
      </c>
    </row>
    <row r="295" spans="1:45" x14ac:dyDescent="0.35">
      <c r="A295" t="s">
        <v>45</v>
      </c>
      <c r="B295" t="s">
        <v>745</v>
      </c>
      <c r="C295" t="s">
        <v>63</v>
      </c>
      <c r="D295" t="s">
        <v>249</v>
      </c>
      <c r="E295" t="s">
        <v>249</v>
      </c>
      <c r="F295" t="s">
        <v>49</v>
      </c>
      <c r="G295" t="s">
        <v>775</v>
      </c>
      <c r="H295" t="s">
        <v>776</v>
      </c>
      <c r="J295" t="str">
        <f>HYPERLINK("https://www.instagram.com/reel/C5BPxOoI0c3/","https://www.instagram.com/reel/C5BPxOoI0c3/")</f>
        <v>https://www.instagram.com/reel/C5BPxOoI0c3/</v>
      </c>
      <c r="O295">
        <v>0</v>
      </c>
      <c r="P295">
        <v>0</v>
      </c>
      <c r="Q295">
        <v>0</v>
      </c>
      <c r="S295">
        <v>0</v>
      </c>
      <c r="T295">
        <v>0</v>
      </c>
      <c r="U295">
        <v>0</v>
      </c>
      <c r="W295" t="s">
        <v>62</v>
      </c>
      <c r="AS295" t="s">
        <v>375</v>
      </c>
    </row>
    <row r="296" spans="1:45" x14ac:dyDescent="0.35">
      <c r="A296" t="s">
        <v>45</v>
      </c>
      <c r="B296" t="s">
        <v>745</v>
      </c>
      <c r="C296" t="s">
        <v>63</v>
      </c>
      <c r="D296" t="s">
        <v>249</v>
      </c>
      <c r="E296" t="s">
        <v>249</v>
      </c>
      <c r="F296" t="s">
        <v>49</v>
      </c>
      <c r="G296" t="s">
        <v>777</v>
      </c>
      <c r="H296" t="s">
        <v>778</v>
      </c>
      <c r="J296" t="str">
        <f>HYPERLINK("https://www.instagram.com/reel/C5BPxOoI0c3/","https://www.instagram.com/reel/C5BPxOoI0c3/")</f>
        <v>https://www.instagram.com/reel/C5BPxOoI0c3/</v>
      </c>
      <c r="O296">
        <v>0</v>
      </c>
      <c r="P296">
        <v>0</v>
      </c>
      <c r="Q296">
        <v>0</v>
      </c>
      <c r="S296">
        <v>0</v>
      </c>
      <c r="T296">
        <v>0</v>
      </c>
      <c r="U296">
        <v>0</v>
      </c>
      <c r="W296" t="s">
        <v>62</v>
      </c>
    </row>
    <row r="297" spans="1:45" x14ac:dyDescent="0.35">
      <c r="A297" t="s">
        <v>45</v>
      </c>
      <c r="B297" t="s">
        <v>745</v>
      </c>
      <c r="C297" t="s">
        <v>47</v>
      </c>
      <c r="D297" t="s">
        <v>779</v>
      </c>
      <c r="E297" t="s">
        <v>779</v>
      </c>
      <c r="F297" t="s">
        <v>49</v>
      </c>
      <c r="G297" t="s">
        <v>780</v>
      </c>
      <c r="H297" t="s">
        <v>781</v>
      </c>
      <c r="J297" t="str">
        <f>HYPERLINK("https://www.facebook.com/357267201017935/inbox/7206530826091504/","https://www.facebook.com/357267201017935/inbox/7206530826091504/")</f>
        <v>https://www.facebook.com/357267201017935/inbox/7206530826091504/</v>
      </c>
      <c r="O297">
        <v>0</v>
      </c>
      <c r="P297">
        <v>0</v>
      </c>
      <c r="Q297">
        <v>0</v>
      </c>
      <c r="S297">
        <v>0</v>
      </c>
      <c r="T297">
        <v>0</v>
      </c>
      <c r="U297">
        <v>0</v>
      </c>
      <c r="W297" t="s">
        <v>52</v>
      </c>
    </row>
    <row r="298" spans="1:45" x14ac:dyDescent="0.35">
      <c r="A298" t="s">
        <v>45</v>
      </c>
      <c r="B298" t="s">
        <v>745</v>
      </c>
      <c r="C298" t="s">
        <v>63</v>
      </c>
      <c r="D298" t="s">
        <v>782</v>
      </c>
      <c r="E298" t="s">
        <v>782</v>
      </c>
      <c r="F298" t="s">
        <v>49</v>
      </c>
      <c r="G298" t="s">
        <v>783</v>
      </c>
      <c r="H298" t="s">
        <v>784</v>
      </c>
      <c r="J298" t="str">
        <f>HYPERLINK("https://www.instagram.com/reel/C5BPxOoI0c3/","https://www.instagram.com/reel/C5BPxOoI0c3/")</f>
        <v>https://www.instagram.com/reel/C5BPxOoI0c3/</v>
      </c>
      <c r="O298">
        <v>0</v>
      </c>
      <c r="P298">
        <v>0</v>
      </c>
      <c r="Q298">
        <v>0</v>
      </c>
      <c r="S298">
        <v>0</v>
      </c>
      <c r="T298">
        <v>0</v>
      </c>
      <c r="U298">
        <v>0</v>
      </c>
      <c r="W298" t="s">
        <v>62</v>
      </c>
    </row>
    <row r="299" spans="1:45" x14ac:dyDescent="0.35">
      <c r="A299" t="s">
        <v>45</v>
      </c>
      <c r="B299" t="s">
        <v>745</v>
      </c>
      <c r="C299" t="s">
        <v>63</v>
      </c>
      <c r="D299" t="s">
        <v>785</v>
      </c>
      <c r="E299" t="s">
        <v>785</v>
      </c>
      <c r="F299" t="s">
        <v>49</v>
      </c>
      <c r="G299" t="s">
        <v>786</v>
      </c>
      <c r="H299" t="s">
        <v>787</v>
      </c>
      <c r="J299" t="str">
        <f>HYPERLINK("https://www.instagram.com/p/C4fh70DAiTV/","https://www.instagram.com/p/C4fh70DAiTV/")</f>
        <v>https://www.instagram.com/p/C4fh70DAiTV/</v>
      </c>
      <c r="O299">
        <v>0</v>
      </c>
      <c r="P299">
        <v>0</v>
      </c>
      <c r="Q299">
        <v>0</v>
      </c>
      <c r="S299">
        <v>0</v>
      </c>
      <c r="T299">
        <v>0</v>
      </c>
      <c r="U299">
        <v>0</v>
      </c>
      <c r="W299" t="s">
        <v>62</v>
      </c>
    </row>
    <row r="300" spans="1:45" x14ac:dyDescent="0.35">
      <c r="A300" t="s">
        <v>45</v>
      </c>
      <c r="B300" t="s">
        <v>745</v>
      </c>
      <c r="C300" t="s">
        <v>58</v>
      </c>
      <c r="D300" t="s">
        <v>788</v>
      </c>
      <c r="E300" t="s">
        <v>788</v>
      </c>
      <c r="F300" t="s">
        <v>49</v>
      </c>
      <c r="G300" t="s">
        <v>789</v>
      </c>
      <c r="H300" t="s">
        <v>790</v>
      </c>
      <c r="J300" t="str">
        <f>HYPERLINK("https://www.youtube.com/watch?v=Tpil2l0QnJE&amp;lc=UgydOp2XcwaWjauFca94AaABAg","https://www.youtube.com/watch?v=Tpil2l0QnJE&amp;lc=UgydOp2XcwaWjauFca94AaABAg")</f>
        <v>https://www.youtube.com/watch?v=Tpil2l0QnJE&amp;lc=UgydOp2XcwaWjauFca94AaABAg</v>
      </c>
      <c r="O300">
        <v>0</v>
      </c>
      <c r="P300">
        <v>0</v>
      </c>
      <c r="Q300">
        <v>0</v>
      </c>
      <c r="S300">
        <v>0</v>
      </c>
      <c r="T300">
        <v>0</v>
      </c>
      <c r="U300">
        <v>0</v>
      </c>
      <c r="W300" t="s">
        <v>62</v>
      </c>
    </row>
    <row r="301" spans="1:45" x14ac:dyDescent="0.35">
      <c r="A301" t="s">
        <v>45</v>
      </c>
      <c r="B301" t="s">
        <v>745</v>
      </c>
      <c r="C301" t="s">
        <v>63</v>
      </c>
      <c r="D301" t="s">
        <v>791</v>
      </c>
      <c r="E301" t="s">
        <v>791</v>
      </c>
      <c r="F301" t="s">
        <v>49</v>
      </c>
      <c r="G301" t="s">
        <v>792</v>
      </c>
      <c r="H301" t="s">
        <v>793</v>
      </c>
      <c r="J301" t="str">
        <f>HYPERLINK("https://www.instagram.com/p/C3U7TX_AUmg/","https://www.instagram.com/p/C3U7TX_AUmg/")</f>
        <v>https://www.instagram.com/p/C3U7TX_AUmg/</v>
      </c>
      <c r="O301">
        <v>0</v>
      </c>
      <c r="P301">
        <v>0</v>
      </c>
      <c r="Q301">
        <v>0</v>
      </c>
      <c r="S301">
        <v>0</v>
      </c>
      <c r="T301">
        <v>0</v>
      </c>
      <c r="U301">
        <v>0</v>
      </c>
      <c r="W301" t="s">
        <v>62</v>
      </c>
    </row>
    <row r="302" spans="1:45" x14ac:dyDescent="0.35">
      <c r="A302" t="s">
        <v>45</v>
      </c>
      <c r="B302" t="s">
        <v>745</v>
      </c>
      <c r="C302" t="s">
        <v>47</v>
      </c>
      <c r="D302" t="s">
        <v>120</v>
      </c>
      <c r="E302" t="s">
        <v>120</v>
      </c>
      <c r="F302" t="s">
        <v>49</v>
      </c>
      <c r="G302" t="s">
        <v>794</v>
      </c>
      <c r="H302" t="s">
        <v>795</v>
      </c>
      <c r="J302" t="str">
        <f>HYPERLINK("https://www.facebook.com/357267201017935/inbox/2180804871997483/","https://www.facebook.com/357267201017935/inbox/2180804871997483/")</f>
        <v>https://www.facebook.com/357267201017935/inbox/2180804871997483/</v>
      </c>
      <c r="O302">
        <v>0</v>
      </c>
      <c r="P302">
        <v>0</v>
      </c>
      <c r="Q302">
        <v>0</v>
      </c>
      <c r="S302">
        <v>0</v>
      </c>
      <c r="T302">
        <v>0</v>
      </c>
      <c r="U302">
        <v>0</v>
      </c>
      <c r="W302" t="s">
        <v>52</v>
      </c>
      <c r="AS302" t="s">
        <v>375</v>
      </c>
    </row>
    <row r="303" spans="1:45" x14ac:dyDescent="0.35">
      <c r="A303" t="s">
        <v>45</v>
      </c>
      <c r="B303" t="s">
        <v>745</v>
      </c>
      <c r="C303" t="s">
        <v>47</v>
      </c>
      <c r="D303" t="s">
        <v>120</v>
      </c>
      <c r="E303" t="s">
        <v>120</v>
      </c>
      <c r="F303" t="s">
        <v>142</v>
      </c>
      <c r="G303" t="s">
        <v>796</v>
      </c>
      <c r="H303" t="s">
        <v>797</v>
      </c>
      <c r="J303" t="str">
        <f>HYPERLINK("https://www.facebook.com/357267201017935/inbox/2180804871997483/","https://www.facebook.com/357267201017935/inbox/2180804871997483/")</f>
        <v>https://www.facebook.com/357267201017935/inbox/2180804871997483/</v>
      </c>
      <c r="O303">
        <v>0</v>
      </c>
      <c r="P303">
        <v>0</v>
      </c>
      <c r="Q303">
        <v>0</v>
      </c>
      <c r="S303">
        <v>0</v>
      </c>
      <c r="T303">
        <v>0</v>
      </c>
      <c r="U303">
        <v>0</v>
      </c>
      <c r="W303" t="s">
        <v>52</v>
      </c>
      <c r="AP303" t="s">
        <v>147</v>
      </c>
    </row>
    <row r="304" spans="1:45" x14ac:dyDescent="0.35">
      <c r="A304" t="s">
        <v>45</v>
      </c>
      <c r="B304" t="s">
        <v>745</v>
      </c>
      <c r="C304" t="s">
        <v>58</v>
      </c>
      <c r="D304" t="s">
        <v>798</v>
      </c>
      <c r="E304" t="s">
        <v>798</v>
      </c>
      <c r="F304" t="s">
        <v>76</v>
      </c>
      <c r="G304" t="s">
        <v>799</v>
      </c>
      <c r="H304" t="s">
        <v>800</v>
      </c>
      <c r="J304" t="str">
        <f>HYPERLINK("https://www.youtube.com/watch?v=Tpil2l0QnJE&amp;lc=Ugx2erd1UndRgRbnIFh4AaABAg","https://www.youtube.com/watch?v=Tpil2l0QnJE&amp;lc=Ugx2erd1UndRgRbnIFh4AaABAg")</f>
        <v>https://www.youtube.com/watch?v=Tpil2l0QnJE&amp;lc=Ugx2erd1UndRgRbnIFh4AaABAg</v>
      </c>
      <c r="O304">
        <v>0</v>
      </c>
      <c r="P304">
        <v>0</v>
      </c>
      <c r="Q304">
        <v>0</v>
      </c>
      <c r="S304">
        <v>0</v>
      </c>
      <c r="T304">
        <v>0</v>
      </c>
      <c r="U304">
        <v>0</v>
      </c>
      <c r="W304" t="s">
        <v>62</v>
      </c>
    </row>
    <row r="305" spans="1:45" x14ac:dyDescent="0.35">
      <c r="A305" t="s">
        <v>45</v>
      </c>
      <c r="B305" t="s">
        <v>745</v>
      </c>
      <c r="C305" t="s">
        <v>58</v>
      </c>
      <c r="D305" t="s">
        <v>801</v>
      </c>
      <c r="E305" t="s">
        <v>801</v>
      </c>
      <c r="F305" t="s">
        <v>49</v>
      </c>
      <c r="G305" t="s">
        <v>459</v>
      </c>
      <c r="H305" t="s">
        <v>802</v>
      </c>
      <c r="J305" t="str">
        <f>HYPERLINK("https://www.youtube.com/watch?v=48SD2FJ3lxM&amp;lc=Ugwd6IKZlyhhg3gVEO14AaABAg","https://www.youtube.com/watch?v=48SD2FJ3lxM&amp;lc=Ugwd6IKZlyhhg3gVEO14AaABAg")</f>
        <v>https://www.youtube.com/watch?v=48SD2FJ3lxM&amp;lc=Ugwd6IKZlyhhg3gVEO14AaABAg</v>
      </c>
      <c r="O305">
        <v>0</v>
      </c>
      <c r="P305">
        <v>0</v>
      </c>
      <c r="Q305">
        <v>0</v>
      </c>
      <c r="S305">
        <v>0</v>
      </c>
      <c r="T305">
        <v>0</v>
      </c>
      <c r="U305">
        <v>0</v>
      </c>
      <c r="W305" t="s">
        <v>62</v>
      </c>
      <c r="AS305" t="s">
        <v>375</v>
      </c>
    </row>
    <row r="306" spans="1:45" x14ac:dyDescent="0.35">
      <c r="A306" t="s">
        <v>45</v>
      </c>
      <c r="B306" t="s">
        <v>745</v>
      </c>
      <c r="C306" t="s">
        <v>63</v>
      </c>
      <c r="D306" t="s">
        <v>803</v>
      </c>
      <c r="E306" t="s">
        <v>803</v>
      </c>
      <c r="F306" t="s">
        <v>49</v>
      </c>
      <c r="G306" t="s">
        <v>804</v>
      </c>
      <c r="H306" t="s">
        <v>805</v>
      </c>
      <c r="J306" t="str">
        <f>HYPERLINK("https://www.instagram.com/reel/C5BPxOoI0c3/","https://www.instagram.com/reel/C5BPxOoI0c3/")</f>
        <v>https://www.instagram.com/reel/C5BPxOoI0c3/</v>
      </c>
      <c r="O306">
        <v>0</v>
      </c>
      <c r="P306">
        <v>0</v>
      </c>
      <c r="Q306">
        <v>0</v>
      </c>
      <c r="S306">
        <v>0</v>
      </c>
      <c r="T306">
        <v>0</v>
      </c>
      <c r="U306">
        <v>0</v>
      </c>
      <c r="W306" t="s">
        <v>62</v>
      </c>
    </row>
    <row r="307" spans="1:45" x14ac:dyDescent="0.35">
      <c r="A307" t="s">
        <v>45</v>
      </c>
      <c r="B307" t="s">
        <v>745</v>
      </c>
      <c r="C307" t="s">
        <v>63</v>
      </c>
      <c r="D307" t="s">
        <v>806</v>
      </c>
      <c r="E307" t="s">
        <v>806</v>
      </c>
      <c r="F307" t="s">
        <v>49</v>
      </c>
      <c r="G307" t="s">
        <v>807</v>
      </c>
      <c r="H307" t="s">
        <v>808</v>
      </c>
      <c r="J307" t="str">
        <f>HYPERLINK("https://www.instagram.com/reel/C5BPxOoI0c3/","https://www.instagram.com/reel/C5BPxOoI0c3/")</f>
        <v>https://www.instagram.com/reel/C5BPxOoI0c3/</v>
      </c>
      <c r="O307">
        <v>0</v>
      </c>
      <c r="P307">
        <v>0</v>
      </c>
      <c r="Q307">
        <v>0</v>
      </c>
      <c r="S307">
        <v>0</v>
      </c>
      <c r="T307">
        <v>0</v>
      </c>
      <c r="U307">
        <v>0</v>
      </c>
      <c r="W307" t="s">
        <v>62</v>
      </c>
    </row>
    <row r="308" spans="1:45" x14ac:dyDescent="0.35">
      <c r="A308" t="s">
        <v>45</v>
      </c>
      <c r="B308" t="s">
        <v>745</v>
      </c>
      <c r="C308" t="s">
        <v>63</v>
      </c>
      <c r="D308" t="s">
        <v>806</v>
      </c>
      <c r="E308" t="s">
        <v>806</v>
      </c>
      <c r="F308" t="s">
        <v>49</v>
      </c>
      <c r="G308" t="s">
        <v>809</v>
      </c>
      <c r="H308" t="s">
        <v>810</v>
      </c>
      <c r="J308" t="str">
        <f>HYPERLINK("https://www.instagram.com/reel/C5BPxOoI0c3/","https://www.instagram.com/reel/C5BPxOoI0c3/")</f>
        <v>https://www.instagram.com/reel/C5BPxOoI0c3/</v>
      </c>
      <c r="O308">
        <v>0</v>
      </c>
      <c r="P308">
        <v>0</v>
      </c>
      <c r="Q308">
        <v>0</v>
      </c>
      <c r="S308">
        <v>0</v>
      </c>
      <c r="T308">
        <v>0</v>
      </c>
      <c r="U308">
        <v>0</v>
      </c>
      <c r="W308" t="s">
        <v>62</v>
      </c>
    </row>
    <row r="309" spans="1:45" x14ac:dyDescent="0.35">
      <c r="A309" t="s">
        <v>45</v>
      </c>
      <c r="B309" t="s">
        <v>745</v>
      </c>
      <c r="C309" t="s">
        <v>47</v>
      </c>
      <c r="D309" t="s">
        <v>811</v>
      </c>
      <c r="E309" t="s">
        <v>811</v>
      </c>
      <c r="F309" t="s">
        <v>49</v>
      </c>
      <c r="G309" t="s">
        <v>812</v>
      </c>
      <c r="H309" t="s">
        <v>813</v>
      </c>
      <c r="J309" t="str">
        <f>HYPERLINK("https://www.facebook.com/454965103328545/posts/795975695894149?comment_id=977182424059395","https://www.facebook.com/454965103328545/posts/795975695894149?comment_id=977182424059395")</f>
        <v>https://www.facebook.com/454965103328545/posts/795975695894149?comment_id=977182424059395</v>
      </c>
      <c r="O309">
        <v>0</v>
      </c>
      <c r="P309">
        <v>0</v>
      </c>
      <c r="Q309">
        <v>0</v>
      </c>
      <c r="S309">
        <v>0</v>
      </c>
      <c r="T309">
        <v>0</v>
      </c>
      <c r="U309">
        <v>0</v>
      </c>
      <c r="W309" t="s">
        <v>62</v>
      </c>
    </row>
    <row r="310" spans="1:45" x14ac:dyDescent="0.35">
      <c r="A310" t="s">
        <v>45</v>
      </c>
      <c r="B310" t="s">
        <v>745</v>
      </c>
      <c r="C310" t="s">
        <v>63</v>
      </c>
      <c r="D310" t="s">
        <v>814</v>
      </c>
      <c r="E310" t="s">
        <v>814</v>
      </c>
      <c r="F310" t="s">
        <v>49</v>
      </c>
      <c r="G310" t="s">
        <v>815</v>
      </c>
      <c r="H310" t="s">
        <v>816</v>
      </c>
      <c r="J310" t="str">
        <f>HYPERLINK("https://www.instagram.com/p/C3VES0FgrdQ/","https://www.instagram.com/p/C3VES0FgrdQ/")</f>
        <v>https://www.instagram.com/p/C3VES0FgrdQ/</v>
      </c>
      <c r="O310">
        <v>0</v>
      </c>
      <c r="P310">
        <v>0</v>
      </c>
      <c r="Q310">
        <v>0</v>
      </c>
      <c r="S310">
        <v>0</v>
      </c>
      <c r="T310">
        <v>0</v>
      </c>
      <c r="U310">
        <v>0</v>
      </c>
      <c r="W310" t="s">
        <v>62</v>
      </c>
    </row>
    <row r="311" spans="1:45" x14ac:dyDescent="0.35">
      <c r="A311" t="s">
        <v>45</v>
      </c>
      <c r="B311" t="s">
        <v>745</v>
      </c>
      <c r="C311" t="s">
        <v>58</v>
      </c>
      <c r="D311" t="s">
        <v>45</v>
      </c>
      <c r="E311" t="s">
        <v>45</v>
      </c>
      <c r="F311" t="s">
        <v>49</v>
      </c>
      <c r="G311" t="s">
        <v>817</v>
      </c>
      <c r="H311" t="s">
        <v>818</v>
      </c>
      <c r="J311" t="str">
        <f>HYPERLINK("https://www.youtube.com/watch?v=Tpil2l0QnJE","https://www.youtube.com/watch?v=Tpil2l0QnJE")</f>
        <v>https://www.youtube.com/watch?v=Tpil2l0QnJE</v>
      </c>
      <c r="O311">
        <v>0</v>
      </c>
      <c r="P311">
        <v>0</v>
      </c>
      <c r="Q311">
        <v>0</v>
      </c>
      <c r="S311">
        <v>0</v>
      </c>
      <c r="T311">
        <v>0</v>
      </c>
      <c r="U311">
        <v>0</v>
      </c>
      <c r="W311" t="s">
        <v>106</v>
      </c>
    </row>
    <row r="312" spans="1:45" x14ac:dyDescent="0.35">
      <c r="A312" t="s">
        <v>45</v>
      </c>
      <c r="B312" t="s">
        <v>745</v>
      </c>
      <c r="C312" t="s">
        <v>139</v>
      </c>
      <c r="D312" t="s">
        <v>190</v>
      </c>
      <c r="E312" t="s">
        <v>45</v>
      </c>
      <c r="F312" t="s">
        <v>49</v>
      </c>
      <c r="G312" t="s">
        <v>819</v>
      </c>
      <c r="H312" t="s">
        <v>820</v>
      </c>
      <c r="J312" t="str">
        <f>HYPERLINK("https://twitter.com/FinoPaymntsBank/status/1772980340908318900","https://twitter.com/FinoPaymntsBank/status/1772980340908318900")</f>
        <v>https://twitter.com/FinoPaymntsBank/status/1772980340908318900</v>
      </c>
      <c r="K312" t="s">
        <v>145</v>
      </c>
      <c r="O312">
        <v>0</v>
      </c>
      <c r="P312">
        <v>0</v>
      </c>
      <c r="Q312">
        <v>8483</v>
      </c>
      <c r="R312" t="s">
        <v>193</v>
      </c>
      <c r="S312">
        <v>0</v>
      </c>
      <c r="T312">
        <v>0</v>
      </c>
      <c r="U312">
        <v>0</v>
      </c>
      <c r="W312" t="s">
        <v>146</v>
      </c>
    </row>
    <row r="313" spans="1:45" x14ac:dyDescent="0.35">
      <c r="A313" t="s">
        <v>45</v>
      </c>
      <c r="B313" t="s">
        <v>745</v>
      </c>
      <c r="C313" t="s">
        <v>63</v>
      </c>
      <c r="D313" t="s">
        <v>186</v>
      </c>
      <c r="E313" t="s">
        <v>186</v>
      </c>
      <c r="F313" t="s">
        <v>49</v>
      </c>
      <c r="G313" t="s">
        <v>821</v>
      </c>
      <c r="H313" t="s">
        <v>822</v>
      </c>
      <c r="J313" t="str">
        <f>HYPERLINK("https://www.instagram.com/reel/C5BPxOoI0c3/","https://www.instagram.com/reel/C5BPxOoI0c3/")</f>
        <v>https://www.instagram.com/reel/C5BPxOoI0c3/</v>
      </c>
      <c r="O313">
        <v>0</v>
      </c>
      <c r="P313">
        <v>0</v>
      </c>
      <c r="Q313">
        <v>0</v>
      </c>
      <c r="S313">
        <v>16</v>
      </c>
      <c r="T313">
        <v>204</v>
      </c>
      <c r="U313">
        <v>0</v>
      </c>
      <c r="W313" t="s">
        <v>106</v>
      </c>
    </row>
    <row r="314" spans="1:45" x14ac:dyDescent="0.35">
      <c r="A314" t="s">
        <v>45</v>
      </c>
      <c r="B314" t="s">
        <v>745</v>
      </c>
      <c r="C314" t="s">
        <v>47</v>
      </c>
      <c r="D314" t="s">
        <v>45</v>
      </c>
      <c r="E314" t="s">
        <v>45</v>
      </c>
      <c r="F314" t="s">
        <v>49</v>
      </c>
      <c r="G314" t="s">
        <v>823</v>
      </c>
      <c r="H314" t="s">
        <v>824</v>
      </c>
      <c r="J314" t="str">
        <f>HYPERLINK("https://www.facebook.com/357267201017935_795975695894149","https://www.facebook.com/357267201017935_795975695894149")</f>
        <v>https://www.facebook.com/357267201017935_795975695894149</v>
      </c>
      <c r="O314">
        <v>0</v>
      </c>
      <c r="P314">
        <v>0</v>
      </c>
      <c r="Q314">
        <v>0</v>
      </c>
      <c r="S314">
        <v>18</v>
      </c>
      <c r="T314">
        <v>117</v>
      </c>
      <c r="U314">
        <v>34</v>
      </c>
      <c r="W314" t="s">
        <v>106</v>
      </c>
    </row>
    <row r="315" spans="1:45" x14ac:dyDescent="0.35">
      <c r="A315" t="s">
        <v>45</v>
      </c>
      <c r="B315" t="s">
        <v>745</v>
      </c>
      <c r="C315" t="s">
        <v>139</v>
      </c>
      <c r="D315" t="s">
        <v>825</v>
      </c>
      <c r="E315" t="s">
        <v>826</v>
      </c>
      <c r="F315" t="s">
        <v>49</v>
      </c>
      <c r="G315" t="s">
        <v>827</v>
      </c>
      <c r="H315" t="s">
        <v>828</v>
      </c>
      <c r="J315" t="str">
        <f>HYPERLINK("https://twitter.com/sshashii/status/1772974692434944380","https://twitter.com/sshashii/status/1772974692434944380")</f>
        <v>https://twitter.com/sshashii/status/1772974692434944380</v>
      </c>
      <c r="O315">
        <v>0</v>
      </c>
      <c r="P315">
        <v>0</v>
      </c>
      <c r="Q315">
        <v>40</v>
      </c>
      <c r="R315" t="s">
        <v>829</v>
      </c>
      <c r="S315">
        <v>0</v>
      </c>
      <c r="T315">
        <v>0</v>
      </c>
      <c r="U315">
        <v>0</v>
      </c>
      <c r="W315" t="s">
        <v>146</v>
      </c>
      <c r="AS315" t="s">
        <v>375</v>
      </c>
    </row>
    <row r="316" spans="1:45" x14ac:dyDescent="0.35">
      <c r="A316" t="s">
        <v>45</v>
      </c>
      <c r="B316" t="s">
        <v>745</v>
      </c>
      <c r="C316" t="s">
        <v>47</v>
      </c>
      <c r="D316" t="s">
        <v>151</v>
      </c>
      <c r="E316" t="s">
        <v>151</v>
      </c>
      <c r="F316" t="s">
        <v>49</v>
      </c>
      <c r="G316" t="s">
        <v>830</v>
      </c>
      <c r="H316" t="s">
        <v>831</v>
      </c>
      <c r="J316" t="str">
        <f>HYPERLINK("https://www.facebook.com/454965103328545/posts/795263512632034?comment_id=729458882671288","https://www.facebook.com/454965103328545/posts/795263512632034?comment_id=729458882671288")</f>
        <v>https://www.facebook.com/454965103328545/posts/795263512632034?comment_id=729458882671288</v>
      </c>
      <c r="O316">
        <v>0</v>
      </c>
      <c r="P316">
        <v>0</v>
      </c>
      <c r="Q316">
        <v>0</v>
      </c>
      <c r="S316">
        <v>0</v>
      </c>
      <c r="T316">
        <v>0</v>
      </c>
      <c r="U316">
        <v>0</v>
      </c>
      <c r="W316" t="s">
        <v>62</v>
      </c>
      <c r="AS316" t="s">
        <v>375</v>
      </c>
    </row>
    <row r="317" spans="1:45" x14ac:dyDescent="0.35">
      <c r="A317" t="s">
        <v>45</v>
      </c>
      <c r="B317" t="s">
        <v>745</v>
      </c>
      <c r="C317" t="s">
        <v>47</v>
      </c>
      <c r="D317" t="s">
        <v>445</v>
      </c>
      <c r="E317" t="s">
        <v>445</v>
      </c>
      <c r="F317" t="s">
        <v>49</v>
      </c>
      <c r="G317" t="s">
        <v>475</v>
      </c>
      <c r="H317" t="s">
        <v>832</v>
      </c>
      <c r="J317" t="str">
        <f>HYPERLINK("https://www.facebook.com/454965103328545/posts/795263512632034?comment_id=1142764206875459","https://www.facebook.com/454965103328545/posts/795263512632034?comment_id=1142764206875459")</f>
        <v>https://www.facebook.com/454965103328545/posts/795263512632034?comment_id=1142764206875459</v>
      </c>
      <c r="O317">
        <v>0</v>
      </c>
      <c r="P317">
        <v>0</v>
      </c>
      <c r="Q317">
        <v>0</v>
      </c>
      <c r="S317">
        <v>0</v>
      </c>
      <c r="T317">
        <v>0</v>
      </c>
      <c r="U317">
        <v>0</v>
      </c>
      <c r="W317" t="s">
        <v>62</v>
      </c>
      <c r="AP317" t="s">
        <v>101</v>
      </c>
    </row>
    <row r="318" spans="1:45" x14ac:dyDescent="0.35">
      <c r="A318" t="s">
        <v>45</v>
      </c>
      <c r="B318" t="s">
        <v>745</v>
      </c>
      <c r="C318" t="s">
        <v>47</v>
      </c>
      <c r="D318" t="s">
        <v>445</v>
      </c>
      <c r="E318" t="s">
        <v>445</v>
      </c>
      <c r="F318" t="s">
        <v>142</v>
      </c>
      <c r="G318" t="s">
        <v>833</v>
      </c>
      <c r="H318" t="s">
        <v>834</v>
      </c>
      <c r="J318" t="str">
        <f>HYPERLINK("https://www.facebook.com/454965103328545/posts/795263512632034?comment_id=924409659473262","https://www.facebook.com/454965103328545/posts/795263512632034?comment_id=924409659473262")</f>
        <v>https://www.facebook.com/454965103328545/posts/795263512632034?comment_id=924409659473262</v>
      </c>
      <c r="O318">
        <v>0</v>
      </c>
      <c r="P318">
        <v>0</v>
      </c>
      <c r="Q318">
        <v>0</v>
      </c>
      <c r="S318">
        <v>0</v>
      </c>
      <c r="T318">
        <v>0</v>
      </c>
      <c r="U318">
        <v>0</v>
      </c>
      <c r="W318" t="s">
        <v>62</v>
      </c>
    </row>
    <row r="319" spans="1:45" x14ac:dyDescent="0.35">
      <c r="A319" t="s">
        <v>45</v>
      </c>
      <c r="B319" t="s">
        <v>745</v>
      </c>
      <c r="C319" t="s">
        <v>47</v>
      </c>
      <c r="D319" t="s">
        <v>445</v>
      </c>
      <c r="E319" t="s">
        <v>445</v>
      </c>
      <c r="F319" t="s">
        <v>142</v>
      </c>
      <c r="G319" t="s">
        <v>835</v>
      </c>
      <c r="H319" t="s">
        <v>836</v>
      </c>
      <c r="J319" t="str">
        <f>HYPERLINK("https://www.facebook.com/454965103328545/posts/795263512632034?comment_id=1080095656587830","https://www.facebook.com/454965103328545/posts/795263512632034?comment_id=1080095656587830")</f>
        <v>https://www.facebook.com/454965103328545/posts/795263512632034?comment_id=1080095656587830</v>
      </c>
      <c r="O319">
        <v>0</v>
      </c>
      <c r="P319">
        <v>0</v>
      </c>
      <c r="Q319">
        <v>0</v>
      </c>
      <c r="S319">
        <v>0</v>
      </c>
      <c r="T319">
        <v>0</v>
      </c>
      <c r="U319">
        <v>0</v>
      </c>
      <c r="W319" t="s">
        <v>62</v>
      </c>
    </row>
    <row r="320" spans="1:45" x14ac:dyDescent="0.35">
      <c r="A320" t="s">
        <v>45</v>
      </c>
      <c r="B320" t="s">
        <v>745</v>
      </c>
      <c r="C320" t="s">
        <v>58</v>
      </c>
      <c r="D320" t="s">
        <v>837</v>
      </c>
      <c r="E320" t="s">
        <v>837</v>
      </c>
      <c r="F320" t="s">
        <v>142</v>
      </c>
      <c r="G320" t="s">
        <v>838</v>
      </c>
      <c r="H320" t="s">
        <v>839</v>
      </c>
      <c r="J320" t="str">
        <f>HYPERLINK("https://www.youtube.com/watch?v=h0bepiiaMS8&amp;lc=UgwUoyNHa59RPXAAP8J4AaABAg","https://www.youtube.com/watch?v=h0bepiiaMS8&amp;lc=UgwUoyNHa59RPXAAP8J4AaABAg")</f>
        <v>https://www.youtube.com/watch?v=h0bepiiaMS8&amp;lc=UgwUoyNHa59RPXAAP8J4AaABAg</v>
      </c>
      <c r="O320">
        <v>0</v>
      </c>
      <c r="P320">
        <v>0</v>
      </c>
      <c r="Q320">
        <v>0</v>
      </c>
      <c r="S320">
        <v>0</v>
      </c>
      <c r="T320">
        <v>0</v>
      </c>
      <c r="U320">
        <v>0</v>
      </c>
      <c r="W320" t="s">
        <v>62</v>
      </c>
    </row>
    <row r="321" spans="1:45" x14ac:dyDescent="0.35">
      <c r="A321" t="s">
        <v>45</v>
      </c>
      <c r="B321" t="s">
        <v>745</v>
      </c>
      <c r="C321" t="s">
        <v>47</v>
      </c>
      <c r="D321" t="s">
        <v>445</v>
      </c>
      <c r="E321" t="s">
        <v>445</v>
      </c>
      <c r="F321" t="s">
        <v>49</v>
      </c>
      <c r="G321" t="s">
        <v>471</v>
      </c>
      <c r="H321" t="s">
        <v>840</v>
      </c>
      <c r="J321" t="str">
        <f>HYPERLINK("https://www.facebook.com/454965103328545/posts/795263512632034?comment_id=716251197072857","https://www.facebook.com/454965103328545/posts/795263512632034?comment_id=716251197072857")</f>
        <v>https://www.facebook.com/454965103328545/posts/795263512632034?comment_id=716251197072857</v>
      </c>
      <c r="O321">
        <v>0</v>
      </c>
      <c r="P321">
        <v>0</v>
      </c>
      <c r="Q321">
        <v>0</v>
      </c>
      <c r="S321">
        <v>0</v>
      </c>
      <c r="T321">
        <v>0</v>
      </c>
      <c r="U321">
        <v>0</v>
      </c>
      <c r="W321" t="s">
        <v>62</v>
      </c>
    </row>
    <row r="322" spans="1:45" x14ac:dyDescent="0.35">
      <c r="A322" t="s">
        <v>45</v>
      </c>
      <c r="B322" t="s">
        <v>745</v>
      </c>
      <c r="C322" t="s">
        <v>47</v>
      </c>
      <c r="D322" t="s">
        <v>445</v>
      </c>
      <c r="E322" t="s">
        <v>445</v>
      </c>
      <c r="F322" t="s">
        <v>49</v>
      </c>
      <c r="G322" t="s">
        <v>475</v>
      </c>
      <c r="H322" t="s">
        <v>841</v>
      </c>
      <c r="J322" t="str">
        <f>HYPERLINK("https://www.facebook.com/454965103328545/posts/795263512632034?comment_id=25097980673180987","https://www.facebook.com/454965103328545/posts/795263512632034?comment_id=25097980673180987")</f>
        <v>https://www.facebook.com/454965103328545/posts/795263512632034?comment_id=25097980673180987</v>
      </c>
      <c r="O322">
        <v>0</v>
      </c>
      <c r="P322">
        <v>0</v>
      </c>
      <c r="Q322">
        <v>0</v>
      </c>
      <c r="S322">
        <v>0</v>
      </c>
      <c r="T322">
        <v>0</v>
      </c>
      <c r="U322">
        <v>0</v>
      </c>
      <c r="W322" t="s">
        <v>62</v>
      </c>
      <c r="AP322" t="s">
        <v>101</v>
      </c>
    </row>
    <row r="323" spans="1:45" x14ac:dyDescent="0.35">
      <c r="A323" t="s">
        <v>45</v>
      </c>
      <c r="B323" t="s">
        <v>745</v>
      </c>
      <c r="C323" t="s">
        <v>47</v>
      </c>
      <c r="D323" t="s">
        <v>445</v>
      </c>
      <c r="E323" t="s">
        <v>445</v>
      </c>
      <c r="F323" t="s">
        <v>142</v>
      </c>
      <c r="G323" t="s">
        <v>473</v>
      </c>
      <c r="H323" t="s">
        <v>842</v>
      </c>
      <c r="J323" t="str">
        <f>HYPERLINK("https://www.facebook.com/454965103328545/posts/795263512632034?comment_id=948803580131810","https://www.facebook.com/454965103328545/posts/795263512632034?comment_id=948803580131810")</f>
        <v>https://www.facebook.com/454965103328545/posts/795263512632034?comment_id=948803580131810</v>
      </c>
      <c r="O323">
        <v>0</v>
      </c>
      <c r="P323">
        <v>0</v>
      </c>
      <c r="Q323">
        <v>0</v>
      </c>
      <c r="S323">
        <v>0</v>
      </c>
      <c r="T323">
        <v>0</v>
      </c>
      <c r="U323">
        <v>0</v>
      </c>
      <c r="W323" t="s">
        <v>62</v>
      </c>
    </row>
    <row r="324" spans="1:45" x14ac:dyDescent="0.35">
      <c r="A324" t="s">
        <v>45</v>
      </c>
      <c r="B324" t="s">
        <v>745</v>
      </c>
      <c r="C324" t="s">
        <v>47</v>
      </c>
      <c r="D324" t="s">
        <v>445</v>
      </c>
      <c r="E324" t="s">
        <v>445</v>
      </c>
      <c r="F324" t="s">
        <v>49</v>
      </c>
      <c r="G324" t="s">
        <v>477</v>
      </c>
      <c r="H324" t="s">
        <v>843</v>
      </c>
      <c r="J324" t="str">
        <f>HYPERLINK("https://www.facebook.com/454965103328545/posts/795263512632034?comment_id=627800906176336","https://www.facebook.com/454965103328545/posts/795263512632034?comment_id=627800906176336")</f>
        <v>https://www.facebook.com/454965103328545/posts/795263512632034?comment_id=627800906176336</v>
      </c>
      <c r="O324">
        <v>0</v>
      </c>
      <c r="P324">
        <v>0</v>
      </c>
      <c r="Q324">
        <v>0</v>
      </c>
      <c r="S324">
        <v>0</v>
      </c>
      <c r="T324">
        <v>0</v>
      </c>
      <c r="U324">
        <v>0</v>
      </c>
      <c r="W324" t="s">
        <v>62</v>
      </c>
    </row>
    <row r="325" spans="1:45" x14ac:dyDescent="0.35">
      <c r="A325" t="s">
        <v>45</v>
      </c>
      <c r="B325" t="s">
        <v>745</v>
      </c>
      <c r="C325" t="s">
        <v>47</v>
      </c>
      <c r="D325" t="s">
        <v>445</v>
      </c>
      <c r="E325" t="s">
        <v>445</v>
      </c>
      <c r="F325" t="s">
        <v>49</v>
      </c>
      <c r="G325" t="s">
        <v>471</v>
      </c>
      <c r="H325" t="s">
        <v>844</v>
      </c>
      <c r="J325" t="str">
        <f>HYPERLINK("https://www.facebook.com/454965103328545/posts/795263512632034?comment_id=3260043267464293","https://www.facebook.com/454965103328545/posts/795263512632034?comment_id=3260043267464293")</f>
        <v>https://www.facebook.com/454965103328545/posts/795263512632034?comment_id=3260043267464293</v>
      </c>
      <c r="O325">
        <v>0</v>
      </c>
      <c r="P325">
        <v>0</v>
      </c>
      <c r="Q325">
        <v>0</v>
      </c>
      <c r="S325">
        <v>0</v>
      </c>
      <c r="T325">
        <v>0</v>
      </c>
      <c r="U325">
        <v>0</v>
      </c>
      <c r="W325" t="s">
        <v>62</v>
      </c>
    </row>
    <row r="326" spans="1:45" x14ac:dyDescent="0.35">
      <c r="A326" t="s">
        <v>45</v>
      </c>
      <c r="B326" t="s">
        <v>745</v>
      </c>
      <c r="C326" t="s">
        <v>47</v>
      </c>
      <c r="D326" t="s">
        <v>445</v>
      </c>
      <c r="E326" t="s">
        <v>445</v>
      </c>
      <c r="F326" t="s">
        <v>49</v>
      </c>
      <c r="G326" t="s">
        <v>475</v>
      </c>
      <c r="H326" t="s">
        <v>845</v>
      </c>
      <c r="J326" t="str">
        <f>HYPERLINK("https://www.facebook.com/454965103328545/posts/795263512632034?comment_id=426821756596023","https://www.facebook.com/454965103328545/posts/795263512632034?comment_id=426821756596023")</f>
        <v>https://www.facebook.com/454965103328545/posts/795263512632034?comment_id=426821756596023</v>
      </c>
      <c r="O326">
        <v>0</v>
      </c>
      <c r="P326">
        <v>0</v>
      </c>
      <c r="Q326">
        <v>0</v>
      </c>
      <c r="S326">
        <v>0</v>
      </c>
      <c r="T326">
        <v>0</v>
      </c>
      <c r="U326">
        <v>0</v>
      </c>
      <c r="W326" t="s">
        <v>62</v>
      </c>
      <c r="AP326" t="s">
        <v>101</v>
      </c>
    </row>
    <row r="327" spans="1:45" x14ac:dyDescent="0.35">
      <c r="A327" t="s">
        <v>45</v>
      </c>
      <c r="B327" t="s">
        <v>745</v>
      </c>
      <c r="C327" t="s">
        <v>47</v>
      </c>
      <c r="D327" t="s">
        <v>445</v>
      </c>
      <c r="E327" t="s">
        <v>445</v>
      </c>
      <c r="F327" t="s">
        <v>49</v>
      </c>
      <c r="G327" t="s">
        <v>477</v>
      </c>
      <c r="H327" t="s">
        <v>846</v>
      </c>
      <c r="J327" t="str">
        <f>HYPERLINK("https://www.facebook.com/454965103328545/posts/795263512632034?comment_id=936705611449537","https://www.facebook.com/454965103328545/posts/795263512632034?comment_id=936705611449537")</f>
        <v>https://www.facebook.com/454965103328545/posts/795263512632034?comment_id=936705611449537</v>
      </c>
      <c r="O327">
        <v>0</v>
      </c>
      <c r="P327">
        <v>0</v>
      </c>
      <c r="Q327">
        <v>0</v>
      </c>
      <c r="S327">
        <v>0</v>
      </c>
      <c r="T327">
        <v>0</v>
      </c>
      <c r="U327">
        <v>0</v>
      </c>
      <c r="W327" t="s">
        <v>62</v>
      </c>
    </row>
    <row r="328" spans="1:45" x14ac:dyDescent="0.35">
      <c r="A328" t="s">
        <v>45</v>
      </c>
      <c r="B328" t="s">
        <v>745</v>
      </c>
      <c r="C328" t="s">
        <v>47</v>
      </c>
      <c r="D328" t="s">
        <v>445</v>
      </c>
      <c r="E328" t="s">
        <v>445</v>
      </c>
      <c r="F328" t="s">
        <v>142</v>
      </c>
      <c r="G328" t="s">
        <v>473</v>
      </c>
      <c r="H328" t="s">
        <v>847</v>
      </c>
      <c r="J328" t="str">
        <f>HYPERLINK("https://www.facebook.com/454965103328545/posts/795263512632034?comment_id=443218018162476","https://www.facebook.com/454965103328545/posts/795263512632034?comment_id=443218018162476")</f>
        <v>https://www.facebook.com/454965103328545/posts/795263512632034?comment_id=443218018162476</v>
      </c>
      <c r="O328">
        <v>0</v>
      </c>
      <c r="P328">
        <v>0</v>
      </c>
      <c r="Q328">
        <v>0</v>
      </c>
      <c r="S328">
        <v>0</v>
      </c>
      <c r="T328">
        <v>0</v>
      </c>
      <c r="U328">
        <v>0</v>
      </c>
      <c r="W328" t="s">
        <v>62</v>
      </c>
    </row>
    <row r="329" spans="1:45" x14ac:dyDescent="0.35">
      <c r="A329" t="s">
        <v>45</v>
      </c>
      <c r="B329" t="s">
        <v>745</v>
      </c>
      <c r="C329" t="s">
        <v>47</v>
      </c>
      <c r="D329" t="s">
        <v>445</v>
      </c>
      <c r="E329" t="s">
        <v>445</v>
      </c>
      <c r="F329" t="s">
        <v>49</v>
      </c>
      <c r="G329" t="s">
        <v>471</v>
      </c>
      <c r="H329" t="s">
        <v>848</v>
      </c>
      <c r="J329" t="str">
        <f>HYPERLINK("https://www.facebook.com/454965103328545/posts/795263512632034?comment_id=790264346319501","https://www.facebook.com/454965103328545/posts/795263512632034?comment_id=790264346319501")</f>
        <v>https://www.facebook.com/454965103328545/posts/795263512632034?comment_id=790264346319501</v>
      </c>
      <c r="O329">
        <v>0</v>
      </c>
      <c r="P329">
        <v>0</v>
      </c>
      <c r="Q329">
        <v>0</v>
      </c>
      <c r="S329">
        <v>0</v>
      </c>
      <c r="T329">
        <v>0</v>
      </c>
      <c r="U329">
        <v>0</v>
      </c>
      <c r="W329" t="s">
        <v>62</v>
      </c>
    </row>
    <row r="330" spans="1:45" x14ac:dyDescent="0.35">
      <c r="A330" t="s">
        <v>45</v>
      </c>
      <c r="B330" t="s">
        <v>745</v>
      </c>
      <c r="C330" t="s">
        <v>47</v>
      </c>
      <c r="D330" t="s">
        <v>770</v>
      </c>
      <c r="E330" t="s">
        <v>770</v>
      </c>
      <c r="F330" t="s">
        <v>49</v>
      </c>
      <c r="G330" t="s">
        <v>849</v>
      </c>
      <c r="H330" t="s">
        <v>850</v>
      </c>
      <c r="J330" t="str">
        <f>HYPERLINK("https://www.facebook.com/454965103328545/posts/795263512632034?comment_id=1164997177990929","https://www.facebook.com/454965103328545/posts/795263512632034?comment_id=1164997177990929")</f>
        <v>https://www.facebook.com/454965103328545/posts/795263512632034?comment_id=1164997177990929</v>
      </c>
      <c r="O330">
        <v>0</v>
      </c>
      <c r="P330">
        <v>0</v>
      </c>
      <c r="Q330">
        <v>0</v>
      </c>
      <c r="S330">
        <v>0</v>
      </c>
      <c r="T330">
        <v>0</v>
      </c>
      <c r="U330">
        <v>0</v>
      </c>
      <c r="W330" t="s">
        <v>62</v>
      </c>
    </row>
    <row r="331" spans="1:45" x14ac:dyDescent="0.35">
      <c r="A331" t="s">
        <v>45</v>
      </c>
      <c r="B331" t="s">
        <v>745</v>
      </c>
      <c r="C331" t="s">
        <v>63</v>
      </c>
      <c r="D331" t="s">
        <v>487</v>
      </c>
      <c r="E331" t="s">
        <v>487</v>
      </c>
      <c r="F331" t="s">
        <v>49</v>
      </c>
      <c r="G331" t="s">
        <v>851</v>
      </c>
      <c r="H331" t="s">
        <v>852</v>
      </c>
      <c r="J331" t="str">
        <f>HYPERLINK("https://www.instagram.com/p/C5BB14gps-6/","https://www.instagram.com/p/C5BB14gps-6/")</f>
        <v>https://www.instagram.com/p/C5BB14gps-6/</v>
      </c>
      <c r="O331">
        <v>0</v>
      </c>
      <c r="P331">
        <v>0</v>
      </c>
      <c r="Q331">
        <v>0</v>
      </c>
      <c r="S331">
        <v>0</v>
      </c>
      <c r="T331">
        <v>0</v>
      </c>
      <c r="U331">
        <v>0</v>
      </c>
      <c r="W331" t="s">
        <v>62</v>
      </c>
    </row>
    <row r="332" spans="1:45" x14ac:dyDescent="0.35">
      <c r="A332" t="s">
        <v>45</v>
      </c>
      <c r="B332" t="s">
        <v>745</v>
      </c>
      <c r="C332" t="s">
        <v>47</v>
      </c>
      <c r="D332" t="s">
        <v>98</v>
      </c>
      <c r="E332" t="s">
        <v>98</v>
      </c>
      <c r="F332" t="s">
        <v>49</v>
      </c>
      <c r="G332" t="s">
        <v>610</v>
      </c>
      <c r="H332" t="s">
        <v>853</v>
      </c>
      <c r="J332" t="str">
        <f>HYPERLINK("https://www.facebook.com/454965103328545/posts/795263512632034?comment_id=941073117600674","https://www.facebook.com/454965103328545/posts/795263512632034?comment_id=941073117600674")</f>
        <v>https://www.facebook.com/454965103328545/posts/795263512632034?comment_id=941073117600674</v>
      </c>
      <c r="O332">
        <v>0</v>
      </c>
      <c r="P332">
        <v>0</v>
      </c>
      <c r="Q332">
        <v>0</v>
      </c>
      <c r="S332">
        <v>0</v>
      </c>
      <c r="T332">
        <v>0</v>
      </c>
      <c r="U332">
        <v>0</v>
      </c>
      <c r="W332" t="s">
        <v>62</v>
      </c>
    </row>
    <row r="333" spans="1:45" x14ac:dyDescent="0.35">
      <c r="A333" t="s">
        <v>45</v>
      </c>
      <c r="B333" t="s">
        <v>745</v>
      </c>
      <c r="C333" t="s">
        <v>63</v>
      </c>
      <c r="D333" t="s">
        <v>186</v>
      </c>
      <c r="E333" t="s">
        <v>186</v>
      </c>
      <c r="F333" t="s">
        <v>49</v>
      </c>
      <c r="G333" t="s">
        <v>854</v>
      </c>
      <c r="H333" t="s">
        <v>855</v>
      </c>
      <c r="J333" t="str">
        <f>HYPERLINK("https://www.instagram.com/p/C5BB14gps-6/","https://www.instagram.com/p/C5BB14gps-6/")</f>
        <v>https://www.instagram.com/p/C5BB14gps-6/</v>
      </c>
      <c r="O333">
        <v>0</v>
      </c>
      <c r="P333">
        <v>0</v>
      </c>
      <c r="Q333">
        <v>0</v>
      </c>
      <c r="S333">
        <v>2</v>
      </c>
      <c r="T333">
        <v>75</v>
      </c>
      <c r="U333">
        <v>0</v>
      </c>
      <c r="W333" t="s">
        <v>106</v>
      </c>
    </row>
    <row r="334" spans="1:45" x14ac:dyDescent="0.35">
      <c r="A334" t="s">
        <v>45</v>
      </c>
      <c r="B334" t="s">
        <v>745</v>
      </c>
      <c r="C334" t="s">
        <v>139</v>
      </c>
      <c r="D334" t="s">
        <v>190</v>
      </c>
      <c r="E334" t="s">
        <v>45</v>
      </c>
      <c r="F334" t="s">
        <v>49</v>
      </c>
      <c r="G334" t="s">
        <v>856</v>
      </c>
      <c r="H334" t="s">
        <v>857</v>
      </c>
      <c r="J334" t="str">
        <f>HYPERLINK("https://twitter.com/FinoPaymntsBank/status/1772949187627290648","https://twitter.com/FinoPaymntsBank/status/1772949187627290648")</f>
        <v>https://twitter.com/FinoPaymntsBank/status/1772949187627290648</v>
      </c>
      <c r="K334" t="s">
        <v>145</v>
      </c>
      <c r="O334">
        <v>0</v>
      </c>
      <c r="P334">
        <v>0</v>
      </c>
      <c r="Q334">
        <v>8482</v>
      </c>
      <c r="R334" t="s">
        <v>193</v>
      </c>
      <c r="S334">
        <v>0</v>
      </c>
      <c r="T334">
        <v>0</v>
      </c>
      <c r="U334">
        <v>0</v>
      </c>
      <c r="W334" t="s">
        <v>146</v>
      </c>
    </row>
    <row r="335" spans="1:45" x14ac:dyDescent="0.35">
      <c r="A335" t="s">
        <v>45</v>
      </c>
      <c r="B335" t="s">
        <v>745</v>
      </c>
      <c r="C335" t="s">
        <v>63</v>
      </c>
      <c r="D335" t="s">
        <v>858</v>
      </c>
      <c r="E335" t="s">
        <v>858</v>
      </c>
      <c r="F335" t="s">
        <v>49</v>
      </c>
      <c r="G335" t="s">
        <v>131</v>
      </c>
      <c r="H335" t="s">
        <v>859</v>
      </c>
      <c r="J335" t="str">
        <f>HYPERLINK("https://www.instagram.com/p/C4ucfvtgGcP/","https://www.instagram.com/p/C4ucfvtgGcP/")</f>
        <v>https://www.instagram.com/p/C4ucfvtgGcP/</v>
      </c>
      <c r="O335">
        <v>0</v>
      </c>
      <c r="P335">
        <v>0</v>
      </c>
      <c r="Q335">
        <v>0</v>
      </c>
      <c r="S335">
        <v>0</v>
      </c>
      <c r="T335">
        <v>0</v>
      </c>
      <c r="U335">
        <v>0</v>
      </c>
      <c r="W335" t="s">
        <v>62</v>
      </c>
      <c r="AS335" t="s">
        <v>375</v>
      </c>
    </row>
    <row r="336" spans="1:45" x14ac:dyDescent="0.35">
      <c r="A336" t="s">
        <v>45</v>
      </c>
      <c r="B336" t="s">
        <v>745</v>
      </c>
      <c r="C336" t="s">
        <v>47</v>
      </c>
      <c r="D336" t="s">
        <v>860</v>
      </c>
      <c r="E336" t="s">
        <v>860</v>
      </c>
      <c r="F336" t="s">
        <v>49</v>
      </c>
      <c r="G336" t="s">
        <v>861</v>
      </c>
      <c r="H336" t="s">
        <v>862</v>
      </c>
      <c r="J336" t="str">
        <f>HYPERLINK("https://www.facebook.com/357267201017935/inbox/7205574872853766/","https://www.facebook.com/357267201017935/inbox/7205574872853766/")</f>
        <v>https://www.facebook.com/357267201017935/inbox/7205574872853766/</v>
      </c>
      <c r="O336">
        <v>0</v>
      </c>
      <c r="P336">
        <v>0</v>
      </c>
      <c r="Q336">
        <v>0</v>
      </c>
      <c r="S336">
        <v>0</v>
      </c>
      <c r="T336">
        <v>0</v>
      </c>
      <c r="U336">
        <v>0</v>
      </c>
      <c r="W336" t="s">
        <v>52</v>
      </c>
      <c r="AS336" t="s">
        <v>375</v>
      </c>
    </row>
    <row r="337" spans="1:45" x14ac:dyDescent="0.35">
      <c r="A337" t="s">
        <v>45</v>
      </c>
      <c r="B337" t="s">
        <v>745</v>
      </c>
      <c r="C337" t="s">
        <v>102</v>
      </c>
      <c r="D337" t="s">
        <v>863</v>
      </c>
      <c r="E337" t="s">
        <v>863</v>
      </c>
      <c r="F337" t="s">
        <v>76</v>
      </c>
      <c r="G337" t="s">
        <v>864</v>
      </c>
      <c r="H337" t="s">
        <v>865</v>
      </c>
      <c r="J337" t="str">
        <f>HYPERLINK("https://www.linkedin.com/feed/update/urn:li:ugcPost:7178652859742232577","https://www.linkedin.com/feed/update/urn:li:ugcPost:7178652859742232577")</f>
        <v>https://www.linkedin.com/feed/update/urn:li:ugcPost:7178652859742232577</v>
      </c>
      <c r="O337">
        <v>0</v>
      </c>
      <c r="P337">
        <v>0</v>
      </c>
      <c r="Q337">
        <v>0</v>
      </c>
      <c r="S337">
        <v>0</v>
      </c>
      <c r="T337">
        <v>0</v>
      </c>
      <c r="U337">
        <v>0</v>
      </c>
      <c r="W337" t="s">
        <v>106</v>
      </c>
    </row>
    <row r="338" spans="1:45" x14ac:dyDescent="0.35">
      <c r="A338" t="s">
        <v>45</v>
      </c>
      <c r="B338" t="s">
        <v>745</v>
      </c>
      <c r="C338" t="s">
        <v>47</v>
      </c>
      <c r="D338" t="s">
        <v>148</v>
      </c>
      <c r="E338" t="s">
        <v>148</v>
      </c>
      <c r="F338" t="s">
        <v>76</v>
      </c>
      <c r="G338" t="s">
        <v>866</v>
      </c>
      <c r="H338" t="s">
        <v>867</v>
      </c>
      <c r="J338" t="str">
        <f>HYPERLINK("https://www.facebook.com/454965103328545/posts/795187112639674?comment_id=7105758012879605","https://www.facebook.com/454965103328545/posts/795187112639674?comment_id=7105758012879605")</f>
        <v>https://www.facebook.com/454965103328545/posts/795187112639674?comment_id=7105758012879605</v>
      </c>
      <c r="O338">
        <v>0</v>
      </c>
      <c r="P338">
        <v>0</v>
      </c>
      <c r="Q338">
        <v>0</v>
      </c>
      <c r="S338">
        <v>0</v>
      </c>
      <c r="T338">
        <v>0</v>
      </c>
      <c r="U338">
        <v>0</v>
      </c>
      <c r="W338" t="s">
        <v>62</v>
      </c>
    </row>
    <row r="339" spans="1:45" x14ac:dyDescent="0.35">
      <c r="A339" t="s">
        <v>45</v>
      </c>
      <c r="B339" t="s">
        <v>745</v>
      </c>
      <c r="C339" t="s">
        <v>139</v>
      </c>
      <c r="D339" t="s">
        <v>868</v>
      </c>
      <c r="E339" t="s">
        <v>869</v>
      </c>
      <c r="F339" t="s">
        <v>49</v>
      </c>
      <c r="G339" t="s">
        <v>870</v>
      </c>
      <c r="H339" t="s">
        <v>871</v>
      </c>
      <c r="J339" t="str">
        <f>HYPERLINK("https://twitter.com/verma927/status/1772884912334327873","https://twitter.com/verma927/status/1772884912334327873")</f>
        <v>https://twitter.com/verma927/status/1772884912334327873</v>
      </c>
      <c r="K339" t="s">
        <v>145</v>
      </c>
      <c r="O339">
        <v>0</v>
      </c>
      <c r="P339">
        <v>0</v>
      </c>
      <c r="Q339">
        <v>10</v>
      </c>
      <c r="R339" t="s">
        <v>872</v>
      </c>
      <c r="S339">
        <v>0</v>
      </c>
      <c r="T339">
        <v>0</v>
      </c>
      <c r="U339">
        <v>0</v>
      </c>
      <c r="W339" t="s">
        <v>146</v>
      </c>
    </row>
    <row r="340" spans="1:45" x14ac:dyDescent="0.35">
      <c r="A340" t="s">
        <v>45</v>
      </c>
      <c r="B340" t="s">
        <v>745</v>
      </c>
      <c r="C340" t="s">
        <v>47</v>
      </c>
      <c r="D340" t="s">
        <v>45</v>
      </c>
      <c r="E340" t="s">
        <v>45</v>
      </c>
      <c r="F340" t="s">
        <v>49</v>
      </c>
      <c r="G340" t="s">
        <v>197</v>
      </c>
      <c r="H340" t="s">
        <v>873</v>
      </c>
      <c r="J340" t="str">
        <f>HYPERLINK("https://www.facebook.com/357267201017935_795773009247751","https://www.facebook.com/357267201017935_795773009247751")</f>
        <v>https://www.facebook.com/357267201017935_795773009247751</v>
      </c>
      <c r="O340">
        <v>0</v>
      </c>
      <c r="P340">
        <v>0</v>
      </c>
      <c r="Q340">
        <v>0</v>
      </c>
      <c r="S340">
        <v>0</v>
      </c>
      <c r="T340">
        <v>0</v>
      </c>
      <c r="U340">
        <v>0</v>
      </c>
      <c r="W340" t="s">
        <v>106</v>
      </c>
      <c r="AS340" t="s">
        <v>115</v>
      </c>
    </row>
    <row r="341" spans="1:45" x14ac:dyDescent="0.35">
      <c r="A341" t="s">
        <v>45</v>
      </c>
      <c r="B341" t="s">
        <v>745</v>
      </c>
      <c r="C341" t="s">
        <v>47</v>
      </c>
      <c r="D341" t="s">
        <v>45</v>
      </c>
      <c r="E341" t="s">
        <v>45</v>
      </c>
      <c r="F341" t="s">
        <v>49</v>
      </c>
      <c r="G341" t="s">
        <v>113</v>
      </c>
      <c r="H341" t="s">
        <v>873</v>
      </c>
      <c r="J341" t="str">
        <f>HYPERLINK("https://www.facebook.com/357267201017935_795773012581084","https://www.facebook.com/357267201017935_795773012581084")</f>
        <v>https://www.facebook.com/357267201017935_795773012581084</v>
      </c>
      <c r="O341">
        <v>0</v>
      </c>
      <c r="P341">
        <v>0</v>
      </c>
      <c r="Q341">
        <v>0</v>
      </c>
      <c r="S341">
        <v>0</v>
      </c>
      <c r="T341">
        <v>0</v>
      </c>
      <c r="U341">
        <v>0</v>
      </c>
      <c r="W341" t="s">
        <v>106</v>
      </c>
      <c r="AS341" t="s">
        <v>115</v>
      </c>
    </row>
    <row r="342" spans="1:45" x14ac:dyDescent="0.35">
      <c r="A342" t="s">
        <v>45</v>
      </c>
      <c r="B342" t="s">
        <v>745</v>
      </c>
      <c r="C342" t="s">
        <v>63</v>
      </c>
      <c r="D342" t="s">
        <v>874</v>
      </c>
      <c r="E342" t="s">
        <v>874</v>
      </c>
      <c r="F342" t="s">
        <v>49</v>
      </c>
      <c r="G342" t="s">
        <v>875</v>
      </c>
      <c r="H342" t="s">
        <v>876</v>
      </c>
      <c r="J342" t="str">
        <f>HYPERLINK("https://www.instagram.com/p/C4-dCbPqjis/","https://www.instagram.com/p/C4-dCbPqjis/")</f>
        <v>https://www.instagram.com/p/C4-dCbPqjis/</v>
      </c>
      <c r="O342">
        <v>0</v>
      </c>
      <c r="P342">
        <v>0</v>
      </c>
      <c r="Q342">
        <v>0</v>
      </c>
      <c r="S342">
        <v>0</v>
      </c>
      <c r="T342">
        <v>0</v>
      </c>
      <c r="U342">
        <v>0</v>
      </c>
      <c r="W342" t="s">
        <v>62</v>
      </c>
    </row>
    <row r="343" spans="1:45" x14ac:dyDescent="0.35">
      <c r="A343" t="s">
        <v>45</v>
      </c>
      <c r="B343" t="s">
        <v>745</v>
      </c>
      <c r="C343" t="s">
        <v>47</v>
      </c>
      <c r="D343" t="s">
        <v>246</v>
      </c>
      <c r="E343" t="s">
        <v>246</v>
      </c>
      <c r="F343" t="s">
        <v>49</v>
      </c>
      <c r="G343" t="s">
        <v>877</v>
      </c>
      <c r="H343" t="s">
        <v>878</v>
      </c>
      <c r="J343" t="str">
        <f>HYPERLINK("https://www.facebook.com/454965103328545/posts/795187112639674?comment_id=434606109015429","https://www.facebook.com/454965103328545/posts/795187112639674?comment_id=434606109015429")</f>
        <v>https://www.facebook.com/454965103328545/posts/795187112639674?comment_id=434606109015429</v>
      </c>
      <c r="O343">
        <v>0</v>
      </c>
      <c r="P343">
        <v>0</v>
      </c>
      <c r="Q343">
        <v>0</v>
      </c>
      <c r="S343">
        <v>0</v>
      </c>
      <c r="T343">
        <v>0</v>
      </c>
      <c r="U343">
        <v>0</v>
      </c>
      <c r="W343" t="s">
        <v>62</v>
      </c>
      <c r="AS343" t="s">
        <v>375</v>
      </c>
    </row>
    <row r="344" spans="1:45" x14ac:dyDescent="0.35">
      <c r="A344" t="s">
        <v>45</v>
      </c>
      <c r="B344" t="s">
        <v>745</v>
      </c>
      <c r="C344" t="s">
        <v>47</v>
      </c>
      <c r="D344" t="s">
        <v>879</v>
      </c>
      <c r="E344" t="s">
        <v>879</v>
      </c>
      <c r="F344" t="s">
        <v>49</v>
      </c>
      <c r="G344" t="s">
        <v>880</v>
      </c>
      <c r="H344" t="s">
        <v>881</v>
      </c>
      <c r="J344" t="str">
        <f>HYPERLINK("https://www.facebook.com/454965103328545/posts/792750152883370?comment_id=758921066380935&amp;reply_comment_id=3204249559719372","https://www.facebook.com/454965103328545/posts/792750152883370?comment_id=758921066380935&amp;reply_comment_id=3204249559719372")</f>
        <v>https://www.facebook.com/454965103328545/posts/792750152883370?comment_id=758921066380935&amp;reply_comment_id=3204249559719372</v>
      </c>
      <c r="O344">
        <v>0</v>
      </c>
      <c r="P344">
        <v>0</v>
      </c>
      <c r="Q344">
        <v>0</v>
      </c>
      <c r="S344">
        <v>0</v>
      </c>
      <c r="T344">
        <v>0</v>
      </c>
      <c r="U344">
        <v>0</v>
      </c>
      <c r="W344" t="s">
        <v>62</v>
      </c>
    </row>
    <row r="345" spans="1:45" x14ac:dyDescent="0.35">
      <c r="A345" t="s">
        <v>45</v>
      </c>
      <c r="B345" t="s">
        <v>745</v>
      </c>
      <c r="C345" t="s">
        <v>47</v>
      </c>
      <c r="D345" t="s">
        <v>882</v>
      </c>
      <c r="E345" t="s">
        <v>882</v>
      </c>
      <c r="F345" t="s">
        <v>49</v>
      </c>
      <c r="G345" t="s">
        <v>883</v>
      </c>
      <c r="H345" t="s">
        <v>884</v>
      </c>
      <c r="J345" t="str">
        <f>HYPERLINK("https://www.facebook.com/454965103328545/posts/pfbid0HEB5TEAxz3vkoEApLMpaGzU8E8EfntMcm9QZuB6ydsLo78LP2GhDjejdog4m8BQUl?comment_id=428961549806979","https://www.facebook.com/454965103328545/posts/pfbid0HEB5TEAxz3vkoEApLMpaGzU8E8EfntMcm9QZuB6ydsLo78LP2GhDjejdog4m8BQUl?comment_id=428961549806979")</f>
        <v>https://www.facebook.com/454965103328545/posts/pfbid0HEB5TEAxz3vkoEApLMpaGzU8E8EfntMcm9QZuB6ydsLo78LP2GhDjejdog4m8BQUl?comment_id=428961549806979</v>
      </c>
      <c r="O345">
        <v>0</v>
      </c>
      <c r="P345">
        <v>0</v>
      </c>
      <c r="Q345">
        <v>0</v>
      </c>
      <c r="S345">
        <v>0</v>
      </c>
      <c r="T345">
        <v>0</v>
      </c>
      <c r="U345">
        <v>0</v>
      </c>
      <c r="W345" t="s">
        <v>62</v>
      </c>
    </row>
    <row r="346" spans="1:45" x14ac:dyDescent="0.35">
      <c r="A346" t="s">
        <v>45</v>
      </c>
      <c r="B346" t="s">
        <v>745</v>
      </c>
      <c r="C346" t="s">
        <v>58</v>
      </c>
      <c r="D346" t="s">
        <v>885</v>
      </c>
      <c r="E346" t="s">
        <v>885</v>
      </c>
      <c r="F346" t="s">
        <v>49</v>
      </c>
      <c r="G346" t="s">
        <v>886</v>
      </c>
      <c r="H346" t="s">
        <v>887</v>
      </c>
      <c r="J346" t="str">
        <f>HYPERLINK("https://www.youtube.com/watch?v=nxL22SRgiRA","https://www.youtube.com/watch?v=nxL22SRgiRA")</f>
        <v>https://www.youtube.com/watch?v=nxL22SRgiRA</v>
      </c>
      <c r="O346">
        <v>0</v>
      </c>
      <c r="P346">
        <v>0</v>
      </c>
      <c r="Q346">
        <v>0</v>
      </c>
      <c r="S346">
        <v>0</v>
      </c>
      <c r="T346">
        <v>0</v>
      </c>
      <c r="U346">
        <v>0</v>
      </c>
      <c r="W346" t="s">
        <v>106</v>
      </c>
    </row>
    <row r="347" spans="1:45" x14ac:dyDescent="0.35">
      <c r="A347" t="s">
        <v>45</v>
      </c>
      <c r="B347" t="s">
        <v>745</v>
      </c>
      <c r="C347" t="s">
        <v>47</v>
      </c>
      <c r="D347" t="s">
        <v>888</v>
      </c>
      <c r="E347" t="s">
        <v>888</v>
      </c>
      <c r="F347" t="s">
        <v>49</v>
      </c>
      <c r="G347" t="s">
        <v>889</v>
      </c>
      <c r="H347" t="s">
        <v>890</v>
      </c>
      <c r="J347" t="str">
        <f>HYPERLINK("https://www.facebook.com/454965103328545/posts/795187112639674?comment_id=1253163139392897","https://www.facebook.com/454965103328545/posts/795187112639674?comment_id=1253163139392897")</f>
        <v>https://www.facebook.com/454965103328545/posts/795187112639674?comment_id=1253163139392897</v>
      </c>
      <c r="O347">
        <v>0</v>
      </c>
      <c r="P347">
        <v>0</v>
      </c>
      <c r="Q347">
        <v>0</v>
      </c>
      <c r="S347">
        <v>0</v>
      </c>
      <c r="T347">
        <v>0</v>
      </c>
      <c r="U347">
        <v>0</v>
      </c>
      <c r="W347" t="s">
        <v>62</v>
      </c>
      <c r="AS347" t="s">
        <v>375</v>
      </c>
    </row>
    <row r="348" spans="1:45" x14ac:dyDescent="0.35">
      <c r="A348" t="s">
        <v>45</v>
      </c>
      <c r="B348" t="s">
        <v>891</v>
      </c>
      <c r="C348" t="s">
        <v>47</v>
      </c>
      <c r="D348" t="s">
        <v>120</v>
      </c>
      <c r="E348" t="s">
        <v>120</v>
      </c>
      <c r="F348" t="s">
        <v>49</v>
      </c>
      <c r="G348" t="s">
        <v>892</v>
      </c>
      <c r="H348" t="s">
        <v>893</v>
      </c>
      <c r="J348" t="str">
        <f>HYPERLINK("https://www.facebook.com/454965103328545/posts/795187112639674?comment_id=25991796837086419","https://www.facebook.com/454965103328545/posts/795187112639674?comment_id=25991796837086419")</f>
        <v>https://www.facebook.com/454965103328545/posts/795187112639674?comment_id=25991796837086419</v>
      </c>
      <c r="O348">
        <v>0</v>
      </c>
      <c r="P348">
        <v>0</v>
      </c>
      <c r="Q348">
        <v>0</v>
      </c>
      <c r="S348">
        <v>0</v>
      </c>
      <c r="T348">
        <v>0</v>
      </c>
      <c r="U348">
        <v>0</v>
      </c>
      <c r="W348" t="s">
        <v>62</v>
      </c>
      <c r="AS348" t="s">
        <v>375</v>
      </c>
    </row>
    <row r="349" spans="1:45" x14ac:dyDescent="0.35">
      <c r="A349" t="s">
        <v>45</v>
      </c>
      <c r="B349" t="s">
        <v>891</v>
      </c>
      <c r="C349" t="s">
        <v>47</v>
      </c>
      <c r="F349" t="s">
        <v>49</v>
      </c>
      <c r="G349" t="s">
        <v>894</v>
      </c>
      <c r="H349" t="s">
        <v>895</v>
      </c>
      <c r="J349" t="str">
        <f>HYPERLINK("https://www.facebook.com/3339111299495920_3660745760874084","https://www.facebook.com/3339111299495920_3660745760874084")</f>
        <v>https://www.facebook.com/3339111299495920_3660745760874084</v>
      </c>
      <c r="O349">
        <v>0</v>
      </c>
      <c r="P349">
        <v>0</v>
      </c>
      <c r="Q349">
        <v>0</v>
      </c>
      <c r="S349">
        <v>0</v>
      </c>
      <c r="T349">
        <v>0</v>
      </c>
      <c r="U349">
        <v>0</v>
      </c>
      <c r="W349" t="s">
        <v>106</v>
      </c>
    </row>
    <row r="350" spans="1:45" x14ac:dyDescent="0.35">
      <c r="A350" t="s">
        <v>45</v>
      </c>
      <c r="B350" t="s">
        <v>891</v>
      </c>
      <c r="C350" t="s">
        <v>63</v>
      </c>
      <c r="D350" t="s">
        <v>896</v>
      </c>
      <c r="E350" t="s">
        <v>896</v>
      </c>
      <c r="F350" t="s">
        <v>76</v>
      </c>
      <c r="G350" t="s">
        <v>897</v>
      </c>
      <c r="H350" t="s">
        <v>898</v>
      </c>
      <c r="J350" t="str">
        <f>HYPERLINK("https://www.instagram.com/reel/C466fxjhUNl/","https://www.instagram.com/reel/C466fxjhUNl/")</f>
        <v>https://www.instagram.com/reel/C466fxjhUNl/</v>
      </c>
      <c r="O350">
        <v>0</v>
      </c>
      <c r="P350">
        <v>0</v>
      </c>
      <c r="Q350">
        <v>0</v>
      </c>
      <c r="S350">
        <v>0</v>
      </c>
      <c r="T350">
        <v>0</v>
      </c>
      <c r="U350">
        <v>0</v>
      </c>
      <c r="W350" t="s">
        <v>62</v>
      </c>
    </row>
    <row r="351" spans="1:45" x14ac:dyDescent="0.35">
      <c r="A351" t="s">
        <v>45</v>
      </c>
      <c r="B351" t="s">
        <v>891</v>
      </c>
      <c r="C351" t="s">
        <v>63</v>
      </c>
      <c r="D351" t="s">
        <v>896</v>
      </c>
      <c r="E351" t="s">
        <v>896</v>
      </c>
      <c r="F351" t="s">
        <v>49</v>
      </c>
      <c r="G351" t="s">
        <v>899</v>
      </c>
      <c r="H351" t="s">
        <v>900</v>
      </c>
      <c r="J351" t="str">
        <f>HYPERLINK("https://www.instagram.com/reel/C466fxjhUNl/","https://www.instagram.com/reel/C466fxjhUNl/")</f>
        <v>https://www.instagram.com/reel/C466fxjhUNl/</v>
      </c>
      <c r="O351">
        <v>0</v>
      </c>
      <c r="P351">
        <v>0</v>
      </c>
      <c r="Q351">
        <v>0</v>
      </c>
      <c r="S351">
        <v>0</v>
      </c>
      <c r="T351">
        <v>0</v>
      </c>
      <c r="U351">
        <v>0</v>
      </c>
      <c r="W351" t="s">
        <v>62</v>
      </c>
    </row>
    <row r="352" spans="1:45" x14ac:dyDescent="0.35">
      <c r="A352" t="s">
        <v>45</v>
      </c>
      <c r="B352" t="s">
        <v>891</v>
      </c>
      <c r="C352" t="s">
        <v>47</v>
      </c>
      <c r="D352" t="s">
        <v>901</v>
      </c>
      <c r="E352" t="s">
        <v>901</v>
      </c>
      <c r="F352" t="s">
        <v>49</v>
      </c>
      <c r="G352" t="s">
        <v>902</v>
      </c>
      <c r="H352" t="s">
        <v>903</v>
      </c>
      <c r="J352" t="str">
        <f>HYPERLINK("https://www.facebook.com/454965103328545/posts/755944923230560?comment_id=7518917581495860","https://www.facebook.com/454965103328545/posts/755944923230560?comment_id=7518917581495860")</f>
        <v>https://www.facebook.com/454965103328545/posts/755944923230560?comment_id=7518917581495860</v>
      </c>
      <c r="O352">
        <v>0</v>
      </c>
      <c r="P352">
        <v>0</v>
      </c>
      <c r="Q352">
        <v>0</v>
      </c>
      <c r="S352">
        <v>0</v>
      </c>
      <c r="T352">
        <v>0</v>
      </c>
      <c r="U352">
        <v>0</v>
      </c>
      <c r="W352" t="s">
        <v>62</v>
      </c>
    </row>
    <row r="353" spans="1:41" x14ac:dyDescent="0.35">
      <c r="A353" t="s">
        <v>45</v>
      </c>
      <c r="B353" t="s">
        <v>891</v>
      </c>
      <c r="C353" t="s">
        <v>47</v>
      </c>
      <c r="D353" t="s">
        <v>904</v>
      </c>
      <c r="E353" t="s">
        <v>904</v>
      </c>
      <c r="F353" t="s">
        <v>49</v>
      </c>
      <c r="G353" t="s">
        <v>905</v>
      </c>
      <c r="H353" t="s">
        <v>906</v>
      </c>
      <c r="J353" t="str">
        <f>HYPERLINK("https://www.facebook.com/357267201017935/inbox/7202665763144677/","https://www.facebook.com/357267201017935/inbox/7202665763144677/")</f>
        <v>https://www.facebook.com/357267201017935/inbox/7202665763144677/</v>
      </c>
      <c r="O353">
        <v>0</v>
      </c>
      <c r="P353">
        <v>0</v>
      </c>
      <c r="Q353">
        <v>0</v>
      </c>
      <c r="S353">
        <v>0</v>
      </c>
      <c r="T353">
        <v>0</v>
      </c>
      <c r="U353">
        <v>0</v>
      </c>
      <c r="W353" t="s">
        <v>52</v>
      </c>
    </row>
    <row r="354" spans="1:41" x14ac:dyDescent="0.35">
      <c r="A354" t="s">
        <v>45</v>
      </c>
      <c r="B354" t="s">
        <v>891</v>
      </c>
      <c r="C354" t="s">
        <v>47</v>
      </c>
      <c r="D354" t="s">
        <v>904</v>
      </c>
      <c r="E354" t="s">
        <v>904</v>
      </c>
      <c r="F354" t="s">
        <v>49</v>
      </c>
      <c r="G354" t="s">
        <v>907</v>
      </c>
      <c r="H354" t="s">
        <v>908</v>
      </c>
      <c r="J354" t="str">
        <f>HYPERLINK("https://www.facebook.com/454965103328545/posts/795187112639674?comment_id=1090480882171473","https://www.facebook.com/454965103328545/posts/795187112639674?comment_id=1090480882171473")</f>
        <v>https://www.facebook.com/454965103328545/posts/795187112639674?comment_id=1090480882171473</v>
      </c>
      <c r="O354">
        <v>0</v>
      </c>
      <c r="P354">
        <v>0</v>
      </c>
      <c r="Q354">
        <v>0</v>
      </c>
      <c r="S354">
        <v>0</v>
      </c>
      <c r="T354">
        <v>0</v>
      </c>
      <c r="U354">
        <v>0</v>
      </c>
      <c r="W354" t="s">
        <v>62</v>
      </c>
    </row>
    <row r="355" spans="1:41" x14ac:dyDescent="0.35">
      <c r="A355" t="s">
        <v>45</v>
      </c>
      <c r="B355" t="s">
        <v>891</v>
      </c>
      <c r="C355" t="s">
        <v>47</v>
      </c>
      <c r="D355" t="s">
        <v>904</v>
      </c>
      <c r="E355" t="s">
        <v>904</v>
      </c>
      <c r="F355" t="s">
        <v>49</v>
      </c>
      <c r="G355" t="s">
        <v>909</v>
      </c>
      <c r="H355" t="s">
        <v>910</v>
      </c>
      <c r="J355" t="str">
        <f>HYPERLINK("https://www.facebook.com/454965103328545/posts/795187112639674?comment_id=1430466677676477","https://www.facebook.com/454965103328545/posts/795187112639674?comment_id=1430466677676477")</f>
        <v>https://www.facebook.com/454965103328545/posts/795187112639674?comment_id=1430466677676477</v>
      </c>
      <c r="O355">
        <v>0</v>
      </c>
      <c r="P355">
        <v>0</v>
      </c>
      <c r="Q355">
        <v>0</v>
      </c>
      <c r="S355">
        <v>0</v>
      </c>
      <c r="T355">
        <v>0</v>
      </c>
      <c r="U355">
        <v>0</v>
      </c>
      <c r="W355" t="s">
        <v>62</v>
      </c>
    </row>
    <row r="356" spans="1:41" x14ac:dyDescent="0.35">
      <c r="A356" t="s">
        <v>45</v>
      </c>
      <c r="B356" t="s">
        <v>891</v>
      </c>
      <c r="C356" t="s">
        <v>47</v>
      </c>
      <c r="D356" t="s">
        <v>911</v>
      </c>
      <c r="E356" t="s">
        <v>911</v>
      </c>
      <c r="F356" t="s">
        <v>49</v>
      </c>
      <c r="H356" t="s">
        <v>912</v>
      </c>
      <c r="J356" t="str">
        <f>HYPERLINK("https://www.facebook.com/454965103328545/posts/795187112639674?comment_id=948266453512442","https://www.facebook.com/454965103328545/posts/795187112639674?comment_id=948266453512442")</f>
        <v>https://www.facebook.com/454965103328545/posts/795187112639674?comment_id=948266453512442</v>
      </c>
      <c r="O356">
        <v>0</v>
      </c>
      <c r="P356">
        <v>0</v>
      </c>
      <c r="Q356">
        <v>0</v>
      </c>
      <c r="S356">
        <v>0</v>
      </c>
      <c r="T356">
        <v>0</v>
      </c>
      <c r="U356">
        <v>0</v>
      </c>
      <c r="W356" t="s">
        <v>62</v>
      </c>
    </row>
    <row r="357" spans="1:41" x14ac:dyDescent="0.35">
      <c r="A357" t="s">
        <v>45</v>
      </c>
      <c r="B357" t="s">
        <v>891</v>
      </c>
      <c r="C357" t="s">
        <v>47</v>
      </c>
      <c r="D357" t="s">
        <v>911</v>
      </c>
      <c r="E357" t="s">
        <v>911</v>
      </c>
      <c r="F357" t="s">
        <v>49</v>
      </c>
      <c r="H357" t="s">
        <v>913</v>
      </c>
      <c r="J357" t="str">
        <f>HYPERLINK("https://www.facebook.com/454965103328545/posts/795187112639674?comment_id=1374374313957648","https://www.facebook.com/454965103328545/posts/795187112639674?comment_id=1374374313957648")</f>
        <v>https://www.facebook.com/454965103328545/posts/795187112639674?comment_id=1374374313957648</v>
      </c>
      <c r="O357">
        <v>0</v>
      </c>
      <c r="P357">
        <v>0</v>
      </c>
      <c r="Q357">
        <v>0</v>
      </c>
      <c r="S357">
        <v>0</v>
      </c>
      <c r="T357">
        <v>0</v>
      </c>
      <c r="U357">
        <v>0</v>
      </c>
      <c r="W357" t="s">
        <v>62</v>
      </c>
    </row>
    <row r="358" spans="1:41" x14ac:dyDescent="0.35">
      <c r="A358" t="s">
        <v>45</v>
      </c>
      <c r="B358" t="s">
        <v>891</v>
      </c>
      <c r="C358" t="s">
        <v>47</v>
      </c>
      <c r="D358" t="s">
        <v>911</v>
      </c>
      <c r="E358" t="s">
        <v>911</v>
      </c>
      <c r="F358" t="s">
        <v>49</v>
      </c>
      <c r="G358" t="s">
        <v>914</v>
      </c>
      <c r="H358" t="s">
        <v>915</v>
      </c>
      <c r="J358" t="str">
        <f>HYPERLINK("https://www.facebook.com/454965103328545/posts/795187112639674?comment_id=317493664676568","https://www.facebook.com/454965103328545/posts/795187112639674?comment_id=317493664676568")</f>
        <v>https://www.facebook.com/454965103328545/posts/795187112639674?comment_id=317493664676568</v>
      </c>
      <c r="O358">
        <v>0</v>
      </c>
      <c r="P358">
        <v>0</v>
      </c>
      <c r="Q358">
        <v>0</v>
      </c>
      <c r="S358">
        <v>0</v>
      </c>
      <c r="T358">
        <v>0</v>
      </c>
      <c r="U358">
        <v>0</v>
      </c>
      <c r="W358" t="s">
        <v>62</v>
      </c>
    </row>
    <row r="359" spans="1:41" x14ac:dyDescent="0.35">
      <c r="A359" t="s">
        <v>45</v>
      </c>
      <c r="B359" t="s">
        <v>891</v>
      </c>
      <c r="C359" t="s">
        <v>47</v>
      </c>
      <c r="D359" t="s">
        <v>911</v>
      </c>
      <c r="E359" t="s">
        <v>911</v>
      </c>
      <c r="F359" t="s">
        <v>49</v>
      </c>
      <c r="G359" t="s">
        <v>914</v>
      </c>
      <c r="H359" t="s">
        <v>916</v>
      </c>
      <c r="J359" t="str">
        <f>HYPERLINK("https://www.facebook.com/454965103328545/posts/792750152883370?comment_id=956258592691029","https://www.facebook.com/454965103328545/posts/792750152883370?comment_id=956258592691029")</f>
        <v>https://www.facebook.com/454965103328545/posts/792750152883370?comment_id=956258592691029</v>
      </c>
      <c r="O359">
        <v>0</v>
      </c>
      <c r="P359">
        <v>0</v>
      </c>
      <c r="Q359">
        <v>0</v>
      </c>
      <c r="S359">
        <v>0</v>
      </c>
      <c r="T359">
        <v>0</v>
      </c>
      <c r="U359">
        <v>0</v>
      </c>
      <c r="W359" t="s">
        <v>62</v>
      </c>
    </row>
    <row r="360" spans="1:41" x14ac:dyDescent="0.35">
      <c r="A360" t="s">
        <v>45</v>
      </c>
      <c r="B360" t="s">
        <v>891</v>
      </c>
      <c r="C360" t="s">
        <v>47</v>
      </c>
      <c r="D360" t="s">
        <v>151</v>
      </c>
      <c r="E360" t="s">
        <v>151</v>
      </c>
      <c r="F360" t="s">
        <v>49</v>
      </c>
      <c r="G360" t="s">
        <v>917</v>
      </c>
      <c r="H360" t="s">
        <v>918</v>
      </c>
      <c r="J360" t="str">
        <f>HYPERLINK("https://www.facebook.com/454965103328545/posts/795187112639674?comment_id=1126240805388380&amp;reply_comment_id=784264816953752","https://www.facebook.com/454965103328545/posts/795187112639674?comment_id=1126240805388380&amp;reply_comment_id=784264816953752")</f>
        <v>https://www.facebook.com/454965103328545/posts/795187112639674?comment_id=1126240805388380&amp;reply_comment_id=784264816953752</v>
      </c>
      <c r="O360">
        <v>0</v>
      </c>
      <c r="P360">
        <v>0</v>
      </c>
      <c r="Q360">
        <v>0</v>
      </c>
      <c r="S360">
        <v>0</v>
      </c>
      <c r="T360">
        <v>0</v>
      </c>
      <c r="U360">
        <v>0</v>
      </c>
      <c r="W360" t="s">
        <v>62</v>
      </c>
    </row>
    <row r="361" spans="1:41" x14ac:dyDescent="0.35">
      <c r="A361" t="s">
        <v>45</v>
      </c>
      <c r="B361" t="s">
        <v>891</v>
      </c>
      <c r="C361" t="s">
        <v>47</v>
      </c>
      <c r="D361" t="s">
        <v>151</v>
      </c>
      <c r="E361" t="s">
        <v>151</v>
      </c>
      <c r="F361" t="s">
        <v>49</v>
      </c>
      <c r="G361" t="s">
        <v>919</v>
      </c>
      <c r="H361" t="s">
        <v>920</v>
      </c>
      <c r="J361" t="str">
        <f>HYPERLINK("https://www.facebook.com/454965103328545/posts/795187112639674?comment_id=1126240805388380","https://www.facebook.com/454965103328545/posts/795187112639674?comment_id=1126240805388380")</f>
        <v>https://www.facebook.com/454965103328545/posts/795187112639674?comment_id=1126240805388380</v>
      </c>
      <c r="O361">
        <v>0</v>
      </c>
      <c r="P361">
        <v>0</v>
      </c>
      <c r="Q361">
        <v>0</v>
      </c>
      <c r="S361">
        <v>0</v>
      </c>
      <c r="T361">
        <v>0</v>
      </c>
      <c r="U361">
        <v>0</v>
      </c>
      <c r="W361" t="s">
        <v>62</v>
      </c>
    </row>
    <row r="362" spans="1:41" x14ac:dyDescent="0.35">
      <c r="A362" t="s">
        <v>45</v>
      </c>
      <c r="B362" t="s">
        <v>891</v>
      </c>
      <c r="C362" t="s">
        <v>47</v>
      </c>
      <c r="D362" t="s">
        <v>151</v>
      </c>
      <c r="E362" t="s">
        <v>151</v>
      </c>
      <c r="F362" t="s">
        <v>49</v>
      </c>
      <c r="G362" t="s">
        <v>921</v>
      </c>
      <c r="H362" t="s">
        <v>922</v>
      </c>
      <c r="J362" t="str">
        <f>HYPERLINK("https://www.facebook.com/454965103328545/posts/795187112639674?comment_id=760386032860847&amp;reply_comment_id=722186976738105","https://www.facebook.com/454965103328545/posts/795187112639674?comment_id=760386032860847&amp;reply_comment_id=722186976738105")</f>
        <v>https://www.facebook.com/454965103328545/posts/795187112639674?comment_id=760386032860847&amp;reply_comment_id=722186976738105</v>
      </c>
      <c r="O362">
        <v>0</v>
      </c>
      <c r="P362">
        <v>0</v>
      </c>
      <c r="Q362">
        <v>0</v>
      </c>
      <c r="S362">
        <v>0</v>
      </c>
      <c r="T362">
        <v>0</v>
      </c>
      <c r="U362">
        <v>0</v>
      </c>
      <c r="W362" t="s">
        <v>62</v>
      </c>
    </row>
    <row r="363" spans="1:41" x14ac:dyDescent="0.35">
      <c r="A363" t="s">
        <v>45</v>
      </c>
      <c r="B363" t="s">
        <v>891</v>
      </c>
      <c r="C363" t="s">
        <v>47</v>
      </c>
      <c r="D363" t="s">
        <v>923</v>
      </c>
      <c r="E363" t="s">
        <v>923</v>
      </c>
      <c r="F363" t="s">
        <v>49</v>
      </c>
      <c r="G363" t="s">
        <v>924</v>
      </c>
      <c r="H363" t="s">
        <v>925</v>
      </c>
      <c r="J363" t="str">
        <f>HYPERLINK("https://www.facebook.com/357267201017935/inbox/7200942969983623/","https://www.facebook.com/357267201017935/inbox/7200942969983623/")</f>
        <v>https://www.facebook.com/357267201017935/inbox/7200942969983623/</v>
      </c>
      <c r="O363">
        <v>0</v>
      </c>
      <c r="P363">
        <v>0</v>
      </c>
      <c r="Q363">
        <v>0</v>
      </c>
      <c r="S363">
        <v>0</v>
      </c>
      <c r="T363">
        <v>0</v>
      </c>
      <c r="U363">
        <v>0</v>
      </c>
      <c r="W363" t="s">
        <v>52</v>
      </c>
      <c r="AO363" t="s">
        <v>67</v>
      </c>
    </row>
    <row r="364" spans="1:41" x14ac:dyDescent="0.35">
      <c r="A364" t="s">
        <v>45</v>
      </c>
      <c r="B364" t="s">
        <v>891</v>
      </c>
      <c r="C364" t="s">
        <v>47</v>
      </c>
      <c r="D364" t="s">
        <v>923</v>
      </c>
      <c r="E364" t="s">
        <v>923</v>
      </c>
      <c r="F364" t="s">
        <v>49</v>
      </c>
      <c r="G364" t="s">
        <v>926</v>
      </c>
      <c r="H364" t="s">
        <v>927</v>
      </c>
      <c r="J364" t="str">
        <f>HYPERLINK("https://www.facebook.com/357267201017935/inbox/7200942969983623/","https://www.facebook.com/357267201017935/inbox/7200942969983623/")</f>
        <v>https://www.facebook.com/357267201017935/inbox/7200942969983623/</v>
      </c>
      <c r="O364">
        <v>0</v>
      </c>
      <c r="P364">
        <v>0</v>
      </c>
      <c r="Q364">
        <v>0</v>
      </c>
      <c r="S364">
        <v>0</v>
      </c>
      <c r="T364">
        <v>0</v>
      </c>
      <c r="U364">
        <v>0</v>
      </c>
      <c r="W364" t="s">
        <v>52</v>
      </c>
    </row>
    <row r="365" spans="1:41" x14ac:dyDescent="0.35">
      <c r="A365" t="s">
        <v>45</v>
      </c>
      <c r="B365" t="s">
        <v>891</v>
      </c>
      <c r="C365" t="s">
        <v>47</v>
      </c>
      <c r="D365" t="s">
        <v>445</v>
      </c>
      <c r="E365" t="s">
        <v>445</v>
      </c>
      <c r="F365" t="s">
        <v>49</v>
      </c>
      <c r="G365" t="s">
        <v>928</v>
      </c>
      <c r="H365" t="s">
        <v>929</v>
      </c>
      <c r="J365" t="str">
        <f>HYPERLINK("https://www.facebook.com/454965103328545/posts/795187112639674?comment_id=1455716785029535","https://www.facebook.com/454965103328545/posts/795187112639674?comment_id=1455716785029535")</f>
        <v>https://www.facebook.com/454965103328545/posts/795187112639674?comment_id=1455716785029535</v>
      </c>
      <c r="O365">
        <v>0</v>
      </c>
      <c r="P365">
        <v>0</v>
      </c>
      <c r="Q365">
        <v>0</v>
      </c>
      <c r="S365">
        <v>0</v>
      </c>
      <c r="T365">
        <v>0</v>
      </c>
      <c r="U365">
        <v>0</v>
      </c>
      <c r="W365" t="s">
        <v>62</v>
      </c>
    </row>
    <row r="366" spans="1:41" x14ac:dyDescent="0.35">
      <c r="A366" t="s">
        <v>45</v>
      </c>
      <c r="B366" t="s">
        <v>891</v>
      </c>
      <c r="C366" t="s">
        <v>47</v>
      </c>
      <c r="D366" t="s">
        <v>445</v>
      </c>
      <c r="E366" t="s">
        <v>445</v>
      </c>
      <c r="F366" t="s">
        <v>142</v>
      </c>
      <c r="G366" t="s">
        <v>930</v>
      </c>
      <c r="H366" t="s">
        <v>931</v>
      </c>
      <c r="J366" t="str">
        <f>HYPERLINK("https://www.facebook.com/454965103328545/posts/795187112639674?comment_id=1058224905250770","https://www.facebook.com/454965103328545/posts/795187112639674?comment_id=1058224905250770")</f>
        <v>https://www.facebook.com/454965103328545/posts/795187112639674?comment_id=1058224905250770</v>
      </c>
      <c r="O366">
        <v>0</v>
      </c>
      <c r="P366">
        <v>0</v>
      </c>
      <c r="Q366">
        <v>0</v>
      </c>
      <c r="S366">
        <v>0</v>
      </c>
      <c r="T366">
        <v>0</v>
      </c>
      <c r="U366">
        <v>0</v>
      </c>
      <c r="W366" t="s">
        <v>62</v>
      </c>
    </row>
    <row r="367" spans="1:41" x14ac:dyDescent="0.35">
      <c r="A367" t="s">
        <v>45</v>
      </c>
      <c r="B367" t="s">
        <v>891</v>
      </c>
      <c r="C367" t="s">
        <v>47</v>
      </c>
      <c r="D367" t="s">
        <v>445</v>
      </c>
      <c r="E367" t="s">
        <v>445</v>
      </c>
      <c r="F367" t="s">
        <v>49</v>
      </c>
      <c r="G367" t="s">
        <v>477</v>
      </c>
      <c r="H367" t="s">
        <v>932</v>
      </c>
      <c r="J367" t="str">
        <f>HYPERLINK("https://www.facebook.com/454965103328545/posts/795187112639674?comment_id=1016764233118348","https://www.facebook.com/454965103328545/posts/795187112639674?comment_id=1016764233118348")</f>
        <v>https://www.facebook.com/454965103328545/posts/795187112639674?comment_id=1016764233118348</v>
      </c>
      <c r="O367">
        <v>0</v>
      </c>
      <c r="P367">
        <v>0</v>
      </c>
      <c r="Q367">
        <v>0</v>
      </c>
      <c r="S367">
        <v>0</v>
      </c>
      <c r="T367">
        <v>0</v>
      </c>
      <c r="U367">
        <v>0</v>
      </c>
      <c r="W367" t="s">
        <v>62</v>
      </c>
    </row>
    <row r="368" spans="1:41" x14ac:dyDescent="0.35">
      <c r="A368" t="s">
        <v>45</v>
      </c>
      <c r="B368" t="s">
        <v>891</v>
      </c>
      <c r="C368" t="s">
        <v>47</v>
      </c>
      <c r="D368" t="s">
        <v>445</v>
      </c>
      <c r="E368" t="s">
        <v>445</v>
      </c>
      <c r="F368" t="s">
        <v>142</v>
      </c>
      <c r="G368" t="s">
        <v>473</v>
      </c>
      <c r="H368" t="s">
        <v>933</v>
      </c>
      <c r="J368" t="str">
        <f>HYPERLINK("https://www.facebook.com/454965103328545/posts/795187112639674?comment_id=746723467234664","https://www.facebook.com/454965103328545/posts/795187112639674?comment_id=746723467234664")</f>
        <v>https://www.facebook.com/454965103328545/posts/795187112639674?comment_id=746723467234664</v>
      </c>
      <c r="O368">
        <v>0</v>
      </c>
      <c r="P368">
        <v>0</v>
      </c>
      <c r="Q368">
        <v>0</v>
      </c>
      <c r="S368">
        <v>0</v>
      </c>
      <c r="T368">
        <v>0</v>
      </c>
      <c r="U368">
        <v>0</v>
      </c>
      <c r="W368" t="s">
        <v>62</v>
      </c>
    </row>
    <row r="369" spans="1:42" x14ac:dyDescent="0.35">
      <c r="A369" t="s">
        <v>45</v>
      </c>
      <c r="B369" t="s">
        <v>891</v>
      </c>
      <c r="C369" t="s">
        <v>47</v>
      </c>
      <c r="D369" t="s">
        <v>445</v>
      </c>
      <c r="E369" t="s">
        <v>445</v>
      </c>
      <c r="F369" t="s">
        <v>49</v>
      </c>
      <c r="G369" t="s">
        <v>475</v>
      </c>
      <c r="H369" t="s">
        <v>934</v>
      </c>
      <c r="J369" t="str">
        <f>HYPERLINK("https://www.facebook.com/454965103328545/posts/795187112639674?comment_id=432777645868399","https://www.facebook.com/454965103328545/posts/795187112639674?comment_id=432777645868399")</f>
        <v>https://www.facebook.com/454965103328545/posts/795187112639674?comment_id=432777645868399</v>
      </c>
      <c r="O369">
        <v>0</v>
      </c>
      <c r="P369">
        <v>0</v>
      </c>
      <c r="Q369">
        <v>0</v>
      </c>
      <c r="S369">
        <v>0</v>
      </c>
      <c r="T369">
        <v>0</v>
      </c>
      <c r="U369">
        <v>0</v>
      </c>
      <c r="W369" t="s">
        <v>62</v>
      </c>
      <c r="AP369" t="s">
        <v>101</v>
      </c>
    </row>
    <row r="370" spans="1:42" x14ac:dyDescent="0.35">
      <c r="A370" t="s">
        <v>45</v>
      </c>
      <c r="B370" t="s">
        <v>891</v>
      </c>
      <c r="C370" t="s">
        <v>47</v>
      </c>
      <c r="D370" t="s">
        <v>445</v>
      </c>
      <c r="E370" t="s">
        <v>445</v>
      </c>
      <c r="F370" t="s">
        <v>49</v>
      </c>
      <c r="G370" t="s">
        <v>471</v>
      </c>
      <c r="H370" t="s">
        <v>935</v>
      </c>
      <c r="J370" t="str">
        <f>HYPERLINK("https://www.facebook.com/454965103328545/posts/795187112639674?comment_id=289169060879863","https://www.facebook.com/454965103328545/posts/795187112639674?comment_id=289169060879863")</f>
        <v>https://www.facebook.com/454965103328545/posts/795187112639674?comment_id=289169060879863</v>
      </c>
      <c r="O370">
        <v>0</v>
      </c>
      <c r="P370">
        <v>0</v>
      </c>
      <c r="Q370">
        <v>0</v>
      </c>
      <c r="S370">
        <v>0</v>
      </c>
      <c r="T370">
        <v>0</v>
      </c>
      <c r="U370">
        <v>0</v>
      </c>
      <c r="W370" t="s">
        <v>62</v>
      </c>
    </row>
    <row r="371" spans="1:42" x14ac:dyDescent="0.35">
      <c r="A371" t="s">
        <v>45</v>
      </c>
      <c r="B371" t="s">
        <v>891</v>
      </c>
      <c r="C371" t="s">
        <v>47</v>
      </c>
      <c r="D371" t="s">
        <v>445</v>
      </c>
      <c r="E371" t="s">
        <v>445</v>
      </c>
      <c r="F371" t="s">
        <v>49</v>
      </c>
      <c r="G371" t="s">
        <v>477</v>
      </c>
      <c r="H371" t="s">
        <v>936</v>
      </c>
      <c r="J371" t="str">
        <f>HYPERLINK("https://www.facebook.com/454965103328545/posts/795187112639674?comment_id=943101524030484","https://www.facebook.com/454965103328545/posts/795187112639674?comment_id=943101524030484")</f>
        <v>https://www.facebook.com/454965103328545/posts/795187112639674?comment_id=943101524030484</v>
      </c>
      <c r="O371">
        <v>0</v>
      </c>
      <c r="P371">
        <v>0</v>
      </c>
      <c r="Q371">
        <v>0</v>
      </c>
      <c r="S371">
        <v>0</v>
      </c>
      <c r="T371">
        <v>0</v>
      </c>
      <c r="U371">
        <v>0</v>
      </c>
      <c r="W371" t="s">
        <v>62</v>
      </c>
    </row>
    <row r="372" spans="1:42" x14ac:dyDescent="0.35">
      <c r="A372" t="s">
        <v>45</v>
      </c>
      <c r="B372" t="s">
        <v>891</v>
      </c>
      <c r="C372" t="s">
        <v>47</v>
      </c>
      <c r="D372" t="s">
        <v>445</v>
      </c>
      <c r="E372" t="s">
        <v>445</v>
      </c>
      <c r="F372" t="s">
        <v>49</v>
      </c>
      <c r="G372" t="s">
        <v>477</v>
      </c>
      <c r="H372" t="s">
        <v>937</v>
      </c>
      <c r="J372" t="str">
        <f>HYPERLINK("https://www.facebook.com/454965103328545/posts/795187112639674?comment_id=760386032860847","https://www.facebook.com/454965103328545/posts/795187112639674?comment_id=760386032860847")</f>
        <v>https://www.facebook.com/454965103328545/posts/795187112639674?comment_id=760386032860847</v>
      </c>
      <c r="O372">
        <v>0</v>
      </c>
      <c r="P372">
        <v>0</v>
      </c>
      <c r="Q372">
        <v>0</v>
      </c>
      <c r="S372">
        <v>0</v>
      </c>
      <c r="T372">
        <v>0</v>
      </c>
      <c r="U372">
        <v>0</v>
      </c>
      <c r="W372" t="s">
        <v>62</v>
      </c>
    </row>
    <row r="373" spans="1:42" x14ac:dyDescent="0.35">
      <c r="A373" t="s">
        <v>45</v>
      </c>
      <c r="B373" t="s">
        <v>891</v>
      </c>
      <c r="C373" t="s">
        <v>47</v>
      </c>
      <c r="D373" t="s">
        <v>445</v>
      </c>
      <c r="E373" t="s">
        <v>445</v>
      </c>
      <c r="F373" t="s">
        <v>49</v>
      </c>
      <c r="G373" t="s">
        <v>471</v>
      </c>
      <c r="H373" t="s">
        <v>938</v>
      </c>
      <c r="J373" t="str">
        <f>HYPERLINK("https://www.facebook.com/454965103328545/posts/795187112639674?comment_id=926337432485790","https://www.facebook.com/454965103328545/posts/795187112639674?comment_id=926337432485790")</f>
        <v>https://www.facebook.com/454965103328545/posts/795187112639674?comment_id=926337432485790</v>
      </c>
      <c r="O373">
        <v>0</v>
      </c>
      <c r="P373">
        <v>0</v>
      </c>
      <c r="Q373">
        <v>0</v>
      </c>
      <c r="S373">
        <v>0</v>
      </c>
      <c r="T373">
        <v>0</v>
      </c>
      <c r="U373">
        <v>0</v>
      </c>
      <c r="W373" t="s">
        <v>62</v>
      </c>
    </row>
    <row r="374" spans="1:42" x14ac:dyDescent="0.35">
      <c r="A374" t="s">
        <v>45</v>
      </c>
      <c r="B374" t="s">
        <v>891</v>
      </c>
      <c r="C374" t="s">
        <v>47</v>
      </c>
      <c r="D374" t="s">
        <v>445</v>
      </c>
      <c r="E374" t="s">
        <v>445</v>
      </c>
      <c r="F374" t="s">
        <v>49</v>
      </c>
      <c r="G374" t="s">
        <v>475</v>
      </c>
      <c r="H374" t="s">
        <v>939</v>
      </c>
      <c r="J374" t="str">
        <f>HYPERLINK("https://www.facebook.com/454965103328545/posts/795187112639674?comment_id=1158000455906113","https://www.facebook.com/454965103328545/posts/795187112639674?comment_id=1158000455906113")</f>
        <v>https://www.facebook.com/454965103328545/posts/795187112639674?comment_id=1158000455906113</v>
      </c>
      <c r="O374">
        <v>0</v>
      </c>
      <c r="P374">
        <v>0</v>
      </c>
      <c r="Q374">
        <v>0</v>
      </c>
      <c r="S374">
        <v>0</v>
      </c>
      <c r="T374">
        <v>0</v>
      </c>
      <c r="U374">
        <v>0</v>
      </c>
      <c r="W374" t="s">
        <v>62</v>
      </c>
      <c r="AP374" t="s">
        <v>101</v>
      </c>
    </row>
    <row r="375" spans="1:42" x14ac:dyDescent="0.35">
      <c r="A375" t="s">
        <v>45</v>
      </c>
      <c r="B375" t="s">
        <v>891</v>
      </c>
      <c r="C375" t="s">
        <v>47</v>
      </c>
      <c r="D375" t="s">
        <v>151</v>
      </c>
      <c r="E375" t="s">
        <v>151</v>
      </c>
      <c r="F375" t="s">
        <v>49</v>
      </c>
      <c r="G375" t="s">
        <v>940</v>
      </c>
      <c r="H375" t="s">
        <v>941</v>
      </c>
      <c r="J375" t="str">
        <f>HYPERLINK("https://www.facebook.com/454965103328545/posts/795187112639674?comment_id=759271649632307","https://www.facebook.com/454965103328545/posts/795187112639674?comment_id=759271649632307")</f>
        <v>https://www.facebook.com/454965103328545/posts/795187112639674?comment_id=759271649632307</v>
      </c>
      <c r="O375">
        <v>0</v>
      </c>
      <c r="P375">
        <v>0</v>
      </c>
      <c r="Q375">
        <v>0</v>
      </c>
      <c r="S375">
        <v>0</v>
      </c>
      <c r="T375">
        <v>0</v>
      </c>
      <c r="U375">
        <v>0</v>
      </c>
      <c r="W375" t="s">
        <v>62</v>
      </c>
    </row>
    <row r="376" spans="1:42" x14ac:dyDescent="0.35">
      <c r="A376" t="s">
        <v>45</v>
      </c>
      <c r="B376" t="s">
        <v>891</v>
      </c>
      <c r="C376" t="s">
        <v>139</v>
      </c>
      <c r="D376" t="s">
        <v>942</v>
      </c>
      <c r="E376" t="s">
        <v>943</v>
      </c>
      <c r="F376" t="s">
        <v>49</v>
      </c>
      <c r="G376" t="s">
        <v>944</v>
      </c>
      <c r="H376" t="s">
        <v>945</v>
      </c>
      <c r="J376" t="str">
        <f>HYPERLINK("https://twitter.com/rajendras1819/status/1772587223684129131","https://twitter.com/rajendras1819/status/1772587223684129131")</f>
        <v>https://twitter.com/rajendras1819/status/1772587223684129131</v>
      </c>
      <c r="O376">
        <v>0</v>
      </c>
      <c r="P376">
        <v>0</v>
      </c>
      <c r="Q376">
        <v>262</v>
      </c>
      <c r="R376" t="s">
        <v>946</v>
      </c>
      <c r="S376">
        <v>0</v>
      </c>
      <c r="T376">
        <v>0</v>
      </c>
      <c r="U376">
        <v>0</v>
      </c>
      <c r="W376" t="s">
        <v>552</v>
      </c>
    </row>
    <row r="377" spans="1:42" x14ac:dyDescent="0.35">
      <c r="A377" t="s">
        <v>45</v>
      </c>
      <c r="B377" t="s">
        <v>891</v>
      </c>
      <c r="C377" t="s">
        <v>47</v>
      </c>
      <c r="D377" t="s">
        <v>45</v>
      </c>
      <c r="E377" t="s">
        <v>45</v>
      </c>
      <c r="F377" t="s">
        <v>49</v>
      </c>
      <c r="G377" t="s">
        <v>947</v>
      </c>
      <c r="H377" t="s">
        <v>948</v>
      </c>
      <c r="J377" t="str">
        <f>HYPERLINK("https://www.facebook.com/357267201017935_795187112639674","https://www.facebook.com/357267201017935_795187112639674")</f>
        <v>https://www.facebook.com/357267201017935_795187112639674</v>
      </c>
      <c r="O377">
        <v>0</v>
      </c>
      <c r="P377">
        <v>0</v>
      </c>
      <c r="Q377">
        <v>0</v>
      </c>
      <c r="S377">
        <v>20</v>
      </c>
      <c r="T377">
        <v>104</v>
      </c>
      <c r="U377">
        <v>15</v>
      </c>
      <c r="W377" t="s">
        <v>106</v>
      </c>
    </row>
    <row r="378" spans="1:42" x14ac:dyDescent="0.35">
      <c r="A378" t="s">
        <v>45</v>
      </c>
      <c r="B378" t="s">
        <v>891</v>
      </c>
      <c r="C378" t="s">
        <v>63</v>
      </c>
      <c r="D378" t="s">
        <v>186</v>
      </c>
      <c r="E378" t="s">
        <v>186</v>
      </c>
      <c r="F378" t="s">
        <v>49</v>
      </c>
      <c r="G378" t="s">
        <v>947</v>
      </c>
      <c r="H378" t="s">
        <v>949</v>
      </c>
      <c r="J378" t="str">
        <f>HYPERLINK("https://www.instagram.com/p/C4-dCbPqjis/","https://www.instagram.com/p/C4-dCbPqjis/")</f>
        <v>https://www.instagram.com/p/C4-dCbPqjis/</v>
      </c>
      <c r="O378">
        <v>0</v>
      </c>
      <c r="P378">
        <v>0</v>
      </c>
      <c r="Q378">
        <v>0</v>
      </c>
      <c r="S378">
        <v>5</v>
      </c>
      <c r="T378">
        <v>105</v>
      </c>
      <c r="U378">
        <v>0</v>
      </c>
      <c r="W378" t="s">
        <v>106</v>
      </c>
    </row>
    <row r="379" spans="1:42" x14ac:dyDescent="0.35">
      <c r="A379" t="s">
        <v>45</v>
      </c>
      <c r="B379" t="s">
        <v>891</v>
      </c>
      <c r="C379" t="s">
        <v>139</v>
      </c>
      <c r="D379" t="s">
        <v>190</v>
      </c>
      <c r="E379" t="s">
        <v>45</v>
      </c>
      <c r="F379" t="s">
        <v>49</v>
      </c>
      <c r="G379" t="s">
        <v>944</v>
      </c>
      <c r="H379" t="s">
        <v>950</v>
      </c>
      <c r="J379" t="str">
        <f>HYPERLINK("https://twitter.com/FinoPaymntsBank/status/1772586799518675392","https://twitter.com/FinoPaymntsBank/status/1772586799518675392")</f>
        <v>https://twitter.com/FinoPaymntsBank/status/1772586799518675392</v>
      </c>
      <c r="K379" t="s">
        <v>145</v>
      </c>
      <c r="O379">
        <v>0</v>
      </c>
      <c r="P379">
        <v>0</v>
      </c>
      <c r="Q379">
        <v>8479</v>
      </c>
      <c r="R379" t="s">
        <v>193</v>
      </c>
      <c r="S379">
        <v>0</v>
      </c>
      <c r="T379">
        <v>0</v>
      </c>
      <c r="U379">
        <v>0</v>
      </c>
      <c r="W379" t="s">
        <v>146</v>
      </c>
    </row>
    <row r="380" spans="1:42" x14ac:dyDescent="0.35">
      <c r="A380" t="s">
        <v>45</v>
      </c>
      <c r="B380" t="s">
        <v>891</v>
      </c>
      <c r="C380" t="s">
        <v>139</v>
      </c>
      <c r="D380" t="s">
        <v>951</v>
      </c>
      <c r="E380" t="s">
        <v>952</v>
      </c>
      <c r="F380" t="s">
        <v>142</v>
      </c>
      <c r="G380" t="s">
        <v>953</v>
      </c>
      <c r="H380" t="s">
        <v>954</v>
      </c>
      <c r="J380" t="str">
        <f>HYPERLINK("https://twitter.com/RajuNagula18/status/1772583022635663426","https://twitter.com/RajuNagula18/status/1772583022635663426")</f>
        <v>https://twitter.com/RajuNagula18/status/1772583022635663426</v>
      </c>
      <c r="K380" t="s">
        <v>145</v>
      </c>
      <c r="O380">
        <v>0</v>
      </c>
      <c r="P380">
        <v>0</v>
      </c>
      <c r="Q380">
        <v>32</v>
      </c>
      <c r="S380">
        <v>0</v>
      </c>
      <c r="T380">
        <v>0</v>
      </c>
      <c r="U380">
        <v>0</v>
      </c>
      <c r="W380" t="s">
        <v>146</v>
      </c>
      <c r="AP380" t="s">
        <v>147</v>
      </c>
    </row>
    <row r="381" spans="1:42" x14ac:dyDescent="0.35">
      <c r="A381" t="s">
        <v>45</v>
      </c>
      <c r="B381" t="s">
        <v>891</v>
      </c>
      <c r="C381" t="s">
        <v>58</v>
      </c>
      <c r="D381" t="s">
        <v>955</v>
      </c>
      <c r="E381" t="s">
        <v>955</v>
      </c>
      <c r="F381" t="s">
        <v>142</v>
      </c>
      <c r="G381" t="s">
        <v>956</v>
      </c>
      <c r="H381" t="s">
        <v>957</v>
      </c>
      <c r="J381" t="str">
        <f>HYPERLINK("https://www.youtube.com/watch?v=ocatbwgVzTg","https://www.youtube.com/watch?v=ocatbwgVzTg")</f>
        <v>https://www.youtube.com/watch?v=ocatbwgVzTg</v>
      </c>
      <c r="O381">
        <v>0</v>
      </c>
      <c r="P381">
        <v>0</v>
      </c>
      <c r="Q381">
        <v>0</v>
      </c>
      <c r="S381">
        <v>0</v>
      </c>
      <c r="T381">
        <v>0</v>
      </c>
      <c r="U381">
        <v>0</v>
      </c>
      <c r="W381" t="s">
        <v>106</v>
      </c>
      <c r="AP381" t="s">
        <v>147</v>
      </c>
    </row>
    <row r="382" spans="1:42" x14ac:dyDescent="0.35">
      <c r="A382" t="s">
        <v>45</v>
      </c>
      <c r="B382" t="s">
        <v>891</v>
      </c>
      <c r="C382" t="s">
        <v>63</v>
      </c>
      <c r="D382" t="s">
        <v>958</v>
      </c>
      <c r="E382" t="s">
        <v>958</v>
      </c>
      <c r="F382" t="s">
        <v>49</v>
      </c>
      <c r="G382" t="s">
        <v>959</v>
      </c>
      <c r="H382" t="s">
        <v>960</v>
      </c>
      <c r="J382" t="str">
        <f>HYPERLINK("https://www.instagram.com/reel/C40J758i1B-/","https://www.instagram.com/reel/C40J758i1B-/")</f>
        <v>https://www.instagram.com/reel/C40J758i1B-/</v>
      </c>
      <c r="O382">
        <v>0</v>
      </c>
      <c r="P382">
        <v>0</v>
      </c>
      <c r="Q382">
        <v>0</v>
      </c>
      <c r="S382">
        <v>0</v>
      </c>
      <c r="T382">
        <v>0</v>
      </c>
      <c r="U382">
        <v>0</v>
      </c>
      <c r="W382" t="s">
        <v>62</v>
      </c>
    </row>
    <row r="383" spans="1:42" x14ac:dyDescent="0.35">
      <c r="A383" t="s">
        <v>45</v>
      </c>
      <c r="B383" t="s">
        <v>891</v>
      </c>
      <c r="C383" t="s">
        <v>47</v>
      </c>
      <c r="D383" t="s">
        <v>961</v>
      </c>
      <c r="E383" t="s">
        <v>961</v>
      </c>
      <c r="F383" t="s">
        <v>49</v>
      </c>
      <c r="G383" t="s">
        <v>962</v>
      </c>
      <c r="H383" t="s">
        <v>963</v>
      </c>
      <c r="J383" t="str">
        <f>HYPERLINK("https://www.facebook.com/454965103328545/posts/792750152883370?comment_id=291177237332514&amp;reply_comment_id=432835055926784","https://www.facebook.com/454965103328545/posts/792750152883370?comment_id=291177237332514&amp;reply_comment_id=432835055926784")</f>
        <v>https://www.facebook.com/454965103328545/posts/792750152883370?comment_id=291177237332514&amp;reply_comment_id=432835055926784</v>
      </c>
      <c r="O383">
        <v>0</v>
      </c>
      <c r="P383">
        <v>0</v>
      </c>
      <c r="Q383">
        <v>0</v>
      </c>
      <c r="S383">
        <v>0</v>
      </c>
      <c r="T383">
        <v>0</v>
      </c>
      <c r="U383">
        <v>0</v>
      </c>
      <c r="W383" t="s">
        <v>62</v>
      </c>
    </row>
    <row r="384" spans="1:42" x14ac:dyDescent="0.35">
      <c r="A384" t="s">
        <v>45</v>
      </c>
      <c r="B384" t="s">
        <v>891</v>
      </c>
      <c r="C384" t="s">
        <v>47</v>
      </c>
      <c r="D384" t="s">
        <v>45</v>
      </c>
      <c r="E384" t="s">
        <v>45</v>
      </c>
      <c r="F384" t="s">
        <v>49</v>
      </c>
      <c r="G384" t="s">
        <v>854</v>
      </c>
      <c r="H384" t="s">
        <v>964</v>
      </c>
      <c r="J384" t="str">
        <f>HYPERLINK("https://www.facebook.com/357267201017935_795263512632034","https://www.facebook.com/357267201017935_795263512632034")</f>
        <v>https://www.facebook.com/357267201017935_795263512632034</v>
      </c>
      <c r="O384">
        <v>0</v>
      </c>
      <c r="P384">
        <v>0</v>
      </c>
      <c r="Q384">
        <v>0</v>
      </c>
      <c r="S384">
        <v>15</v>
      </c>
      <c r="T384">
        <v>47</v>
      </c>
      <c r="U384">
        <v>8</v>
      </c>
      <c r="W384" t="s">
        <v>106</v>
      </c>
    </row>
    <row r="385" spans="1:45" x14ac:dyDescent="0.35">
      <c r="A385" t="s">
        <v>45</v>
      </c>
      <c r="B385" t="s">
        <v>891</v>
      </c>
      <c r="C385" t="s">
        <v>102</v>
      </c>
      <c r="D385" t="s">
        <v>965</v>
      </c>
      <c r="E385" t="s">
        <v>965</v>
      </c>
      <c r="F385" t="s">
        <v>49</v>
      </c>
      <c r="G385" t="s">
        <v>966</v>
      </c>
      <c r="H385" t="s">
        <v>967</v>
      </c>
      <c r="J385" t="str">
        <f>HYPERLINK("https://www.linkedin.com/feed/update/urn:li:share:7178312987718336512","https://www.linkedin.com/feed/update/urn:li:share:7178312987718336512")</f>
        <v>https://www.linkedin.com/feed/update/urn:li:share:7178312987718336512</v>
      </c>
      <c r="O385">
        <v>0</v>
      </c>
      <c r="P385">
        <v>0</v>
      </c>
      <c r="Q385">
        <v>0</v>
      </c>
      <c r="S385">
        <v>0</v>
      </c>
      <c r="T385">
        <v>0</v>
      </c>
      <c r="U385">
        <v>0</v>
      </c>
      <c r="W385" t="s">
        <v>106</v>
      </c>
      <c r="AP385" t="s">
        <v>101</v>
      </c>
    </row>
    <row r="386" spans="1:45" x14ac:dyDescent="0.35">
      <c r="A386" t="s">
        <v>45</v>
      </c>
      <c r="B386" t="s">
        <v>891</v>
      </c>
      <c r="C386" t="s">
        <v>47</v>
      </c>
      <c r="D386" t="s">
        <v>45</v>
      </c>
      <c r="E386" t="s">
        <v>45</v>
      </c>
      <c r="F386" t="s">
        <v>49</v>
      </c>
      <c r="G386" t="s">
        <v>615</v>
      </c>
      <c r="H386" t="s">
        <v>968</v>
      </c>
      <c r="J386" t="str">
        <f>HYPERLINK("https://www.facebook.com/357267201017935_795257599299292","https://www.facebook.com/357267201017935_795257599299292")</f>
        <v>https://www.facebook.com/357267201017935_795257599299292</v>
      </c>
      <c r="O386">
        <v>0</v>
      </c>
      <c r="P386">
        <v>0</v>
      </c>
      <c r="Q386">
        <v>0</v>
      </c>
      <c r="S386">
        <v>15</v>
      </c>
      <c r="T386">
        <v>45</v>
      </c>
      <c r="U386">
        <v>4</v>
      </c>
      <c r="W386" t="s">
        <v>106</v>
      </c>
      <c r="AO386" t="s">
        <v>67</v>
      </c>
    </row>
    <row r="387" spans="1:45" x14ac:dyDescent="0.35">
      <c r="A387" t="s">
        <v>45</v>
      </c>
      <c r="B387" t="s">
        <v>891</v>
      </c>
      <c r="C387" t="s">
        <v>47</v>
      </c>
      <c r="D387" t="s">
        <v>969</v>
      </c>
      <c r="E387" t="s">
        <v>969</v>
      </c>
      <c r="F387" t="s">
        <v>142</v>
      </c>
      <c r="G387" t="s">
        <v>970</v>
      </c>
      <c r="H387" t="s">
        <v>971</v>
      </c>
      <c r="J387" t="str">
        <f>HYPERLINK("https://www.facebook.com/357267201017935/inbox/7200751730002747/","https://www.facebook.com/357267201017935/inbox/7200751730002747/")</f>
        <v>https://www.facebook.com/357267201017935/inbox/7200751730002747/</v>
      </c>
      <c r="O387">
        <v>0</v>
      </c>
      <c r="P387">
        <v>0</v>
      </c>
      <c r="Q387">
        <v>0</v>
      </c>
      <c r="S387">
        <v>0</v>
      </c>
      <c r="T387">
        <v>0</v>
      </c>
      <c r="U387">
        <v>0</v>
      </c>
      <c r="W387" t="s">
        <v>52</v>
      </c>
    </row>
    <row r="388" spans="1:45" x14ac:dyDescent="0.35">
      <c r="A388" t="s">
        <v>45</v>
      </c>
      <c r="B388" t="s">
        <v>891</v>
      </c>
      <c r="C388" t="s">
        <v>47</v>
      </c>
      <c r="D388" t="s">
        <v>972</v>
      </c>
      <c r="E388" t="s">
        <v>972</v>
      </c>
      <c r="F388" t="s">
        <v>49</v>
      </c>
      <c r="G388" t="s">
        <v>973</v>
      </c>
      <c r="H388" t="s">
        <v>974</v>
      </c>
      <c r="J388" t="str">
        <f>HYPERLINK("https://www.facebook.com/357267201017935/inbox/7199051450172775/","https://www.facebook.com/357267201017935/inbox/7199051450172775/")</f>
        <v>https://www.facebook.com/357267201017935/inbox/7199051450172775/</v>
      </c>
      <c r="O388">
        <v>0</v>
      </c>
      <c r="P388">
        <v>0</v>
      </c>
      <c r="Q388">
        <v>0</v>
      </c>
      <c r="S388">
        <v>0</v>
      </c>
      <c r="T388">
        <v>0</v>
      </c>
      <c r="U388">
        <v>0</v>
      </c>
      <c r="W388" t="s">
        <v>52</v>
      </c>
    </row>
    <row r="389" spans="1:45" x14ac:dyDescent="0.35">
      <c r="A389" t="s">
        <v>45</v>
      </c>
      <c r="B389" t="s">
        <v>891</v>
      </c>
      <c r="C389" t="s">
        <v>47</v>
      </c>
      <c r="D389" t="s">
        <v>972</v>
      </c>
      <c r="E389" t="s">
        <v>972</v>
      </c>
      <c r="F389" t="s">
        <v>49</v>
      </c>
      <c r="G389" t="s">
        <v>975</v>
      </c>
      <c r="H389" t="s">
        <v>976</v>
      </c>
      <c r="J389" t="str">
        <f>HYPERLINK("https://www.facebook.com/357267201017935/inbox/7199051450172775/","https://www.facebook.com/357267201017935/inbox/7199051450172775/")</f>
        <v>https://www.facebook.com/357267201017935/inbox/7199051450172775/</v>
      </c>
      <c r="O389">
        <v>0</v>
      </c>
      <c r="P389">
        <v>0</v>
      </c>
      <c r="Q389">
        <v>0</v>
      </c>
      <c r="S389">
        <v>0</v>
      </c>
      <c r="T389">
        <v>0</v>
      </c>
      <c r="U389">
        <v>0</v>
      </c>
      <c r="W389" t="s">
        <v>52</v>
      </c>
    </row>
    <row r="390" spans="1:45" x14ac:dyDescent="0.35">
      <c r="A390" t="s">
        <v>45</v>
      </c>
      <c r="B390" t="s">
        <v>891</v>
      </c>
      <c r="C390" t="s">
        <v>47</v>
      </c>
      <c r="D390" t="s">
        <v>45</v>
      </c>
      <c r="E390" t="s">
        <v>45</v>
      </c>
      <c r="F390" t="s">
        <v>49</v>
      </c>
      <c r="G390" t="s">
        <v>977</v>
      </c>
      <c r="H390" t="s">
        <v>978</v>
      </c>
      <c r="J390" t="str">
        <f>HYPERLINK("https://www.facebook.com/357267201017935/inbox/7199051450172775/","https://www.facebook.com/357267201017935/inbox/7199051450172775/")</f>
        <v>https://www.facebook.com/357267201017935/inbox/7199051450172775/</v>
      </c>
      <c r="O390">
        <v>0</v>
      </c>
      <c r="P390">
        <v>0</v>
      </c>
      <c r="Q390">
        <v>0</v>
      </c>
      <c r="S390">
        <v>0</v>
      </c>
      <c r="T390">
        <v>0</v>
      </c>
      <c r="U390">
        <v>0</v>
      </c>
      <c r="W390" t="s">
        <v>52</v>
      </c>
    </row>
    <row r="391" spans="1:45" x14ac:dyDescent="0.35">
      <c r="A391" t="s">
        <v>45</v>
      </c>
      <c r="B391" t="s">
        <v>891</v>
      </c>
      <c r="C391" t="s">
        <v>47</v>
      </c>
      <c r="D391" t="s">
        <v>45</v>
      </c>
      <c r="E391" t="s">
        <v>45</v>
      </c>
      <c r="F391" t="s">
        <v>49</v>
      </c>
      <c r="G391" t="s">
        <v>977</v>
      </c>
      <c r="H391" t="s">
        <v>979</v>
      </c>
      <c r="J391" t="str">
        <f>HYPERLINK("https://www.facebook.com/357267201017935/inbox/7199051450172775/","https://www.facebook.com/357267201017935/inbox/7199051450172775/")</f>
        <v>https://www.facebook.com/357267201017935/inbox/7199051450172775/</v>
      </c>
      <c r="O391">
        <v>0</v>
      </c>
      <c r="P391">
        <v>0</v>
      </c>
      <c r="Q391">
        <v>0</v>
      </c>
      <c r="S391">
        <v>0</v>
      </c>
      <c r="T391">
        <v>0</v>
      </c>
      <c r="U391">
        <v>0</v>
      </c>
      <c r="W391" t="s">
        <v>52</v>
      </c>
    </row>
    <row r="392" spans="1:45" x14ac:dyDescent="0.35">
      <c r="A392" t="s">
        <v>45</v>
      </c>
      <c r="B392" t="s">
        <v>891</v>
      </c>
      <c r="C392" t="s">
        <v>47</v>
      </c>
      <c r="D392" t="s">
        <v>45</v>
      </c>
      <c r="E392" t="s">
        <v>45</v>
      </c>
      <c r="F392" t="s">
        <v>49</v>
      </c>
      <c r="G392" t="s">
        <v>980</v>
      </c>
      <c r="H392" t="s">
        <v>981</v>
      </c>
      <c r="J392" t="str">
        <f>HYPERLINK("https://www.facebook.com/454965103328545/posts/792750152883370?comment_id=758921066380935&amp;reply_comment_id=2346340109052660","https://www.facebook.com/454965103328545/posts/792750152883370?comment_id=758921066380935&amp;reply_comment_id=2346340109052660")</f>
        <v>https://www.facebook.com/454965103328545/posts/792750152883370?comment_id=758921066380935&amp;reply_comment_id=2346340109052660</v>
      </c>
      <c r="O392">
        <v>0</v>
      </c>
      <c r="P392">
        <v>0</v>
      </c>
      <c r="Q392">
        <v>0</v>
      </c>
      <c r="S392">
        <v>0</v>
      </c>
      <c r="T392">
        <v>0</v>
      </c>
      <c r="U392">
        <v>0</v>
      </c>
      <c r="W392" t="s">
        <v>62</v>
      </c>
    </row>
    <row r="393" spans="1:45" x14ac:dyDescent="0.35">
      <c r="A393" t="s">
        <v>45</v>
      </c>
      <c r="B393" t="s">
        <v>891</v>
      </c>
      <c r="C393" t="s">
        <v>47</v>
      </c>
      <c r="D393" t="s">
        <v>45</v>
      </c>
      <c r="E393" t="s">
        <v>45</v>
      </c>
      <c r="F393" t="s">
        <v>49</v>
      </c>
      <c r="G393" t="s">
        <v>982</v>
      </c>
      <c r="H393" t="s">
        <v>983</v>
      </c>
      <c r="J393" t="str">
        <f>HYPERLINK("https://www.facebook.com/357267201017935/inbox/7200751730002747/","https://www.facebook.com/357267201017935/inbox/7200751730002747/")</f>
        <v>https://www.facebook.com/357267201017935/inbox/7200751730002747/</v>
      </c>
      <c r="O393">
        <v>0</v>
      </c>
      <c r="P393">
        <v>0</v>
      </c>
      <c r="Q393">
        <v>0</v>
      </c>
      <c r="S393">
        <v>0</v>
      </c>
      <c r="T393">
        <v>0</v>
      </c>
      <c r="U393">
        <v>0</v>
      </c>
      <c r="W393" t="s">
        <v>52</v>
      </c>
    </row>
    <row r="394" spans="1:45" x14ac:dyDescent="0.35">
      <c r="A394" t="s">
        <v>45</v>
      </c>
      <c r="B394" t="s">
        <v>891</v>
      </c>
      <c r="C394" t="s">
        <v>47</v>
      </c>
      <c r="D394" t="s">
        <v>45</v>
      </c>
      <c r="E394" t="s">
        <v>45</v>
      </c>
      <c r="F394" t="s">
        <v>49</v>
      </c>
      <c r="G394" t="s">
        <v>984</v>
      </c>
      <c r="H394" t="s">
        <v>985</v>
      </c>
      <c r="J394" t="str">
        <f>HYPERLINK("https://www.facebook.com/357267201017935/inbox/7200942969983623/","https://www.facebook.com/357267201017935/inbox/7200942969983623/")</f>
        <v>https://www.facebook.com/357267201017935/inbox/7200942969983623/</v>
      </c>
      <c r="O394">
        <v>0</v>
      </c>
      <c r="P394">
        <v>0</v>
      </c>
      <c r="Q394">
        <v>0</v>
      </c>
      <c r="S394">
        <v>0</v>
      </c>
      <c r="T394">
        <v>0</v>
      </c>
      <c r="U394">
        <v>0</v>
      </c>
      <c r="W394" t="s">
        <v>52</v>
      </c>
    </row>
    <row r="395" spans="1:45" x14ac:dyDescent="0.35">
      <c r="A395" t="s">
        <v>45</v>
      </c>
      <c r="B395" t="s">
        <v>891</v>
      </c>
      <c r="C395" t="s">
        <v>47</v>
      </c>
      <c r="D395" t="s">
        <v>45</v>
      </c>
      <c r="E395" t="s">
        <v>45</v>
      </c>
      <c r="F395" t="s">
        <v>49</v>
      </c>
      <c r="G395" t="s">
        <v>986</v>
      </c>
      <c r="H395" t="s">
        <v>987</v>
      </c>
      <c r="J395" t="str">
        <f>HYPERLINK("https://www.facebook.com/357267201017935/inbox/7200942969983623/","https://www.facebook.com/357267201017935/inbox/7200942969983623/")</f>
        <v>https://www.facebook.com/357267201017935/inbox/7200942969983623/</v>
      </c>
      <c r="O395">
        <v>0</v>
      </c>
      <c r="P395">
        <v>0</v>
      </c>
      <c r="Q395">
        <v>0</v>
      </c>
      <c r="S395">
        <v>0</v>
      </c>
      <c r="T395">
        <v>0</v>
      </c>
      <c r="U395">
        <v>0</v>
      </c>
      <c r="W395" t="s">
        <v>52</v>
      </c>
    </row>
    <row r="396" spans="1:45" x14ac:dyDescent="0.35">
      <c r="A396" t="s">
        <v>45</v>
      </c>
      <c r="B396" t="s">
        <v>891</v>
      </c>
      <c r="C396" t="s">
        <v>47</v>
      </c>
      <c r="D396" t="s">
        <v>923</v>
      </c>
      <c r="E396" t="s">
        <v>923</v>
      </c>
      <c r="F396" t="s">
        <v>49</v>
      </c>
      <c r="G396" t="s">
        <v>988</v>
      </c>
      <c r="H396" t="s">
        <v>989</v>
      </c>
      <c r="J396" t="str">
        <f>HYPERLINK("https://www.facebook.com/357267201017935/inbox/7200942969983623/","https://www.facebook.com/357267201017935/inbox/7200942969983623/")</f>
        <v>https://www.facebook.com/357267201017935/inbox/7200942969983623/</v>
      </c>
      <c r="O396">
        <v>0</v>
      </c>
      <c r="P396">
        <v>0</v>
      </c>
      <c r="Q396">
        <v>0</v>
      </c>
      <c r="S396">
        <v>0</v>
      </c>
      <c r="T396">
        <v>0</v>
      </c>
      <c r="U396">
        <v>0</v>
      </c>
      <c r="W396" t="s">
        <v>52</v>
      </c>
      <c r="AS396" t="s">
        <v>375</v>
      </c>
    </row>
    <row r="397" spans="1:45" x14ac:dyDescent="0.35">
      <c r="A397" t="s">
        <v>45</v>
      </c>
      <c r="B397" t="s">
        <v>891</v>
      </c>
      <c r="C397" t="s">
        <v>47</v>
      </c>
      <c r="D397" t="s">
        <v>923</v>
      </c>
      <c r="E397" t="s">
        <v>923</v>
      </c>
      <c r="F397" t="s">
        <v>49</v>
      </c>
      <c r="G397" t="s">
        <v>373</v>
      </c>
      <c r="H397" t="s">
        <v>990</v>
      </c>
      <c r="J397" t="str">
        <f>HYPERLINK("https://www.facebook.com/357267201017935/inbox/7200942969983623/","https://www.facebook.com/357267201017935/inbox/7200942969983623/")</f>
        <v>https://www.facebook.com/357267201017935/inbox/7200942969983623/</v>
      </c>
      <c r="O397">
        <v>0</v>
      </c>
      <c r="P397">
        <v>0</v>
      </c>
      <c r="Q397">
        <v>0</v>
      </c>
      <c r="S397">
        <v>0</v>
      </c>
      <c r="T397">
        <v>0</v>
      </c>
      <c r="U397">
        <v>0</v>
      </c>
      <c r="W397" t="s">
        <v>52</v>
      </c>
      <c r="AS397" t="s">
        <v>375</v>
      </c>
    </row>
    <row r="398" spans="1:45" x14ac:dyDescent="0.35">
      <c r="A398" t="s">
        <v>45</v>
      </c>
      <c r="B398" t="s">
        <v>891</v>
      </c>
      <c r="C398" t="s">
        <v>102</v>
      </c>
      <c r="D398" t="s">
        <v>991</v>
      </c>
      <c r="E398" t="s">
        <v>991</v>
      </c>
      <c r="F398" t="s">
        <v>49</v>
      </c>
      <c r="G398" t="s">
        <v>992</v>
      </c>
      <c r="H398" t="s">
        <v>993</v>
      </c>
      <c r="J398" t="str">
        <f>HYPERLINK("https://www.linkedin.com/feed/update/urn:li:activity:7178246126905532416","https://www.linkedin.com/feed/update/urn:li:activity:7178246126905532416")</f>
        <v>https://www.linkedin.com/feed/update/urn:li:activity:7178246126905532416</v>
      </c>
      <c r="O398">
        <v>0</v>
      </c>
      <c r="P398">
        <v>0</v>
      </c>
      <c r="Q398">
        <v>0</v>
      </c>
      <c r="S398">
        <v>0</v>
      </c>
      <c r="T398">
        <v>0</v>
      </c>
      <c r="U398">
        <v>0</v>
      </c>
      <c r="W398" t="s">
        <v>106</v>
      </c>
      <c r="AS398" t="s">
        <v>375</v>
      </c>
    </row>
    <row r="399" spans="1:45" x14ac:dyDescent="0.35">
      <c r="A399" t="s">
        <v>45</v>
      </c>
      <c r="B399" t="s">
        <v>891</v>
      </c>
      <c r="C399" t="s">
        <v>47</v>
      </c>
      <c r="D399" t="s">
        <v>994</v>
      </c>
      <c r="E399" t="s">
        <v>994</v>
      </c>
      <c r="F399" t="s">
        <v>49</v>
      </c>
      <c r="G399" t="s">
        <v>253</v>
      </c>
      <c r="H399" t="s">
        <v>995</v>
      </c>
      <c r="J399" t="str">
        <f>HYPERLINK("https://www.facebook.com/357267201017935/inbox/7200773863333867/","https://www.facebook.com/357267201017935/inbox/7200773863333867/")</f>
        <v>https://www.facebook.com/357267201017935/inbox/7200773863333867/</v>
      </c>
      <c r="O399">
        <v>0</v>
      </c>
      <c r="P399">
        <v>0</v>
      </c>
      <c r="Q399">
        <v>0</v>
      </c>
      <c r="S399">
        <v>0</v>
      </c>
      <c r="T399">
        <v>0</v>
      </c>
      <c r="U399">
        <v>0</v>
      </c>
      <c r="W399" t="s">
        <v>52</v>
      </c>
    </row>
    <row r="400" spans="1:45" x14ac:dyDescent="0.35">
      <c r="A400" t="s">
        <v>45</v>
      </c>
      <c r="B400" t="s">
        <v>891</v>
      </c>
      <c r="C400" t="s">
        <v>47</v>
      </c>
      <c r="D400" t="s">
        <v>969</v>
      </c>
      <c r="E400" t="s">
        <v>969</v>
      </c>
      <c r="F400" t="s">
        <v>142</v>
      </c>
      <c r="G400" t="s">
        <v>996</v>
      </c>
      <c r="H400" t="s">
        <v>997</v>
      </c>
      <c r="J400" t="str">
        <f>HYPERLINK("https://www.facebook.com/357267201017935/inbox/7200751730002747/","https://www.facebook.com/357267201017935/inbox/7200751730002747/")</f>
        <v>https://www.facebook.com/357267201017935/inbox/7200751730002747/</v>
      </c>
      <c r="O400">
        <v>0</v>
      </c>
      <c r="P400">
        <v>0</v>
      </c>
      <c r="Q400">
        <v>0</v>
      </c>
      <c r="S400">
        <v>0</v>
      </c>
      <c r="T400">
        <v>0</v>
      </c>
      <c r="U400">
        <v>0</v>
      </c>
      <c r="W400" t="s">
        <v>52</v>
      </c>
    </row>
    <row r="401" spans="1:45" x14ac:dyDescent="0.35">
      <c r="A401" t="s">
        <v>45</v>
      </c>
      <c r="B401" t="s">
        <v>891</v>
      </c>
      <c r="C401" t="s">
        <v>47</v>
      </c>
      <c r="D401" t="s">
        <v>969</v>
      </c>
      <c r="E401" t="s">
        <v>969</v>
      </c>
      <c r="F401" t="s">
        <v>49</v>
      </c>
      <c r="G401" t="s">
        <v>50</v>
      </c>
      <c r="H401" t="s">
        <v>998</v>
      </c>
      <c r="J401" t="str">
        <f>HYPERLINK("https://www.facebook.com/357267201017935/inbox/7200751730002747/","https://www.facebook.com/357267201017935/inbox/7200751730002747/")</f>
        <v>https://www.facebook.com/357267201017935/inbox/7200751730002747/</v>
      </c>
      <c r="O401">
        <v>0</v>
      </c>
      <c r="P401">
        <v>0</v>
      </c>
      <c r="Q401">
        <v>0</v>
      </c>
      <c r="S401">
        <v>0</v>
      </c>
      <c r="T401">
        <v>0</v>
      </c>
      <c r="U401">
        <v>0</v>
      </c>
      <c r="W401" t="s">
        <v>52</v>
      </c>
      <c r="AS401" t="s">
        <v>375</v>
      </c>
    </row>
    <row r="402" spans="1:45" x14ac:dyDescent="0.35">
      <c r="A402" t="s">
        <v>45</v>
      </c>
      <c r="B402" t="s">
        <v>891</v>
      </c>
      <c r="C402" t="s">
        <v>47</v>
      </c>
      <c r="D402" t="s">
        <v>999</v>
      </c>
      <c r="E402" t="s">
        <v>999</v>
      </c>
      <c r="F402" t="s">
        <v>49</v>
      </c>
      <c r="G402" t="s">
        <v>1000</v>
      </c>
      <c r="H402" t="s">
        <v>1001</v>
      </c>
      <c r="J402" t="str">
        <f>HYPERLINK("https://www.facebook.com/454965103328545/posts/771906841634368?comment_id=3909350729284795","https://www.facebook.com/454965103328545/posts/771906841634368?comment_id=3909350729284795")</f>
        <v>https://www.facebook.com/454965103328545/posts/771906841634368?comment_id=3909350729284795</v>
      </c>
      <c r="O402">
        <v>0</v>
      </c>
      <c r="P402">
        <v>0</v>
      </c>
      <c r="Q402">
        <v>0</v>
      </c>
      <c r="S402">
        <v>0</v>
      </c>
      <c r="T402">
        <v>0</v>
      </c>
      <c r="U402">
        <v>0</v>
      </c>
      <c r="W402" t="s">
        <v>62</v>
      </c>
    </row>
    <row r="403" spans="1:45" x14ac:dyDescent="0.35">
      <c r="A403" t="s">
        <v>45</v>
      </c>
      <c r="B403" t="s">
        <v>891</v>
      </c>
      <c r="C403" t="s">
        <v>58</v>
      </c>
      <c r="D403" t="s">
        <v>1002</v>
      </c>
      <c r="E403" t="s">
        <v>1002</v>
      </c>
      <c r="F403" t="s">
        <v>76</v>
      </c>
      <c r="G403" t="s">
        <v>1003</v>
      </c>
      <c r="H403" t="s">
        <v>1004</v>
      </c>
      <c r="J403" t="str">
        <f>HYPERLINK("https://www.youtube.com/watch?v=ECneuubPUck","https://www.youtube.com/watch?v=ECneuubPUck")</f>
        <v>https://www.youtube.com/watch?v=ECneuubPUck</v>
      </c>
      <c r="O403">
        <v>0</v>
      </c>
      <c r="P403">
        <v>0</v>
      </c>
      <c r="Q403">
        <v>0</v>
      </c>
      <c r="S403">
        <v>0</v>
      </c>
      <c r="T403">
        <v>0</v>
      </c>
      <c r="U403">
        <v>0</v>
      </c>
      <c r="W403" t="s">
        <v>106</v>
      </c>
    </row>
    <row r="404" spans="1:45" x14ac:dyDescent="0.35">
      <c r="A404" t="s">
        <v>45</v>
      </c>
      <c r="B404" t="s">
        <v>891</v>
      </c>
      <c r="C404" t="s">
        <v>47</v>
      </c>
      <c r="D404" t="s">
        <v>879</v>
      </c>
      <c r="E404" t="s">
        <v>879</v>
      </c>
      <c r="F404" t="s">
        <v>49</v>
      </c>
      <c r="G404" t="s">
        <v>1005</v>
      </c>
      <c r="H404" t="s">
        <v>1006</v>
      </c>
      <c r="J404" t="str">
        <f>HYPERLINK("https://www.facebook.com/454965103328545/posts/792750152883370?comment_id=758921066380935","https://www.facebook.com/454965103328545/posts/792750152883370?comment_id=758921066380935")</f>
        <v>https://www.facebook.com/454965103328545/posts/792750152883370?comment_id=758921066380935</v>
      </c>
      <c r="O404">
        <v>0</v>
      </c>
      <c r="P404">
        <v>0</v>
      </c>
      <c r="Q404">
        <v>0</v>
      </c>
      <c r="S404">
        <v>0</v>
      </c>
      <c r="T404">
        <v>0</v>
      </c>
      <c r="U404">
        <v>0</v>
      </c>
      <c r="W404" t="s">
        <v>62</v>
      </c>
      <c r="AS404" t="s">
        <v>375</v>
      </c>
    </row>
    <row r="405" spans="1:45" x14ac:dyDescent="0.35">
      <c r="A405" t="s">
        <v>45</v>
      </c>
      <c r="B405" t="s">
        <v>891</v>
      </c>
      <c r="C405" t="s">
        <v>47</v>
      </c>
      <c r="D405" t="s">
        <v>879</v>
      </c>
      <c r="E405" t="s">
        <v>879</v>
      </c>
      <c r="F405" t="s">
        <v>49</v>
      </c>
      <c r="G405" t="s">
        <v>1005</v>
      </c>
      <c r="H405" t="s">
        <v>1007</v>
      </c>
      <c r="J405" t="str">
        <f>HYPERLINK("https://www.facebook.com/454965103328545/posts/792232949601757?comment_id=788817019394903","https://www.facebook.com/454965103328545/posts/792232949601757?comment_id=788817019394903")</f>
        <v>https://www.facebook.com/454965103328545/posts/792232949601757?comment_id=788817019394903</v>
      </c>
      <c r="O405">
        <v>0</v>
      </c>
      <c r="P405">
        <v>0</v>
      </c>
      <c r="Q405">
        <v>0</v>
      </c>
      <c r="S405">
        <v>0</v>
      </c>
      <c r="T405">
        <v>0</v>
      </c>
      <c r="U405">
        <v>0</v>
      </c>
      <c r="W405" t="s">
        <v>62</v>
      </c>
    </row>
    <row r="406" spans="1:45" x14ac:dyDescent="0.35">
      <c r="A406" t="s">
        <v>45</v>
      </c>
      <c r="B406" t="s">
        <v>891</v>
      </c>
      <c r="C406" t="s">
        <v>47</v>
      </c>
      <c r="D406" t="s">
        <v>879</v>
      </c>
      <c r="E406" t="s">
        <v>879</v>
      </c>
      <c r="F406" t="s">
        <v>49</v>
      </c>
      <c r="G406" t="s">
        <v>1005</v>
      </c>
      <c r="H406" t="s">
        <v>1008</v>
      </c>
      <c r="J406" t="str">
        <f>HYPERLINK("https://www.facebook.com/454965103328545/posts/791649272993458?comment_id=424777306874250","https://www.facebook.com/454965103328545/posts/791649272993458?comment_id=424777306874250")</f>
        <v>https://www.facebook.com/454965103328545/posts/791649272993458?comment_id=424777306874250</v>
      </c>
      <c r="O406">
        <v>0</v>
      </c>
      <c r="P406">
        <v>0</v>
      </c>
      <c r="Q406">
        <v>0</v>
      </c>
      <c r="S406">
        <v>0</v>
      </c>
      <c r="T406">
        <v>0</v>
      </c>
      <c r="U406">
        <v>0</v>
      </c>
      <c r="W406" t="s">
        <v>62</v>
      </c>
    </row>
    <row r="407" spans="1:45" x14ac:dyDescent="0.35">
      <c r="A407" t="s">
        <v>45</v>
      </c>
      <c r="B407" t="s">
        <v>1009</v>
      </c>
      <c r="C407" t="s">
        <v>47</v>
      </c>
      <c r="D407" t="s">
        <v>972</v>
      </c>
      <c r="E407" t="s">
        <v>972</v>
      </c>
      <c r="F407" t="s">
        <v>49</v>
      </c>
      <c r="G407" t="s">
        <v>1010</v>
      </c>
      <c r="H407" t="s">
        <v>1011</v>
      </c>
      <c r="J407" t="str">
        <f>HYPERLINK("https://www.facebook.com/357267201017935/inbox/7199051450172775/","https://www.facebook.com/357267201017935/inbox/7199051450172775/")</f>
        <v>https://www.facebook.com/357267201017935/inbox/7199051450172775/</v>
      </c>
      <c r="O407">
        <v>0</v>
      </c>
      <c r="P407">
        <v>0</v>
      </c>
      <c r="Q407">
        <v>0</v>
      </c>
      <c r="S407">
        <v>0</v>
      </c>
      <c r="T407">
        <v>0</v>
      </c>
      <c r="U407">
        <v>0</v>
      </c>
      <c r="W407" t="s">
        <v>52</v>
      </c>
      <c r="AS407" t="s">
        <v>375</v>
      </c>
    </row>
    <row r="408" spans="1:45" x14ac:dyDescent="0.35">
      <c r="A408" t="s">
        <v>45</v>
      </c>
      <c r="B408" t="s">
        <v>1009</v>
      </c>
      <c r="C408" t="s">
        <v>47</v>
      </c>
      <c r="D408" t="s">
        <v>972</v>
      </c>
      <c r="E408" t="s">
        <v>972</v>
      </c>
      <c r="F408" t="s">
        <v>49</v>
      </c>
      <c r="G408" t="s">
        <v>56</v>
      </c>
      <c r="H408" t="s">
        <v>1012</v>
      </c>
      <c r="J408" t="str">
        <f>HYPERLINK("https://www.facebook.com/357267201017935/inbox/7199051450172775/","https://www.facebook.com/357267201017935/inbox/7199051450172775/")</f>
        <v>https://www.facebook.com/357267201017935/inbox/7199051450172775/</v>
      </c>
      <c r="O408">
        <v>0</v>
      </c>
      <c r="P408">
        <v>0</v>
      </c>
      <c r="Q408">
        <v>0</v>
      </c>
      <c r="S408">
        <v>0</v>
      </c>
      <c r="T408">
        <v>0</v>
      </c>
      <c r="U408">
        <v>0</v>
      </c>
      <c r="W408" t="s">
        <v>52</v>
      </c>
      <c r="AS408" t="s">
        <v>375</v>
      </c>
    </row>
    <row r="409" spans="1:45" x14ac:dyDescent="0.35">
      <c r="A409" t="s">
        <v>45</v>
      </c>
      <c r="B409" t="s">
        <v>1009</v>
      </c>
      <c r="C409" t="s">
        <v>47</v>
      </c>
      <c r="D409" t="s">
        <v>1013</v>
      </c>
      <c r="E409" t="s">
        <v>1013</v>
      </c>
      <c r="F409" t="s">
        <v>49</v>
      </c>
      <c r="G409" t="s">
        <v>1014</v>
      </c>
      <c r="H409" t="s">
        <v>1015</v>
      </c>
      <c r="J409" t="str">
        <f>HYPERLINK("https://www.facebook.com/454965103328545/posts/755944923230560?comment_id=1516461015879981","https://www.facebook.com/454965103328545/posts/755944923230560?comment_id=1516461015879981")</f>
        <v>https://www.facebook.com/454965103328545/posts/755944923230560?comment_id=1516461015879981</v>
      </c>
      <c r="O409">
        <v>0</v>
      </c>
      <c r="P409">
        <v>0</v>
      </c>
      <c r="Q409">
        <v>0</v>
      </c>
      <c r="S409">
        <v>0</v>
      </c>
      <c r="T409">
        <v>0</v>
      </c>
      <c r="U409">
        <v>0</v>
      </c>
      <c r="W409" t="s">
        <v>62</v>
      </c>
    </row>
    <row r="410" spans="1:45" x14ac:dyDescent="0.35">
      <c r="A410" t="s">
        <v>45</v>
      </c>
      <c r="B410" t="s">
        <v>1009</v>
      </c>
      <c r="C410" t="s">
        <v>63</v>
      </c>
      <c r="D410" t="s">
        <v>1016</v>
      </c>
      <c r="E410" t="s">
        <v>1016</v>
      </c>
      <c r="F410" t="s">
        <v>49</v>
      </c>
      <c r="G410" t="s">
        <v>1017</v>
      </c>
      <c r="H410" t="s">
        <v>1018</v>
      </c>
      <c r="J410" t="str">
        <f>HYPERLINK("https://www.instagram.com/p/C4ucfvtgGcP/","https://www.instagram.com/p/C4ucfvtgGcP/")</f>
        <v>https://www.instagram.com/p/C4ucfvtgGcP/</v>
      </c>
      <c r="O410">
        <v>0</v>
      </c>
      <c r="P410">
        <v>0</v>
      </c>
      <c r="Q410">
        <v>0</v>
      </c>
      <c r="S410">
        <v>0</v>
      </c>
      <c r="T410">
        <v>0</v>
      </c>
      <c r="U410">
        <v>0</v>
      </c>
      <c r="W410" t="s">
        <v>62</v>
      </c>
      <c r="AS410" t="s">
        <v>375</v>
      </c>
    </row>
    <row r="411" spans="1:45" x14ac:dyDescent="0.35">
      <c r="A411" t="s">
        <v>45</v>
      </c>
      <c r="B411" t="s">
        <v>1009</v>
      </c>
      <c r="C411" t="s">
        <v>58</v>
      </c>
      <c r="D411" t="s">
        <v>1019</v>
      </c>
      <c r="E411" t="s">
        <v>1019</v>
      </c>
      <c r="F411" t="s">
        <v>49</v>
      </c>
      <c r="G411" t="s">
        <v>1020</v>
      </c>
      <c r="H411" t="s">
        <v>1021</v>
      </c>
      <c r="J411" t="str">
        <f>HYPERLINK("https://www.youtube.com/watch?v=0jykPZJIZUU&amp;lc=UgzQoJ0Xb6PUrfOecK94AaABAg","https://www.youtube.com/watch?v=0jykPZJIZUU&amp;lc=UgzQoJ0Xb6PUrfOecK94AaABAg")</f>
        <v>https://www.youtube.com/watch?v=0jykPZJIZUU&amp;lc=UgzQoJ0Xb6PUrfOecK94AaABAg</v>
      </c>
      <c r="O411">
        <v>0</v>
      </c>
      <c r="P411">
        <v>0</v>
      </c>
      <c r="Q411">
        <v>0</v>
      </c>
      <c r="S411">
        <v>0</v>
      </c>
      <c r="T411">
        <v>0</v>
      </c>
      <c r="U411">
        <v>0</v>
      </c>
      <c r="W411" t="s">
        <v>62</v>
      </c>
    </row>
    <row r="412" spans="1:45" x14ac:dyDescent="0.35">
      <c r="A412" t="s">
        <v>45</v>
      </c>
      <c r="B412" t="s">
        <v>1009</v>
      </c>
      <c r="C412" t="s">
        <v>58</v>
      </c>
      <c r="D412" t="s">
        <v>1019</v>
      </c>
      <c r="E412" t="s">
        <v>1019</v>
      </c>
      <c r="F412" t="s">
        <v>49</v>
      </c>
      <c r="G412" t="s">
        <v>1020</v>
      </c>
      <c r="H412" t="s">
        <v>1022</v>
      </c>
      <c r="J412" t="str">
        <f>HYPERLINK("https://www.youtube.com/watch?v=09CVgEXSRZw&amp;lc=UgyekfhRVvlPg76EDE14AaABAg","https://www.youtube.com/watch?v=09CVgEXSRZw&amp;lc=UgyekfhRVvlPg76EDE14AaABAg")</f>
        <v>https://www.youtube.com/watch?v=09CVgEXSRZw&amp;lc=UgyekfhRVvlPg76EDE14AaABAg</v>
      </c>
      <c r="O412">
        <v>0</v>
      </c>
      <c r="P412">
        <v>0</v>
      </c>
      <c r="Q412">
        <v>0</v>
      </c>
      <c r="S412">
        <v>0</v>
      </c>
      <c r="T412">
        <v>0</v>
      </c>
      <c r="U412">
        <v>0</v>
      </c>
      <c r="W412" t="s">
        <v>62</v>
      </c>
    </row>
    <row r="413" spans="1:45" x14ac:dyDescent="0.35">
      <c r="A413" t="s">
        <v>45</v>
      </c>
      <c r="B413" t="s">
        <v>1009</v>
      </c>
      <c r="C413" t="s">
        <v>58</v>
      </c>
      <c r="D413" t="s">
        <v>1019</v>
      </c>
      <c r="E413" t="s">
        <v>1019</v>
      </c>
      <c r="F413" t="s">
        <v>49</v>
      </c>
      <c r="G413" t="s">
        <v>1020</v>
      </c>
      <c r="H413" t="s">
        <v>1023</v>
      </c>
      <c r="J413" t="str">
        <f>HYPERLINK("https://www.youtube.com/watch?v=hB7Fj31SVHQ&amp;lc=Ugz1Q1J57_tXJkwtRIR4AaABAg","https://www.youtube.com/watch?v=hB7Fj31SVHQ&amp;lc=Ugz1Q1J57_tXJkwtRIR4AaABAg")</f>
        <v>https://www.youtube.com/watch?v=hB7Fj31SVHQ&amp;lc=Ugz1Q1J57_tXJkwtRIR4AaABAg</v>
      </c>
      <c r="O413">
        <v>0</v>
      </c>
      <c r="P413">
        <v>0</v>
      </c>
      <c r="Q413">
        <v>0</v>
      </c>
      <c r="S413">
        <v>0</v>
      </c>
      <c r="T413">
        <v>0</v>
      </c>
      <c r="U413">
        <v>0</v>
      </c>
      <c r="W413" t="s">
        <v>62</v>
      </c>
    </row>
    <row r="414" spans="1:45" x14ac:dyDescent="0.35">
      <c r="A414" t="s">
        <v>45</v>
      </c>
      <c r="B414" t="s">
        <v>1009</v>
      </c>
      <c r="C414" t="s">
        <v>58</v>
      </c>
      <c r="D414" t="s">
        <v>1019</v>
      </c>
      <c r="E414" t="s">
        <v>1019</v>
      </c>
      <c r="F414" t="s">
        <v>49</v>
      </c>
      <c r="G414" t="s">
        <v>1024</v>
      </c>
      <c r="H414" t="s">
        <v>1025</v>
      </c>
      <c r="J414" t="str">
        <f>HYPERLINK("https://www.youtube.com/watch?v=h0bepiiaMS8&amp;lc=UgzjBO2yc0Edgp3Ge_h4AaABAg","https://www.youtube.com/watch?v=h0bepiiaMS8&amp;lc=UgzjBO2yc0Edgp3Ge_h4AaABAg")</f>
        <v>https://www.youtube.com/watch?v=h0bepiiaMS8&amp;lc=UgzjBO2yc0Edgp3Ge_h4AaABAg</v>
      </c>
      <c r="O414">
        <v>0</v>
      </c>
      <c r="P414">
        <v>0</v>
      </c>
      <c r="Q414">
        <v>0</v>
      </c>
      <c r="S414">
        <v>0</v>
      </c>
      <c r="T414">
        <v>0</v>
      </c>
      <c r="U414">
        <v>0</v>
      </c>
      <c r="W414" t="s">
        <v>62</v>
      </c>
    </row>
    <row r="415" spans="1:45" x14ac:dyDescent="0.35">
      <c r="A415" t="s">
        <v>45</v>
      </c>
      <c r="B415" t="s">
        <v>1009</v>
      </c>
      <c r="C415" t="s">
        <v>102</v>
      </c>
      <c r="D415" t="s">
        <v>1026</v>
      </c>
      <c r="E415" t="s">
        <v>1026</v>
      </c>
      <c r="F415" t="s">
        <v>76</v>
      </c>
      <c r="G415" t="s">
        <v>1027</v>
      </c>
      <c r="H415" t="s">
        <v>1028</v>
      </c>
      <c r="J415" t="str">
        <f>HYPERLINK("https://www.linkedin.com/feed/update/urn:li:ugcPost:7178057705784262659","https://www.linkedin.com/feed/update/urn:li:ugcPost:7178057705784262659")</f>
        <v>https://www.linkedin.com/feed/update/urn:li:ugcPost:7178057705784262659</v>
      </c>
      <c r="O415">
        <v>0</v>
      </c>
      <c r="P415">
        <v>0</v>
      </c>
      <c r="Q415">
        <v>0</v>
      </c>
      <c r="S415">
        <v>0</v>
      </c>
      <c r="T415">
        <v>0</v>
      </c>
      <c r="U415">
        <v>0</v>
      </c>
      <c r="W415" t="s">
        <v>106</v>
      </c>
    </row>
    <row r="416" spans="1:45" x14ac:dyDescent="0.35">
      <c r="A416" t="s">
        <v>45</v>
      </c>
      <c r="B416" t="s">
        <v>1009</v>
      </c>
      <c r="C416" t="s">
        <v>47</v>
      </c>
      <c r="D416" t="s">
        <v>1029</v>
      </c>
      <c r="E416" t="s">
        <v>1029</v>
      </c>
      <c r="F416" t="s">
        <v>49</v>
      </c>
      <c r="G416" t="s">
        <v>1030</v>
      </c>
      <c r="H416" t="s">
        <v>1031</v>
      </c>
      <c r="J416" t="str">
        <f>HYPERLINK("https://www.facebook.com/454965103328545/posts/794161956075523?comment_id=7593228414072553","https://www.facebook.com/454965103328545/posts/794161956075523?comment_id=7593228414072553")</f>
        <v>https://www.facebook.com/454965103328545/posts/794161956075523?comment_id=7593228414072553</v>
      </c>
      <c r="O416">
        <v>0</v>
      </c>
      <c r="P416">
        <v>0</v>
      </c>
      <c r="Q416">
        <v>0</v>
      </c>
      <c r="S416">
        <v>0</v>
      </c>
      <c r="T416">
        <v>0</v>
      </c>
      <c r="U416">
        <v>0</v>
      </c>
      <c r="W416" t="s">
        <v>62</v>
      </c>
    </row>
    <row r="417" spans="1:42" x14ac:dyDescent="0.35">
      <c r="A417" t="s">
        <v>45</v>
      </c>
      <c r="B417" t="s">
        <v>1009</v>
      </c>
      <c r="C417" t="s">
        <v>47</v>
      </c>
      <c r="D417" t="s">
        <v>1029</v>
      </c>
      <c r="E417" t="s">
        <v>1029</v>
      </c>
      <c r="F417" t="s">
        <v>49</v>
      </c>
      <c r="G417" t="s">
        <v>1030</v>
      </c>
      <c r="H417" t="s">
        <v>1032</v>
      </c>
      <c r="J417" t="str">
        <f>HYPERLINK("https://www.facebook.com/454965103328545/posts/794161956075523?comment_id=24889813740667208","https://www.facebook.com/454965103328545/posts/794161956075523?comment_id=24889813740667208")</f>
        <v>https://www.facebook.com/454965103328545/posts/794161956075523?comment_id=24889813740667208</v>
      </c>
      <c r="O417">
        <v>0</v>
      </c>
      <c r="P417">
        <v>0</v>
      </c>
      <c r="Q417">
        <v>0</v>
      </c>
      <c r="S417">
        <v>0</v>
      </c>
      <c r="T417">
        <v>0</v>
      </c>
      <c r="U417">
        <v>0</v>
      </c>
      <c r="W417" t="s">
        <v>62</v>
      </c>
    </row>
    <row r="418" spans="1:42" x14ac:dyDescent="0.35">
      <c r="A418" t="s">
        <v>45</v>
      </c>
      <c r="B418" t="s">
        <v>1009</v>
      </c>
      <c r="C418" t="s">
        <v>47</v>
      </c>
      <c r="D418" t="s">
        <v>1033</v>
      </c>
      <c r="E418" t="s">
        <v>1033</v>
      </c>
      <c r="F418" t="s">
        <v>49</v>
      </c>
      <c r="G418" t="s">
        <v>1034</v>
      </c>
      <c r="H418" t="s">
        <v>1035</v>
      </c>
      <c r="J418" t="str">
        <f>HYPERLINK("https://www.facebook.com/454965103328545/videos/945854510284278?comment_id=431810479234236","https://www.facebook.com/454965103328545/videos/945854510284278?comment_id=431810479234236")</f>
        <v>https://www.facebook.com/454965103328545/videos/945854510284278?comment_id=431810479234236</v>
      </c>
      <c r="O418">
        <v>0</v>
      </c>
      <c r="P418">
        <v>0</v>
      </c>
      <c r="Q418">
        <v>0</v>
      </c>
      <c r="S418">
        <v>0</v>
      </c>
      <c r="T418">
        <v>0</v>
      </c>
      <c r="U418">
        <v>0</v>
      </c>
      <c r="W418" t="s">
        <v>62</v>
      </c>
    </row>
    <row r="419" spans="1:42" x14ac:dyDescent="0.35">
      <c r="A419" t="s">
        <v>45</v>
      </c>
      <c r="B419" t="s">
        <v>1009</v>
      </c>
      <c r="C419" t="s">
        <v>47</v>
      </c>
      <c r="D419" t="s">
        <v>1036</v>
      </c>
      <c r="E419" t="s">
        <v>1036</v>
      </c>
      <c r="F419" t="s">
        <v>49</v>
      </c>
      <c r="G419" t="s">
        <v>1037</v>
      </c>
      <c r="H419" t="s">
        <v>1038</v>
      </c>
      <c r="J419" t="str">
        <f>HYPERLINK("https://www.facebook.com/454965103328545/posts/791649272993458?comment_id=729069666043083","https://www.facebook.com/454965103328545/posts/791649272993458?comment_id=729069666043083")</f>
        <v>https://www.facebook.com/454965103328545/posts/791649272993458?comment_id=729069666043083</v>
      </c>
      <c r="O419">
        <v>0</v>
      </c>
      <c r="P419">
        <v>0</v>
      </c>
      <c r="Q419">
        <v>0</v>
      </c>
      <c r="S419">
        <v>0</v>
      </c>
      <c r="T419">
        <v>0</v>
      </c>
      <c r="U419">
        <v>0</v>
      </c>
      <c r="W419" t="s">
        <v>62</v>
      </c>
    </row>
    <row r="420" spans="1:42" x14ac:dyDescent="0.35">
      <c r="A420" t="s">
        <v>45</v>
      </c>
      <c r="B420" t="s">
        <v>1009</v>
      </c>
      <c r="C420" t="s">
        <v>63</v>
      </c>
      <c r="D420" t="s">
        <v>1039</v>
      </c>
      <c r="E420" t="s">
        <v>1039</v>
      </c>
      <c r="F420" t="s">
        <v>49</v>
      </c>
      <c r="G420" t="s">
        <v>1040</v>
      </c>
      <c r="H420" t="s">
        <v>1041</v>
      </c>
      <c r="J420" t="str">
        <f>HYPERLINK("https://www.instagram.com/p/C4ucfvtgGcP/","https://www.instagram.com/p/C4ucfvtgGcP/")</f>
        <v>https://www.instagram.com/p/C4ucfvtgGcP/</v>
      </c>
      <c r="O420">
        <v>0</v>
      </c>
      <c r="P420">
        <v>0</v>
      </c>
      <c r="Q420">
        <v>0</v>
      </c>
      <c r="S420">
        <v>0</v>
      </c>
      <c r="T420">
        <v>0</v>
      </c>
      <c r="U420">
        <v>0</v>
      </c>
      <c r="W420" t="s">
        <v>62</v>
      </c>
    </row>
    <row r="421" spans="1:42" x14ac:dyDescent="0.35">
      <c r="A421" t="s">
        <v>45</v>
      </c>
      <c r="B421" t="s">
        <v>1009</v>
      </c>
      <c r="C421" t="s">
        <v>47</v>
      </c>
      <c r="D421" t="s">
        <v>1042</v>
      </c>
      <c r="E421" t="s">
        <v>1042</v>
      </c>
      <c r="F421" t="s">
        <v>49</v>
      </c>
      <c r="G421" t="s">
        <v>1043</v>
      </c>
      <c r="H421" t="s">
        <v>1044</v>
      </c>
      <c r="J421" t="str">
        <f>HYPERLINK("https://www.facebook.com/454965103328545/posts/pfbid0jm43gYs2xjbffs41emJzF6otBcp8MQmjN9DihaB8qSWpMmBgvNx37hJv7xPc2J3kl","https://www.facebook.com/454965103328545/posts/pfbid0jm43gYs2xjbffs41emJzF6otBcp8MQmjN9DihaB8qSWpMmBgvNx37hJv7xPc2J3kl")</f>
        <v>https://www.facebook.com/454965103328545/posts/pfbid0jm43gYs2xjbffs41emJzF6otBcp8MQmjN9DihaB8qSWpMmBgvNx37hJv7xPc2J3kl</v>
      </c>
      <c r="O421">
        <v>0</v>
      </c>
      <c r="P421">
        <v>0</v>
      </c>
      <c r="Q421">
        <v>0</v>
      </c>
      <c r="S421">
        <v>0</v>
      </c>
      <c r="T421">
        <v>0</v>
      </c>
      <c r="U421">
        <v>0</v>
      </c>
      <c r="W421" t="s">
        <v>62</v>
      </c>
    </row>
    <row r="422" spans="1:42" x14ac:dyDescent="0.35">
      <c r="A422" t="s">
        <v>45</v>
      </c>
      <c r="B422" t="s">
        <v>1009</v>
      </c>
      <c r="C422" t="s">
        <v>47</v>
      </c>
      <c r="D422" t="s">
        <v>1042</v>
      </c>
      <c r="E422" t="s">
        <v>1042</v>
      </c>
      <c r="F422" t="s">
        <v>49</v>
      </c>
      <c r="G422" t="s">
        <v>459</v>
      </c>
      <c r="H422" t="s">
        <v>1045</v>
      </c>
      <c r="J422" t="str">
        <f>HYPERLINK("https://www.facebook.com/454965103328545/posts/490024586489263?comment_id=988210039322306","https://www.facebook.com/454965103328545/posts/490024586489263?comment_id=988210039322306")</f>
        <v>https://www.facebook.com/454965103328545/posts/490024586489263?comment_id=988210039322306</v>
      </c>
      <c r="O422">
        <v>0</v>
      </c>
      <c r="P422">
        <v>0</v>
      </c>
      <c r="Q422">
        <v>0</v>
      </c>
      <c r="S422">
        <v>0</v>
      </c>
      <c r="T422">
        <v>0</v>
      </c>
      <c r="U422">
        <v>0</v>
      </c>
      <c r="W422" t="s">
        <v>62</v>
      </c>
    </row>
    <row r="423" spans="1:42" x14ac:dyDescent="0.35">
      <c r="A423" t="s">
        <v>45</v>
      </c>
      <c r="B423" t="s">
        <v>1009</v>
      </c>
      <c r="C423" t="s">
        <v>47</v>
      </c>
      <c r="D423" t="s">
        <v>151</v>
      </c>
      <c r="E423" t="s">
        <v>151</v>
      </c>
      <c r="F423" t="s">
        <v>49</v>
      </c>
      <c r="G423" t="s">
        <v>1046</v>
      </c>
      <c r="H423" t="s">
        <v>1047</v>
      </c>
      <c r="J423" t="str">
        <f>HYPERLINK("https://www.facebook.com/454965103328545/posts/790436683114717?comment_id=1940297876373261","https://www.facebook.com/454965103328545/posts/790436683114717?comment_id=1940297876373261")</f>
        <v>https://www.facebook.com/454965103328545/posts/790436683114717?comment_id=1940297876373261</v>
      </c>
      <c r="O423">
        <v>0</v>
      </c>
      <c r="P423">
        <v>0</v>
      </c>
      <c r="Q423">
        <v>0</v>
      </c>
      <c r="S423">
        <v>0</v>
      </c>
      <c r="T423">
        <v>0</v>
      </c>
      <c r="U423">
        <v>0</v>
      </c>
      <c r="W423" t="s">
        <v>62</v>
      </c>
    </row>
    <row r="424" spans="1:42" x14ac:dyDescent="0.35">
      <c r="A424" t="s">
        <v>45</v>
      </c>
      <c r="B424" t="s">
        <v>1009</v>
      </c>
      <c r="C424" t="s">
        <v>47</v>
      </c>
      <c r="D424" t="s">
        <v>151</v>
      </c>
      <c r="E424" t="s">
        <v>151</v>
      </c>
      <c r="F424" t="s">
        <v>49</v>
      </c>
      <c r="G424" t="s">
        <v>1048</v>
      </c>
      <c r="H424" t="s">
        <v>1049</v>
      </c>
      <c r="J424" t="str">
        <f>HYPERLINK("https://www.facebook.com/454965103328545/posts/790436683114717?comment_id=218295981371528&amp;reply_comment_id=1149191739422368","https://www.facebook.com/454965103328545/posts/790436683114717?comment_id=218295981371528&amp;reply_comment_id=1149191739422368")</f>
        <v>https://www.facebook.com/454965103328545/posts/790436683114717?comment_id=218295981371528&amp;reply_comment_id=1149191739422368</v>
      </c>
      <c r="O424">
        <v>0</v>
      </c>
      <c r="P424">
        <v>0</v>
      </c>
      <c r="Q424">
        <v>0</v>
      </c>
      <c r="S424">
        <v>0</v>
      </c>
      <c r="T424">
        <v>0</v>
      </c>
      <c r="U424">
        <v>0</v>
      </c>
      <c r="W424" t="s">
        <v>62</v>
      </c>
    </row>
    <row r="425" spans="1:42" x14ac:dyDescent="0.35">
      <c r="A425" t="s">
        <v>45</v>
      </c>
      <c r="B425" t="s">
        <v>1009</v>
      </c>
      <c r="C425" t="s">
        <v>47</v>
      </c>
      <c r="D425" t="s">
        <v>1050</v>
      </c>
      <c r="E425" t="s">
        <v>1050</v>
      </c>
      <c r="F425" t="s">
        <v>142</v>
      </c>
      <c r="G425" t="s">
        <v>1051</v>
      </c>
      <c r="H425" t="s">
        <v>1052</v>
      </c>
      <c r="J425" t="str">
        <f>HYPERLINK("https://www.facebook.com/454965103328545/posts/793353449489707?comment_id=3748172412126791","https://www.facebook.com/454965103328545/posts/793353449489707?comment_id=3748172412126791")</f>
        <v>https://www.facebook.com/454965103328545/posts/793353449489707?comment_id=3748172412126791</v>
      </c>
      <c r="O425">
        <v>0</v>
      </c>
      <c r="P425">
        <v>0</v>
      </c>
      <c r="Q425">
        <v>0</v>
      </c>
      <c r="S425">
        <v>0</v>
      </c>
      <c r="T425">
        <v>0</v>
      </c>
      <c r="U425">
        <v>0</v>
      </c>
      <c r="W425" t="s">
        <v>62</v>
      </c>
      <c r="AP425" t="s">
        <v>147</v>
      </c>
    </row>
    <row r="426" spans="1:42" x14ac:dyDescent="0.35">
      <c r="A426" t="s">
        <v>45</v>
      </c>
      <c r="B426" t="s">
        <v>1009</v>
      </c>
      <c r="C426" t="s">
        <v>58</v>
      </c>
      <c r="D426" t="s">
        <v>1053</v>
      </c>
      <c r="E426" t="s">
        <v>1053</v>
      </c>
      <c r="F426" t="s">
        <v>49</v>
      </c>
      <c r="G426" t="s">
        <v>1054</v>
      </c>
      <c r="H426" t="s">
        <v>1055</v>
      </c>
      <c r="J426" t="str">
        <f>HYPERLINK("https://www.youtube.com/watch?v=n3kQsgUvu1k&amp;lc=UgxuM9dlcqiTRbBlkG94AaABAg","https://www.youtube.com/watch?v=n3kQsgUvu1k&amp;lc=UgxuM9dlcqiTRbBlkG94AaABAg")</f>
        <v>https://www.youtube.com/watch?v=n3kQsgUvu1k&amp;lc=UgxuM9dlcqiTRbBlkG94AaABAg</v>
      </c>
      <c r="O426">
        <v>0</v>
      </c>
      <c r="P426">
        <v>0</v>
      </c>
      <c r="Q426">
        <v>0</v>
      </c>
      <c r="S426">
        <v>0</v>
      </c>
      <c r="T426">
        <v>0</v>
      </c>
      <c r="U426">
        <v>0</v>
      </c>
      <c r="W426" t="s">
        <v>62</v>
      </c>
    </row>
    <row r="427" spans="1:42" x14ac:dyDescent="0.35">
      <c r="A427" t="s">
        <v>45</v>
      </c>
      <c r="B427" t="s">
        <v>1009</v>
      </c>
      <c r="C427" t="s">
        <v>58</v>
      </c>
      <c r="D427" t="s">
        <v>1056</v>
      </c>
      <c r="E427" t="s">
        <v>1056</v>
      </c>
      <c r="F427" t="s">
        <v>49</v>
      </c>
      <c r="G427" t="s">
        <v>1057</v>
      </c>
      <c r="H427" t="s">
        <v>1058</v>
      </c>
      <c r="J427" t="str">
        <f>HYPERLINK("https://www.youtube.com/watch?v=UumO-B9VNZQ","https://www.youtube.com/watch?v=UumO-B9VNZQ")</f>
        <v>https://www.youtube.com/watch?v=UumO-B9VNZQ</v>
      </c>
      <c r="O427">
        <v>0</v>
      </c>
      <c r="P427">
        <v>0</v>
      </c>
      <c r="Q427">
        <v>0</v>
      </c>
      <c r="S427">
        <v>0</v>
      </c>
      <c r="T427">
        <v>0</v>
      </c>
      <c r="U427">
        <v>0</v>
      </c>
      <c r="W427" t="s">
        <v>106</v>
      </c>
    </row>
    <row r="428" spans="1:42" x14ac:dyDescent="0.35">
      <c r="A428" t="s">
        <v>45</v>
      </c>
      <c r="B428" t="s">
        <v>1009</v>
      </c>
      <c r="C428" t="s">
        <v>63</v>
      </c>
      <c r="D428" t="s">
        <v>1059</v>
      </c>
      <c r="E428" t="s">
        <v>1059</v>
      </c>
      <c r="F428" t="s">
        <v>49</v>
      </c>
      <c r="G428" t="s">
        <v>1060</v>
      </c>
      <c r="H428" t="s">
        <v>1061</v>
      </c>
      <c r="J428" t="str">
        <f>HYPERLINK("https://www.instagram.com/p/C3U7TX_AUmg/","https://www.instagram.com/p/C3U7TX_AUmg/")</f>
        <v>https://www.instagram.com/p/C3U7TX_AUmg/</v>
      </c>
      <c r="O428">
        <v>0</v>
      </c>
      <c r="P428">
        <v>0</v>
      </c>
      <c r="Q428">
        <v>0</v>
      </c>
      <c r="S428">
        <v>0</v>
      </c>
      <c r="T428">
        <v>0</v>
      </c>
      <c r="U428">
        <v>0</v>
      </c>
      <c r="W428" t="s">
        <v>62</v>
      </c>
    </row>
    <row r="429" spans="1:42" x14ac:dyDescent="0.35">
      <c r="A429" t="s">
        <v>45</v>
      </c>
      <c r="B429" t="s">
        <v>1009</v>
      </c>
      <c r="C429" t="s">
        <v>63</v>
      </c>
      <c r="D429" t="s">
        <v>1062</v>
      </c>
      <c r="E429" t="s">
        <v>1062</v>
      </c>
      <c r="F429" t="s">
        <v>49</v>
      </c>
      <c r="G429" t="s">
        <v>1063</v>
      </c>
      <c r="H429" t="s">
        <v>1064</v>
      </c>
      <c r="J429" t="str">
        <f>HYPERLINK("https://www.instagram.com/reel/C466fxjhUNl/","https://www.instagram.com/reel/C466fxjhUNl/")</f>
        <v>https://www.instagram.com/reel/C466fxjhUNl/</v>
      </c>
      <c r="O429">
        <v>0</v>
      </c>
      <c r="P429">
        <v>0</v>
      </c>
      <c r="Q429">
        <v>0</v>
      </c>
      <c r="S429">
        <v>0</v>
      </c>
      <c r="T429">
        <v>0</v>
      </c>
      <c r="U429">
        <v>0</v>
      </c>
      <c r="W429" t="s">
        <v>62</v>
      </c>
    </row>
    <row r="430" spans="1:42" x14ac:dyDescent="0.35">
      <c r="A430" t="s">
        <v>45</v>
      </c>
      <c r="B430" t="s">
        <v>1009</v>
      </c>
      <c r="C430" t="s">
        <v>58</v>
      </c>
      <c r="D430" t="s">
        <v>1065</v>
      </c>
      <c r="E430" t="s">
        <v>1065</v>
      </c>
      <c r="F430" t="s">
        <v>76</v>
      </c>
      <c r="G430" t="s">
        <v>1066</v>
      </c>
      <c r="H430" t="s">
        <v>1067</v>
      </c>
      <c r="J430" t="str">
        <f>HYPERLINK("https://www.youtube.com/watch?v=65ZAtNfHLmk&amp;lc=UgxjAB-Lu_766qsYmTx4AaABAg","https://www.youtube.com/watch?v=65ZAtNfHLmk&amp;lc=UgxjAB-Lu_766qsYmTx4AaABAg")</f>
        <v>https://www.youtube.com/watch?v=65ZAtNfHLmk&amp;lc=UgxjAB-Lu_766qsYmTx4AaABAg</v>
      </c>
      <c r="O430">
        <v>0</v>
      </c>
      <c r="P430">
        <v>0</v>
      </c>
      <c r="Q430">
        <v>0</v>
      </c>
      <c r="S430">
        <v>0</v>
      </c>
      <c r="T430">
        <v>0</v>
      </c>
      <c r="U430">
        <v>0</v>
      </c>
      <c r="W430" t="s">
        <v>62</v>
      </c>
    </row>
    <row r="431" spans="1:42" x14ac:dyDescent="0.35">
      <c r="A431" t="s">
        <v>45</v>
      </c>
      <c r="B431" t="s">
        <v>1009</v>
      </c>
      <c r="C431" t="s">
        <v>58</v>
      </c>
      <c r="D431" t="s">
        <v>1068</v>
      </c>
      <c r="E431" t="s">
        <v>1068</v>
      </c>
      <c r="F431" t="s">
        <v>49</v>
      </c>
      <c r="G431" t="s">
        <v>1069</v>
      </c>
      <c r="H431" t="s">
        <v>1070</v>
      </c>
      <c r="J431" t="str">
        <f>HYPERLINK("https://www.youtube.com/watch?v=w4hlz4rndB8","https://www.youtube.com/watch?v=w4hlz4rndB8")</f>
        <v>https://www.youtube.com/watch?v=w4hlz4rndB8</v>
      </c>
      <c r="O431">
        <v>0</v>
      </c>
      <c r="P431">
        <v>0</v>
      </c>
      <c r="Q431">
        <v>0</v>
      </c>
      <c r="S431">
        <v>0</v>
      </c>
      <c r="T431">
        <v>0</v>
      </c>
      <c r="U431">
        <v>0</v>
      </c>
      <c r="W431" t="s">
        <v>106</v>
      </c>
    </row>
    <row r="432" spans="1:42" x14ac:dyDescent="0.35">
      <c r="A432" t="s">
        <v>45</v>
      </c>
      <c r="B432" t="s">
        <v>1009</v>
      </c>
      <c r="C432" t="s">
        <v>139</v>
      </c>
      <c r="D432" t="s">
        <v>726</v>
      </c>
      <c r="E432" t="s">
        <v>727</v>
      </c>
      <c r="F432" t="s">
        <v>49</v>
      </c>
      <c r="G432" t="s">
        <v>1071</v>
      </c>
      <c r="H432" t="s">
        <v>1072</v>
      </c>
      <c r="J432" t="str">
        <f>HYPERLINK("https://twitter.com/AkashYakov92580/status/1772194624150585603","https://twitter.com/AkashYakov92580/status/1772194624150585603")</f>
        <v>https://twitter.com/AkashYakov92580/status/1772194624150585603</v>
      </c>
      <c r="K432" t="s">
        <v>145</v>
      </c>
      <c r="O432">
        <v>0</v>
      </c>
      <c r="P432">
        <v>0</v>
      </c>
      <c r="Q432">
        <v>0</v>
      </c>
      <c r="R432" t="s">
        <v>730</v>
      </c>
      <c r="S432">
        <v>0</v>
      </c>
      <c r="T432">
        <v>0</v>
      </c>
      <c r="U432">
        <v>0</v>
      </c>
      <c r="W432" t="s">
        <v>146</v>
      </c>
    </row>
    <row r="433" spans="1:45" x14ac:dyDescent="0.35">
      <c r="A433" t="s">
        <v>45</v>
      </c>
      <c r="B433" t="s">
        <v>1009</v>
      </c>
      <c r="C433" t="s">
        <v>139</v>
      </c>
      <c r="D433" t="s">
        <v>726</v>
      </c>
      <c r="E433" t="s">
        <v>727</v>
      </c>
      <c r="F433" t="s">
        <v>49</v>
      </c>
      <c r="G433" t="s">
        <v>1073</v>
      </c>
      <c r="H433" t="s">
        <v>1074</v>
      </c>
      <c r="J433" t="str">
        <f>HYPERLINK("https://twitter.com/AkashYakov92580/status/1772194215067521063","https://twitter.com/AkashYakov92580/status/1772194215067521063")</f>
        <v>https://twitter.com/AkashYakov92580/status/1772194215067521063</v>
      </c>
      <c r="K433" t="s">
        <v>145</v>
      </c>
      <c r="O433">
        <v>0</v>
      </c>
      <c r="P433">
        <v>0</v>
      </c>
      <c r="Q433">
        <v>0</v>
      </c>
      <c r="R433" t="s">
        <v>730</v>
      </c>
      <c r="S433">
        <v>0</v>
      </c>
      <c r="T433">
        <v>0</v>
      </c>
      <c r="U433">
        <v>0</v>
      </c>
      <c r="W433" t="s">
        <v>146</v>
      </c>
    </row>
    <row r="434" spans="1:45" x14ac:dyDescent="0.35">
      <c r="A434" t="s">
        <v>45</v>
      </c>
      <c r="B434" t="s">
        <v>1009</v>
      </c>
      <c r="C434" t="s">
        <v>58</v>
      </c>
      <c r="D434" t="s">
        <v>1056</v>
      </c>
      <c r="E434" t="s">
        <v>1056</v>
      </c>
      <c r="F434" t="s">
        <v>49</v>
      </c>
      <c r="G434" t="s">
        <v>1075</v>
      </c>
      <c r="H434" t="s">
        <v>1076</v>
      </c>
      <c r="J434" t="str">
        <f>HYPERLINK("https://www.youtube.com/watch?v=QxG2m3CiY9Y","https://www.youtube.com/watch?v=QxG2m3CiY9Y")</f>
        <v>https://www.youtube.com/watch?v=QxG2m3CiY9Y</v>
      </c>
      <c r="O434">
        <v>0</v>
      </c>
      <c r="P434">
        <v>0</v>
      </c>
      <c r="Q434">
        <v>0</v>
      </c>
      <c r="S434">
        <v>0</v>
      </c>
      <c r="T434">
        <v>0</v>
      </c>
      <c r="U434">
        <v>0</v>
      </c>
      <c r="W434" t="s">
        <v>106</v>
      </c>
    </row>
    <row r="435" spans="1:45" x14ac:dyDescent="0.35">
      <c r="A435" t="s">
        <v>45</v>
      </c>
      <c r="B435" t="s">
        <v>1009</v>
      </c>
      <c r="C435" t="s">
        <v>139</v>
      </c>
      <c r="D435" t="s">
        <v>1077</v>
      </c>
      <c r="E435" t="s">
        <v>1078</v>
      </c>
      <c r="F435" t="s">
        <v>142</v>
      </c>
      <c r="G435" t="s">
        <v>1079</v>
      </c>
      <c r="H435" t="s">
        <v>1080</v>
      </c>
      <c r="J435" t="str">
        <f>HYPERLINK("https://twitter.com/bara7860/status/1772184981269324126","https://twitter.com/bara7860/status/1772184981269324126")</f>
        <v>https://twitter.com/bara7860/status/1772184981269324126</v>
      </c>
      <c r="K435" t="s">
        <v>145</v>
      </c>
      <c r="O435">
        <v>0</v>
      </c>
      <c r="P435">
        <v>0</v>
      </c>
      <c r="Q435">
        <v>0</v>
      </c>
      <c r="S435">
        <v>0</v>
      </c>
      <c r="T435">
        <v>0</v>
      </c>
      <c r="U435">
        <v>0</v>
      </c>
      <c r="W435" t="s">
        <v>146</v>
      </c>
    </row>
    <row r="436" spans="1:45" x14ac:dyDescent="0.35">
      <c r="A436" t="s">
        <v>45</v>
      </c>
      <c r="B436" t="s">
        <v>1009</v>
      </c>
      <c r="C436" t="s">
        <v>139</v>
      </c>
      <c r="D436" t="s">
        <v>942</v>
      </c>
      <c r="E436" t="s">
        <v>943</v>
      </c>
      <c r="F436" t="s">
        <v>49</v>
      </c>
      <c r="G436" t="s">
        <v>1081</v>
      </c>
      <c r="H436" t="s">
        <v>1082</v>
      </c>
      <c r="J436" t="str">
        <f>HYPERLINK("https://twitter.com/rajendras1819/status/1772177140563186061","https://twitter.com/rajendras1819/status/1772177140563186061")</f>
        <v>https://twitter.com/rajendras1819/status/1772177140563186061</v>
      </c>
      <c r="O436">
        <v>0</v>
      </c>
      <c r="P436">
        <v>0</v>
      </c>
      <c r="Q436">
        <v>264</v>
      </c>
      <c r="R436" t="s">
        <v>946</v>
      </c>
      <c r="S436">
        <v>0</v>
      </c>
      <c r="T436">
        <v>0</v>
      </c>
      <c r="U436">
        <v>0</v>
      </c>
      <c r="W436" t="s">
        <v>552</v>
      </c>
    </row>
    <row r="437" spans="1:45" x14ac:dyDescent="0.35">
      <c r="A437" t="s">
        <v>45</v>
      </c>
      <c r="B437" t="s">
        <v>1009</v>
      </c>
      <c r="C437" t="s">
        <v>47</v>
      </c>
      <c r="D437" t="s">
        <v>45</v>
      </c>
      <c r="E437" t="s">
        <v>45</v>
      </c>
      <c r="F437" t="s">
        <v>49</v>
      </c>
      <c r="G437" t="s">
        <v>469</v>
      </c>
      <c r="H437" t="s">
        <v>1083</v>
      </c>
      <c r="J437" t="str">
        <f>HYPERLINK("https://www.facebook.com/357267201017935_794621942696191","https://www.facebook.com/357267201017935_794621942696191")</f>
        <v>https://www.facebook.com/357267201017935_794621942696191</v>
      </c>
      <c r="O437">
        <v>0</v>
      </c>
      <c r="P437">
        <v>0</v>
      </c>
      <c r="Q437">
        <v>0</v>
      </c>
      <c r="S437">
        <v>0</v>
      </c>
      <c r="T437">
        <v>0</v>
      </c>
      <c r="U437">
        <v>0</v>
      </c>
      <c r="W437" t="s">
        <v>106</v>
      </c>
      <c r="AS437" t="s">
        <v>115</v>
      </c>
    </row>
    <row r="438" spans="1:45" x14ac:dyDescent="0.35">
      <c r="A438" t="s">
        <v>45</v>
      </c>
      <c r="B438" t="s">
        <v>1009</v>
      </c>
      <c r="C438" t="s">
        <v>47</v>
      </c>
      <c r="D438" t="s">
        <v>45</v>
      </c>
      <c r="E438" t="s">
        <v>45</v>
      </c>
      <c r="F438" t="s">
        <v>49</v>
      </c>
      <c r="G438" t="s">
        <v>586</v>
      </c>
      <c r="H438" t="s">
        <v>1083</v>
      </c>
      <c r="J438" t="str">
        <f>HYPERLINK("https://www.facebook.com/357267201017935_794621946029524","https://www.facebook.com/357267201017935_794621946029524")</f>
        <v>https://www.facebook.com/357267201017935_794621946029524</v>
      </c>
      <c r="O438">
        <v>0</v>
      </c>
      <c r="P438">
        <v>0</v>
      </c>
      <c r="Q438">
        <v>0</v>
      </c>
      <c r="S438">
        <v>0</v>
      </c>
      <c r="T438">
        <v>0</v>
      </c>
      <c r="U438">
        <v>0</v>
      </c>
      <c r="W438" t="s">
        <v>106</v>
      </c>
      <c r="AS438" t="s">
        <v>115</v>
      </c>
    </row>
    <row r="439" spans="1:45" x14ac:dyDescent="0.35">
      <c r="A439" t="s">
        <v>45</v>
      </c>
      <c r="B439" t="s">
        <v>1009</v>
      </c>
      <c r="C439" t="s">
        <v>139</v>
      </c>
      <c r="D439" t="s">
        <v>1084</v>
      </c>
      <c r="E439" t="s">
        <v>1085</v>
      </c>
      <c r="F439" t="s">
        <v>49</v>
      </c>
      <c r="G439" t="s">
        <v>1086</v>
      </c>
      <c r="H439" t="s">
        <v>1087</v>
      </c>
      <c r="J439" t="str">
        <f>HYPERLINK("https://twitter.com/ashu9661984177/status/1772147646641410152","https://twitter.com/ashu9661984177/status/1772147646641410152")</f>
        <v>https://twitter.com/ashu9661984177/status/1772147646641410152</v>
      </c>
      <c r="O439">
        <v>0</v>
      </c>
      <c r="P439">
        <v>0</v>
      </c>
      <c r="Q439">
        <v>50</v>
      </c>
      <c r="R439" t="s">
        <v>1088</v>
      </c>
      <c r="S439">
        <v>0</v>
      </c>
      <c r="T439">
        <v>0</v>
      </c>
      <c r="U439">
        <v>0</v>
      </c>
      <c r="W439" t="s">
        <v>52</v>
      </c>
      <c r="AP439" t="s">
        <v>94</v>
      </c>
    </row>
    <row r="440" spans="1:45" x14ac:dyDescent="0.35">
      <c r="A440" t="s">
        <v>45</v>
      </c>
      <c r="B440" t="s">
        <v>1009</v>
      </c>
      <c r="C440" t="s">
        <v>139</v>
      </c>
      <c r="D440" t="s">
        <v>1084</v>
      </c>
      <c r="E440" t="s">
        <v>1085</v>
      </c>
      <c r="F440" t="s">
        <v>49</v>
      </c>
      <c r="G440" t="s">
        <v>1089</v>
      </c>
      <c r="H440" t="s">
        <v>1090</v>
      </c>
      <c r="J440" t="str">
        <f>HYPERLINK("https://twitter.com/ashu9661984177/status/1772147549387809006","https://twitter.com/ashu9661984177/status/1772147549387809006")</f>
        <v>https://twitter.com/ashu9661984177/status/1772147549387809006</v>
      </c>
      <c r="O440">
        <v>0</v>
      </c>
      <c r="P440">
        <v>0</v>
      </c>
      <c r="Q440">
        <v>50</v>
      </c>
      <c r="R440" t="s">
        <v>1088</v>
      </c>
      <c r="S440">
        <v>0</v>
      </c>
      <c r="T440">
        <v>0</v>
      </c>
      <c r="U440">
        <v>0</v>
      </c>
      <c r="W440" t="s">
        <v>52</v>
      </c>
    </row>
    <row r="441" spans="1:45" x14ac:dyDescent="0.35">
      <c r="A441" t="s">
        <v>45</v>
      </c>
      <c r="B441" t="s">
        <v>1009</v>
      </c>
      <c r="C441" t="s">
        <v>139</v>
      </c>
      <c r="D441" t="s">
        <v>1084</v>
      </c>
      <c r="E441" t="s">
        <v>1085</v>
      </c>
      <c r="F441" t="s">
        <v>49</v>
      </c>
      <c r="G441" t="s">
        <v>1091</v>
      </c>
      <c r="H441" t="s">
        <v>1092</v>
      </c>
      <c r="J441" t="str">
        <f>HYPERLINK("https://twitter.com/ashu9661984177/status/1772147359511978149","https://twitter.com/ashu9661984177/status/1772147359511978149")</f>
        <v>https://twitter.com/ashu9661984177/status/1772147359511978149</v>
      </c>
      <c r="O441">
        <v>0</v>
      </c>
      <c r="P441">
        <v>0</v>
      </c>
      <c r="Q441">
        <v>50</v>
      </c>
      <c r="R441" t="s">
        <v>1088</v>
      </c>
      <c r="S441">
        <v>0</v>
      </c>
      <c r="T441">
        <v>0</v>
      </c>
      <c r="U441">
        <v>0</v>
      </c>
      <c r="W441" t="s">
        <v>52</v>
      </c>
    </row>
    <row r="442" spans="1:45" x14ac:dyDescent="0.35">
      <c r="A442" t="s">
        <v>45</v>
      </c>
      <c r="B442" t="s">
        <v>1009</v>
      </c>
      <c r="C442" t="s">
        <v>58</v>
      </c>
      <c r="D442" t="s">
        <v>1093</v>
      </c>
      <c r="E442" t="s">
        <v>1093</v>
      </c>
      <c r="F442" t="s">
        <v>76</v>
      </c>
      <c r="G442" t="s">
        <v>1094</v>
      </c>
      <c r="H442" t="s">
        <v>1095</v>
      </c>
      <c r="J442" t="str">
        <f>HYPERLINK("https://www.youtube.com/watch?v=65ZAtNfHLmk&amp;lc=UgxsB6WWJKr1y3fbDFd4AaABAg","https://www.youtube.com/watch?v=65ZAtNfHLmk&amp;lc=UgxsB6WWJKr1y3fbDFd4AaABAg")</f>
        <v>https://www.youtube.com/watch?v=65ZAtNfHLmk&amp;lc=UgxsB6WWJKr1y3fbDFd4AaABAg</v>
      </c>
      <c r="O442">
        <v>0</v>
      </c>
      <c r="P442">
        <v>0</v>
      </c>
      <c r="Q442">
        <v>0</v>
      </c>
      <c r="S442">
        <v>0</v>
      </c>
      <c r="T442">
        <v>0</v>
      </c>
      <c r="U442">
        <v>0</v>
      </c>
      <c r="W442" t="s">
        <v>62</v>
      </c>
    </row>
    <row r="443" spans="1:45" x14ac:dyDescent="0.35">
      <c r="A443" t="s">
        <v>45</v>
      </c>
      <c r="B443" t="s">
        <v>1009</v>
      </c>
      <c r="C443" t="s">
        <v>47</v>
      </c>
      <c r="D443" t="s">
        <v>1096</v>
      </c>
      <c r="E443" t="s">
        <v>1096</v>
      </c>
      <c r="F443" t="s">
        <v>142</v>
      </c>
      <c r="G443" t="s">
        <v>1097</v>
      </c>
      <c r="H443" t="s">
        <v>1098</v>
      </c>
      <c r="J443" t="str">
        <f>HYPERLINK("https://www.facebook.com/454965103328545/posts/791649272993458?comment_id=1165214221518170","https://www.facebook.com/454965103328545/posts/791649272993458?comment_id=1165214221518170")</f>
        <v>https://www.facebook.com/454965103328545/posts/791649272993458?comment_id=1165214221518170</v>
      </c>
      <c r="O443">
        <v>0</v>
      </c>
      <c r="P443">
        <v>0</v>
      </c>
      <c r="Q443">
        <v>0</v>
      </c>
      <c r="S443">
        <v>0</v>
      </c>
      <c r="T443">
        <v>0</v>
      </c>
      <c r="U443">
        <v>0</v>
      </c>
      <c r="W443" t="s">
        <v>62</v>
      </c>
    </row>
    <row r="444" spans="1:45" x14ac:dyDescent="0.35">
      <c r="A444" t="s">
        <v>45</v>
      </c>
      <c r="B444" t="s">
        <v>1009</v>
      </c>
      <c r="C444" t="s">
        <v>58</v>
      </c>
      <c r="D444" t="s">
        <v>1099</v>
      </c>
      <c r="E444" t="s">
        <v>1099</v>
      </c>
      <c r="F444" t="s">
        <v>76</v>
      </c>
      <c r="G444" t="s">
        <v>1100</v>
      </c>
      <c r="H444" t="s">
        <v>1101</v>
      </c>
      <c r="J444" t="str">
        <f>HYPERLINK("https://www.youtube.com/watch?v=65ZAtNfHLmk&amp;lc=UgzwB9TPa2NUNboeh9p4AaABAg","https://www.youtube.com/watch?v=65ZAtNfHLmk&amp;lc=UgzwB9TPa2NUNboeh9p4AaABAg")</f>
        <v>https://www.youtube.com/watch?v=65ZAtNfHLmk&amp;lc=UgzwB9TPa2NUNboeh9p4AaABAg</v>
      </c>
      <c r="O444">
        <v>0</v>
      </c>
      <c r="P444">
        <v>0</v>
      </c>
      <c r="Q444">
        <v>0</v>
      </c>
      <c r="S444">
        <v>0</v>
      </c>
      <c r="T444">
        <v>0</v>
      </c>
      <c r="U444">
        <v>0</v>
      </c>
      <c r="W444" t="s">
        <v>62</v>
      </c>
    </row>
    <row r="445" spans="1:45" x14ac:dyDescent="0.35">
      <c r="A445" t="s">
        <v>45</v>
      </c>
      <c r="B445" t="s">
        <v>1009</v>
      </c>
      <c r="C445" t="s">
        <v>63</v>
      </c>
      <c r="D445" t="s">
        <v>487</v>
      </c>
      <c r="E445" t="s">
        <v>487</v>
      </c>
      <c r="F445" t="s">
        <v>49</v>
      </c>
      <c r="G445" t="s">
        <v>1102</v>
      </c>
      <c r="H445" t="s">
        <v>1103</v>
      </c>
      <c r="J445" t="str">
        <f>HYPERLINK("https://www.instagram.com/reel/C466fxjhUNl/","https://www.instagram.com/reel/C466fxjhUNl/")</f>
        <v>https://www.instagram.com/reel/C466fxjhUNl/</v>
      </c>
      <c r="O445">
        <v>0</v>
      </c>
      <c r="P445">
        <v>0</v>
      </c>
      <c r="Q445">
        <v>0</v>
      </c>
      <c r="S445">
        <v>0</v>
      </c>
      <c r="T445">
        <v>0</v>
      </c>
      <c r="U445">
        <v>0</v>
      </c>
      <c r="W445" t="s">
        <v>62</v>
      </c>
    </row>
    <row r="446" spans="1:45" x14ac:dyDescent="0.35">
      <c r="A446" t="s">
        <v>45</v>
      </c>
      <c r="B446" t="s">
        <v>1009</v>
      </c>
      <c r="C446" t="s">
        <v>58</v>
      </c>
      <c r="D446" t="s">
        <v>1104</v>
      </c>
      <c r="E446" t="s">
        <v>1104</v>
      </c>
      <c r="F446" t="s">
        <v>49</v>
      </c>
      <c r="G446" t="s">
        <v>1105</v>
      </c>
      <c r="H446" t="s">
        <v>1106</v>
      </c>
      <c r="J446" t="str">
        <f>HYPERLINK("https://www.youtube.com/watch?v=4Z5xcbphLMQ&amp;lc=UgxumU43D4x4rDnML3p4AaABAg","https://www.youtube.com/watch?v=4Z5xcbphLMQ&amp;lc=UgxumU43D4x4rDnML3p4AaABAg")</f>
        <v>https://www.youtube.com/watch?v=4Z5xcbphLMQ&amp;lc=UgxumU43D4x4rDnML3p4AaABAg</v>
      </c>
      <c r="O446">
        <v>0</v>
      </c>
      <c r="P446">
        <v>0</v>
      </c>
      <c r="Q446">
        <v>0</v>
      </c>
      <c r="S446">
        <v>0</v>
      </c>
      <c r="T446">
        <v>0</v>
      </c>
      <c r="U446">
        <v>0</v>
      </c>
      <c r="W446" t="s">
        <v>62</v>
      </c>
    </row>
    <row r="447" spans="1:45" x14ac:dyDescent="0.35">
      <c r="A447" t="s">
        <v>45</v>
      </c>
      <c r="B447" t="s">
        <v>1009</v>
      </c>
      <c r="C447" t="s">
        <v>47</v>
      </c>
      <c r="D447" t="s">
        <v>1107</v>
      </c>
      <c r="E447" t="s">
        <v>1107</v>
      </c>
      <c r="F447" t="s">
        <v>49</v>
      </c>
      <c r="G447" t="s">
        <v>1108</v>
      </c>
      <c r="H447" t="s">
        <v>1109</v>
      </c>
      <c r="J447" t="str">
        <f>HYPERLINK("https://www.facebook.com/454965103328545/videos/945854510284278?comment_id=665614478966468","https://www.facebook.com/454965103328545/videos/945854510284278?comment_id=665614478966468")</f>
        <v>https://www.facebook.com/454965103328545/videos/945854510284278?comment_id=665614478966468</v>
      </c>
      <c r="O447">
        <v>0</v>
      </c>
      <c r="P447">
        <v>0</v>
      </c>
      <c r="Q447">
        <v>0</v>
      </c>
      <c r="S447">
        <v>0</v>
      </c>
      <c r="T447">
        <v>0</v>
      </c>
      <c r="U447">
        <v>0</v>
      </c>
      <c r="W447" t="s">
        <v>62</v>
      </c>
    </row>
    <row r="448" spans="1:45" x14ac:dyDescent="0.35">
      <c r="A448" t="s">
        <v>45</v>
      </c>
      <c r="B448" t="s">
        <v>1009</v>
      </c>
      <c r="C448" t="s">
        <v>139</v>
      </c>
      <c r="D448" t="s">
        <v>1110</v>
      </c>
      <c r="E448" t="s">
        <v>1111</v>
      </c>
      <c r="F448" t="s">
        <v>49</v>
      </c>
      <c r="G448" t="s">
        <v>1112</v>
      </c>
      <c r="H448" t="s">
        <v>1113</v>
      </c>
      <c r="J448" t="str">
        <f>HYPERLINK("https://twitter.com/srikanthgoud008/status/1772108718710395206","https://twitter.com/srikanthgoud008/status/1772108718710395206")</f>
        <v>https://twitter.com/srikanthgoud008/status/1772108718710395206</v>
      </c>
      <c r="K448" t="s">
        <v>145</v>
      </c>
      <c r="O448">
        <v>0</v>
      </c>
      <c r="P448">
        <v>0</v>
      </c>
      <c r="Q448">
        <v>0</v>
      </c>
      <c r="R448" t="s">
        <v>1114</v>
      </c>
      <c r="S448">
        <v>0</v>
      </c>
      <c r="T448">
        <v>0</v>
      </c>
      <c r="U448">
        <v>0</v>
      </c>
      <c r="W448" t="s">
        <v>146</v>
      </c>
    </row>
    <row r="449" spans="1:23" x14ac:dyDescent="0.35">
      <c r="A449" t="s">
        <v>45</v>
      </c>
      <c r="B449" t="s">
        <v>1009</v>
      </c>
      <c r="C449" t="s">
        <v>47</v>
      </c>
      <c r="D449" t="s">
        <v>1115</v>
      </c>
      <c r="E449" t="s">
        <v>1115</v>
      </c>
      <c r="F449" t="s">
        <v>76</v>
      </c>
      <c r="G449" t="s">
        <v>1066</v>
      </c>
      <c r="H449" t="s">
        <v>1116</v>
      </c>
      <c r="J449" t="str">
        <f>HYPERLINK("https://www.facebook.com/454965103328545/posts/794161956075523?comment_id=1624282681677628","https://www.facebook.com/454965103328545/posts/794161956075523?comment_id=1624282681677628")</f>
        <v>https://www.facebook.com/454965103328545/posts/794161956075523?comment_id=1624282681677628</v>
      </c>
      <c r="O449">
        <v>0</v>
      </c>
      <c r="P449">
        <v>0</v>
      </c>
      <c r="Q449">
        <v>0</v>
      </c>
      <c r="S449">
        <v>0</v>
      </c>
      <c r="T449">
        <v>0</v>
      </c>
      <c r="U449">
        <v>0</v>
      </c>
      <c r="W449" t="s">
        <v>62</v>
      </c>
    </row>
    <row r="450" spans="1:23" x14ac:dyDescent="0.35">
      <c r="A450" t="s">
        <v>45</v>
      </c>
      <c r="B450" t="s">
        <v>1009</v>
      </c>
      <c r="C450" t="s">
        <v>47</v>
      </c>
      <c r="D450" t="s">
        <v>1117</v>
      </c>
      <c r="E450" t="s">
        <v>1117</v>
      </c>
      <c r="F450" t="s">
        <v>76</v>
      </c>
      <c r="G450" t="s">
        <v>1118</v>
      </c>
      <c r="H450" t="s">
        <v>1119</v>
      </c>
      <c r="J450" t="str">
        <f>HYPERLINK("https://www.facebook.com/357267201017935/inbox/5367043763373562/","https://www.facebook.com/357267201017935/inbox/5367043763373562/")</f>
        <v>https://www.facebook.com/357267201017935/inbox/5367043763373562/</v>
      </c>
      <c r="O450">
        <v>0</v>
      </c>
      <c r="P450">
        <v>0</v>
      </c>
      <c r="Q450">
        <v>0</v>
      </c>
      <c r="S450">
        <v>0</v>
      </c>
      <c r="T450">
        <v>0</v>
      </c>
      <c r="U450">
        <v>0</v>
      </c>
      <c r="W450" t="s">
        <v>52</v>
      </c>
    </row>
    <row r="451" spans="1:23" x14ac:dyDescent="0.35">
      <c r="A451" t="s">
        <v>45</v>
      </c>
      <c r="B451" t="s">
        <v>1009</v>
      </c>
      <c r="C451" t="s">
        <v>47</v>
      </c>
      <c r="D451" t="s">
        <v>45</v>
      </c>
      <c r="E451" t="s">
        <v>45</v>
      </c>
      <c r="F451" t="s">
        <v>49</v>
      </c>
      <c r="H451" t="s">
        <v>1120</v>
      </c>
      <c r="J451" t="str">
        <f>HYPERLINK("https://www.facebook.com/357267201017935_768115935257891","https://www.facebook.com/357267201017935_768115935257891")</f>
        <v>https://www.facebook.com/357267201017935_768115935257891</v>
      </c>
      <c r="O451">
        <v>0</v>
      </c>
      <c r="P451">
        <v>0</v>
      </c>
      <c r="Q451">
        <v>0</v>
      </c>
      <c r="S451">
        <v>0</v>
      </c>
      <c r="T451">
        <v>0</v>
      </c>
      <c r="U451">
        <v>0</v>
      </c>
      <c r="W451" t="s">
        <v>106</v>
      </c>
    </row>
    <row r="452" spans="1:23" x14ac:dyDescent="0.35">
      <c r="A452" t="s">
        <v>45</v>
      </c>
      <c r="B452" t="s">
        <v>1009</v>
      </c>
      <c r="C452" t="s">
        <v>58</v>
      </c>
      <c r="D452" t="s">
        <v>1121</v>
      </c>
      <c r="E452" t="s">
        <v>1121</v>
      </c>
      <c r="F452" t="s">
        <v>49</v>
      </c>
      <c r="G452" t="s">
        <v>1122</v>
      </c>
      <c r="H452" t="s">
        <v>1123</v>
      </c>
      <c r="J452" t="str">
        <f>HYPERLINK("https://www.youtube.com/watch?v=9ULFV93PTmI","https://www.youtube.com/watch?v=9ULFV93PTmI")</f>
        <v>https://www.youtube.com/watch?v=9ULFV93PTmI</v>
      </c>
      <c r="O452">
        <v>0</v>
      </c>
      <c r="P452">
        <v>0</v>
      </c>
      <c r="Q452">
        <v>0</v>
      </c>
      <c r="S452">
        <v>0</v>
      </c>
      <c r="T452">
        <v>0</v>
      </c>
      <c r="U452">
        <v>0</v>
      </c>
      <c r="W452" t="s">
        <v>106</v>
      </c>
    </row>
    <row r="453" spans="1:23" x14ac:dyDescent="0.35">
      <c r="A453" t="s">
        <v>45</v>
      </c>
      <c r="B453" t="s">
        <v>1009</v>
      </c>
      <c r="C453" t="s">
        <v>47</v>
      </c>
      <c r="D453" t="s">
        <v>45</v>
      </c>
      <c r="E453" t="s">
        <v>45</v>
      </c>
      <c r="F453" t="s">
        <v>49</v>
      </c>
      <c r="G453" t="s">
        <v>1124</v>
      </c>
      <c r="H453" t="s">
        <v>1125</v>
      </c>
      <c r="J453" t="str">
        <f>HYPERLINK("https://www.facebook.com/357267201017935_794161956075523","https://www.facebook.com/357267201017935_794161956075523")</f>
        <v>https://www.facebook.com/357267201017935_794161956075523</v>
      </c>
      <c r="O453">
        <v>0</v>
      </c>
      <c r="P453">
        <v>0</v>
      </c>
      <c r="Q453">
        <v>0</v>
      </c>
      <c r="S453">
        <v>3</v>
      </c>
      <c r="T453">
        <v>143</v>
      </c>
      <c r="U453">
        <v>17</v>
      </c>
      <c r="W453" t="s">
        <v>106</v>
      </c>
    </row>
    <row r="454" spans="1:23" x14ac:dyDescent="0.35">
      <c r="A454" t="s">
        <v>45</v>
      </c>
      <c r="B454" t="s">
        <v>1009</v>
      </c>
      <c r="C454" t="s">
        <v>63</v>
      </c>
      <c r="D454" t="s">
        <v>186</v>
      </c>
      <c r="E454" t="s">
        <v>186</v>
      </c>
      <c r="F454" t="s">
        <v>49</v>
      </c>
      <c r="G454" t="s">
        <v>1124</v>
      </c>
      <c r="H454" t="s">
        <v>1126</v>
      </c>
      <c r="J454" t="str">
        <f>HYPERLINK("https://www.instagram.com/reel/C466fxjhUNl/","https://www.instagram.com/reel/C466fxjhUNl/")</f>
        <v>https://www.instagram.com/reel/C466fxjhUNl/</v>
      </c>
      <c r="O454">
        <v>0</v>
      </c>
      <c r="P454">
        <v>0</v>
      </c>
      <c r="Q454">
        <v>0</v>
      </c>
      <c r="S454">
        <v>5</v>
      </c>
      <c r="T454">
        <v>202</v>
      </c>
      <c r="U454">
        <v>0</v>
      </c>
      <c r="W454" t="s">
        <v>106</v>
      </c>
    </row>
    <row r="455" spans="1:23" x14ac:dyDescent="0.35">
      <c r="A455" t="s">
        <v>45</v>
      </c>
      <c r="B455" t="s">
        <v>1009</v>
      </c>
      <c r="C455" t="s">
        <v>58</v>
      </c>
      <c r="D455" t="s">
        <v>45</v>
      </c>
      <c r="E455" t="s">
        <v>45</v>
      </c>
      <c r="F455" t="s">
        <v>49</v>
      </c>
      <c r="G455" t="s">
        <v>1066</v>
      </c>
      <c r="H455" t="s">
        <v>1127</v>
      </c>
      <c r="J455" t="str">
        <f>HYPERLINK("https://www.youtube.com/watch?v=65ZAtNfHLmk","https://www.youtube.com/watch?v=65ZAtNfHLmk")</f>
        <v>https://www.youtube.com/watch?v=65ZAtNfHLmk</v>
      </c>
      <c r="O455">
        <v>0</v>
      </c>
      <c r="P455">
        <v>0</v>
      </c>
      <c r="Q455">
        <v>0</v>
      </c>
      <c r="S455">
        <v>0</v>
      </c>
      <c r="T455">
        <v>0</v>
      </c>
      <c r="U455">
        <v>0</v>
      </c>
      <c r="W455" t="s">
        <v>106</v>
      </c>
    </row>
    <row r="456" spans="1:23" x14ac:dyDescent="0.35">
      <c r="A456" t="s">
        <v>45</v>
      </c>
      <c r="B456" t="s">
        <v>1009</v>
      </c>
      <c r="C456" t="s">
        <v>139</v>
      </c>
      <c r="D456" t="s">
        <v>190</v>
      </c>
      <c r="E456" t="s">
        <v>45</v>
      </c>
      <c r="F456" t="s">
        <v>49</v>
      </c>
      <c r="G456" t="s">
        <v>1081</v>
      </c>
      <c r="H456" t="s">
        <v>1128</v>
      </c>
      <c r="J456" t="str">
        <f>HYPERLINK("https://twitter.com/FinoPaymntsBank/status/1772088517616705917","https://twitter.com/FinoPaymntsBank/status/1772088517616705917")</f>
        <v>https://twitter.com/FinoPaymntsBank/status/1772088517616705917</v>
      </c>
      <c r="K456" t="s">
        <v>145</v>
      </c>
      <c r="O456">
        <v>0</v>
      </c>
      <c r="P456">
        <v>0</v>
      </c>
      <c r="Q456">
        <v>8473</v>
      </c>
      <c r="R456" t="s">
        <v>193</v>
      </c>
      <c r="S456">
        <v>0</v>
      </c>
      <c r="T456">
        <v>0</v>
      </c>
      <c r="U456">
        <v>0</v>
      </c>
      <c r="W456" t="s">
        <v>146</v>
      </c>
    </row>
    <row r="457" spans="1:23" x14ac:dyDescent="0.35">
      <c r="A457" t="s">
        <v>45</v>
      </c>
      <c r="B457" t="s">
        <v>1009</v>
      </c>
      <c r="C457" t="s">
        <v>47</v>
      </c>
      <c r="F457" t="s">
        <v>49</v>
      </c>
      <c r="G457" t="s">
        <v>1129</v>
      </c>
      <c r="H457" t="s">
        <v>1130</v>
      </c>
      <c r="J457" t="str">
        <f>HYPERLINK("https://www.facebook.com/3339111299495920_3659578727657454","https://www.facebook.com/3339111299495920_3659578727657454")</f>
        <v>https://www.facebook.com/3339111299495920_3659578727657454</v>
      </c>
      <c r="O457">
        <v>0</v>
      </c>
      <c r="P457">
        <v>0</v>
      </c>
      <c r="Q457">
        <v>0</v>
      </c>
      <c r="S457">
        <v>0</v>
      </c>
      <c r="T457">
        <v>0</v>
      </c>
      <c r="U457">
        <v>0</v>
      </c>
      <c r="W457" t="s">
        <v>106</v>
      </c>
    </row>
    <row r="458" spans="1:23" x14ac:dyDescent="0.35">
      <c r="A458" t="s">
        <v>45</v>
      </c>
      <c r="B458" t="s">
        <v>1009</v>
      </c>
      <c r="C458" t="s">
        <v>139</v>
      </c>
      <c r="D458" t="s">
        <v>1131</v>
      </c>
      <c r="E458" t="s">
        <v>1132</v>
      </c>
      <c r="F458" t="s">
        <v>49</v>
      </c>
      <c r="G458" t="s">
        <v>1133</v>
      </c>
      <c r="H458" t="s">
        <v>1134</v>
      </c>
      <c r="J458" t="str">
        <f>HYPERLINK("https://twitter.com/jimmie25320313/status/1772055107158380864","https://twitter.com/jimmie25320313/status/1772055107158380864")</f>
        <v>https://twitter.com/jimmie25320313/status/1772055107158380864</v>
      </c>
      <c r="O458">
        <v>0</v>
      </c>
      <c r="P458">
        <v>0</v>
      </c>
      <c r="Q458">
        <v>0</v>
      </c>
      <c r="S458">
        <v>0</v>
      </c>
      <c r="T458">
        <v>0</v>
      </c>
      <c r="U458">
        <v>0</v>
      </c>
      <c r="W458" t="s">
        <v>146</v>
      </c>
    </row>
    <row r="459" spans="1:23" x14ac:dyDescent="0.35">
      <c r="A459" t="s">
        <v>45</v>
      </c>
      <c r="B459" t="s">
        <v>1135</v>
      </c>
      <c r="C459" t="s">
        <v>47</v>
      </c>
      <c r="D459" t="s">
        <v>1136</v>
      </c>
      <c r="E459" t="s">
        <v>1136</v>
      </c>
      <c r="F459" t="s">
        <v>49</v>
      </c>
      <c r="G459" t="s">
        <v>1137</v>
      </c>
      <c r="H459" t="s">
        <v>1138</v>
      </c>
      <c r="J459" t="str">
        <f>HYPERLINK("https://www.facebook.com/454965103328545/posts/791649272993458?comment_id=773779471361811","https://www.facebook.com/454965103328545/posts/791649272993458?comment_id=773779471361811")</f>
        <v>https://www.facebook.com/454965103328545/posts/791649272993458?comment_id=773779471361811</v>
      </c>
      <c r="O459">
        <v>0</v>
      </c>
      <c r="P459">
        <v>0</v>
      </c>
      <c r="Q459">
        <v>0</v>
      </c>
      <c r="S459">
        <v>0</v>
      </c>
      <c r="T459">
        <v>0</v>
      </c>
      <c r="U459">
        <v>0</v>
      </c>
      <c r="W459" t="s">
        <v>62</v>
      </c>
    </row>
    <row r="460" spans="1:23" x14ac:dyDescent="0.35">
      <c r="A460" t="s">
        <v>45</v>
      </c>
      <c r="B460" t="s">
        <v>1135</v>
      </c>
      <c r="C460" t="s">
        <v>58</v>
      </c>
      <c r="D460" t="s">
        <v>1139</v>
      </c>
      <c r="E460" t="s">
        <v>1139</v>
      </c>
      <c r="F460" t="s">
        <v>49</v>
      </c>
      <c r="G460" t="s">
        <v>1140</v>
      </c>
      <c r="H460" t="s">
        <v>1141</v>
      </c>
      <c r="J460" t="str">
        <f>HYPERLINK("https://www.youtube.com/watch?v=d6R9a7uU1Q0","https://www.youtube.com/watch?v=d6R9a7uU1Q0")</f>
        <v>https://www.youtube.com/watch?v=d6R9a7uU1Q0</v>
      </c>
      <c r="O460">
        <v>0</v>
      </c>
      <c r="P460">
        <v>0</v>
      </c>
      <c r="Q460">
        <v>0</v>
      </c>
      <c r="S460">
        <v>0</v>
      </c>
      <c r="T460">
        <v>0</v>
      </c>
      <c r="U460">
        <v>0</v>
      </c>
      <c r="W460" t="s">
        <v>106</v>
      </c>
    </row>
    <row r="461" spans="1:23" x14ac:dyDescent="0.35">
      <c r="A461" t="s">
        <v>45</v>
      </c>
      <c r="B461" t="s">
        <v>1135</v>
      </c>
      <c r="C461" t="s">
        <v>58</v>
      </c>
      <c r="D461" t="s">
        <v>1142</v>
      </c>
      <c r="E461" t="s">
        <v>1142</v>
      </c>
      <c r="F461" t="s">
        <v>49</v>
      </c>
      <c r="G461" t="s">
        <v>1143</v>
      </c>
      <c r="H461" t="s">
        <v>1144</v>
      </c>
      <c r="J461" t="str">
        <f>HYPERLINK("https://www.youtube.com/watch?v=yo_xLwwbl7E","https://www.youtube.com/watch?v=yo_xLwwbl7E")</f>
        <v>https://www.youtube.com/watch?v=yo_xLwwbl7E</v>
      </c>
      <c r="O461">
        <v>0</v>
      </c>
      <c r="P461">
        <v>0</v>
      </c>
      <c r="Q461">
        <v>0</v>
      </c>
      <c r="S461">
        <v>0</v>
      </c>
      <c r="T461">
        <v>0</v>
      </c>
      <c r="U461">
        <v>0</v>
      </c>
      <c r="W461" t="s">
        <v>106</v>
      </c>
    </row>
    <row r="462" spans="1:23" x14ac:dyDescent="0.35">
      <c r="A462" t="s">
        <v>45</v>
      </c>
      <c r="B462" t="s">
        <v>1135</v>
      </c>
      <c r="C462" t="s">
        <v>47</v>
      </c>
      <c r="D462" t="s">
        <v>1145</v>
      </c>
      <c r="E462" t="s">
        <v>1145</v>
      </c>
      <c r="F462" t="s">
        <v>49</v>
      </c>
      <c r="G462" t="s">
        <v>1146</v>
      </c>
      <c r="H462" t="s">
        <v>1147</v>
      </c>
      <c r="J462" t="str">
        <f>HYPERLINK("https://www.facebook.com/357267201017935/inbox/7194640543947199/","https://www.facebook.com/357267201017935/inbox/7194640543947199/")</f>
        <v>https://www.facebook.com/357267201017935/inbox/7194640543947199/</v>
      </c>
      <c r="O462">
        <v>0</v>
      </c>
      <c r="P462">
        <v>0</v>
      </c>
      <c r="Q462">
        <v>0</v>
      </c>
      <c r="S462">
        <v>0</v>
      </c>
      <c r="T462">
        <v>0</v>
      </c>
      <c r="U462">
        <v>0</v>
      </c>
      <c r="W462" t="s">
        <v>52</v>
      </c>
    </row>
    <row r="463" spans="1:23" x14ac:dyDescent="0.35">
      <c r="A463" t="s">
        <v>45</v>
      </c>
      <c r="B463" t="s">
        <v>1135</v>
      </c>
      <c r="C463" t="s">
        <v>58</v>
      </c>
      <c r="D463" t="s">
        <v>1068</v>
      </c>
      <c r="E463" t="s">
        <v>1068</v>
      </c>
      <c r="F463" t="s">
        <v>49</v>
      </c>
      <c r="G463" t="s">
        <v>1148</v>
      </c>
      <c r="H463" t="s">
        <v>1149</v>
      </c>
      <c r="J463" t="str">
        <f>HYPERLINK("https://www.youtube.com/watch?v=ETtwdinpwWg","https://www.youtube.com/watch?v=ETtwdinpwWg")</f>
        <v>https://www.youtube.com/watch?v=ETtwdinpwWg</v>
      </c>
      <c r="O463">
        <v>0</v>
      </c>
      <c r="P463">
        <v>0</v>
      </c>
      <c r="Q463">
        <v>0</v>
      </c>
      <c r="S463">
        <v>0</v>
      </c>
      <c r="T463">
        <v>0</v>
      </c>
      <c r="U463">
        <v>0</v>
      </c>
      <c r="W463" t="s">
        <v>106</v>
      </c>
    </row>
    <row r="464" spans="1:23" x14ac:dyDescent="0.35">
      <c r="A464" t="s">
        <v>45</v>
      </c>
      <c r="B464" t="s">
        <v>1135</v>
      </c>
      <c r="C464" t="s">
        <v>102</v>
      </c>
      <c r="D464" t="s">
        <v>965</v>
      </c>
      <c r="E464" t="s">
        <v>965</v>
      </c>
      <c r="F464" t="s">
        <v>49</v>
      </c>
      <c r="G464" t="s">
        <v>1150</v>
      </c>
      <c r="H464" t="s">
        <v>1151</v>
      </c>
      <c r="J464" t="str">
        <f>HYPERLINK("https://www.linkedin.com/feed/update/urn:li:ugcPost:7177660184058621952","https://www.linkedin.com/feed/update/urn:li:ugcPost:7177660184058621952")</f>
        <v>https://www.linkedin.com/feed/update/urn:li:ugcPost:7177660184058621952</v>
      </c>
      <c r="O464">
        <v>0</v>
      </c>
      <c r="P464">
        <v>0</v>
      </c>
      <c r="Q464">
        <v>0</v>
      </c>
      <c r="S464">
        <v>0</v>
      </c>
      <c r="T464">
        <v>0</v>
      </c>
      <c r="U464">
        <v>0</v>
      </c>
      <c r="W464" t="s">
        <v>106</v>
      </c>
    </row>
    <row r="465" spans="1:42" x14ac:dyDescent="0.35">
      <c r="A465" t="s">
        <v>45</v>
      </c>
      <c r="B465" t="s">
        <v>1135</v>
      </c>
      <c r="C465" t="s">
        <v>58</v>
      </c>
      <c r="D465" t="s">
        <v>1152</v>
      </c>
      <c r="E465" t="s">
        <v>1152</v>
      </c>
      <c r="F465" t="s">
        <v>49</v>
      </c>
      <c r="G465" t="s">
        <v>1153</v>
      </c>
      <c r="H465" t="s">
        <v>1154</v>
      </c>
      <c r="J465" t="str">
        <f>HYPERLINK("https://www.youtube.com/watch?v=RVtpJMJYdwA","https://www.youtube.com/watch?v=RVtpJMJYdwA")</f>
        <v>https://www.youtube.com/watch?v=RVtpJMJYdwA</v>
      </c>
      <c r="O465">
        <v>0</v>
      </c>
      <c r="P465">
        <v>0</v>
      </c>
      <c r="Q465">
        <v>0</v>
      </c>
      <c r="S465">
        <v>0</v>
      </c>
      <c r="T465">
        <v>0</v>
      </c>
      <c r="U465">
        <v>0</v>
      </c>
      <c r="W465" t="s">
        <v>106</v>
      </c>
    </row>
    <row r="466" spans="1:42" x14ac:dyDescent="0.35">
      <c r="A466" t="s">
        <v>45</v>
      </c>
      <c r="B466" t="s">
        <v>1135</v>
      </c>
      <c r="C466" t="s">
        <v>63</v>
      </c>
      <c r="D466" t="s">
        <v>1155</v>
      </c>
      <c r="E466" t="s">
        <v>1155</v>
      </c>
      <c r="F466" t="s">
        <v>49</v>
      </c>
      <c r="G466" t="s">
        <v>1156</v>
      </c>
      <c r="H466" t="s">
        <v>1157</v>
      </c>
      <c r="J466" t="str">
        <f>HYPERLINK("https://www.instagram.com/p/C3VES0FgrdQ/","https://www.instagram.com/p/C3VES0FgrdQ/")</f>
        <v>https://www.instagram.com/p/C3VES0FgrdQ/</v>
      </c>
      <c r="O466">
        <v>0</v>
      </c>
      <c r="P466">
        <v>0</v>
      </c>
      <c r="Q466">
        <v>0</v>
      </c>
      <c r="S466">
        <v>0</v>
      </c>
      <c r="T466">
        <v>0</v>
      </c>
      <c r="U466">
        <v>0</v>
      </c>
      <c r="W466" t="s">
        <v>62</v>
      </c>
    </row>
    <row r="467" spans="1:42" x14ac:dyDescent="0.35">
      <c r="A467" t="s">
        <v>45</v>
      </c>
      <c r="B467" t="s">
        <v>1135</v>
      </c>
      <c r="C467" t="s">
        <v>47</v>
      </c>
      <c r="D467" t="s">
        <v>445</v>
      </c>
      <c r="E467" t="s">
        <v>445</v>
      </c>
      <c r="F467" t="s">
        <v>49</v>
      </c>
      <c r="G467" t="s">
        <v>1158</v>
      </c>
      <c r="H467" t="s">
        <v>1159</v>
      </c>
      <c r="J467" t="str">
        <f>HYPERLINK("https://www.facebook.com/454965103328545/posts/792232949601757?comment_id=1394688517840641&amp;reply_comment_id=845763307273821","https://www.facebook.com/454965103328545/posts/792232949601757?comment_id=1394688517840641&amp;reply_comment_id=845763307273821")</f>
        <v>https://www.facebook.com/454965103328545/posts/792232949601757?comment_id=1394688517840641&amp;reply_comment_id=845763307273821</v>
      </c>
      <c r="O467">
        <v>0</v>
      </c>
      <c r="P467">
        <v>0</v>
      </c>
      <c r="Q467">
        <v>0</v>
      </c>
      <c r="S467">
        <v>0</v>
      </c>
      <c r="T467">
        <v>0</v>
      </c>
      <c r="U467">
        <v>0</v>
      </c>
      <c r="W467" t="s">
        <v>62</v>
      </c>
      <c r="AP467" t="s">
        <v>94</v>
      </c>
    </row>
    <row r="468" spans="1:42" x14ac:dyDescent="0.35">
      <c r="A468" t="s">
        <v>45</v>
      </c>
      <c r="B468" t="s">
        <v>1135</v>
      </c>
      <c r="C468" t="s">
        <v>47</v>
      </c>
      <c r="D468" t="s">
        <v>445</v>
      </c>
      <c r="E468" t="s">
        <v>445</v>
      </c>
      <c r="F468" t="s">
        <v>49</v>
      </c>
      <c r="G468" t="s">
        <v>475</v>
      </c>
      <c r="H468" t="s">
        <v>1160</v>
      </c>
      <c r="J468" t="str">
        <f>HYPERLINK("https://www.facebook.com/454965103328545/posts/793353449489707?comment_id=439664438581692","https://www.facebook.com/454965103328545/posts/793353449489707?comment_id=439664438581692")</f>
        <v>https://www.facebook.com/454965103328545/posts/793353449489707?comment_id=439664438581692</v>
      </c>
      <c r="O468">
        <v>0</v>
      </c>
      <c r="P468">
        <v>0</v>
      </c>
      <c r="Q468">
        <v>0</v>
      </c>
      <c r="S468">
        <v>0</v>
      </c>
      <c r="T468">
        <v>0</v>
      </c>
      <c r="U468">
        <v>0</v>
      </c>
      <c r="W468" t="s">
        <v>62</v>
      </c>
      <c r="AP468" t="s">
        <v>101</v>
      </c>
    </row>
    <row r="469" spans="1:42" x14ac:dyDescent="0.35">
      <c r="A469" t="s">
        <v>45</v>
      </c>
      <c r="B469" t="s">
        <v>1135</v>
      </c>
      <c r="C469" t="s">
        <v>47</v>
      </c>
      <c r="D469" t="s">
        <v>445</v>
      </c>
      <c r="E469" t="s">
        <v>445</v>
      </c>
      <c r="F469" t="s">
        <v>142</v>
      </c>
      <c r="G469" t="s">
        <v>473</v>
      </c>
      <c r="H469" t="s">
        <v>1161</v>
      </c>
      <c r="J469" t="str">
        <f>HYPERLINK("https://www.facebook.com/454965103328545/posts/793353449489707?comment_id=6496562580446837","https://www.facebook.com/454965103328545/posts/793353449489707?comment_id=6496562580446837")</f>
        <v>https://www.facebook.com/454965103328545/posts/793353449489707?comment_id=6496562580446837</v>
      </c>
      <c r="O469">
        <v>0</v>
      </c>
      <c r="P469">
        <v>0</v>
      </c>
      <c r="Q469">
        <v>0</v>
      </c>
      <c r="S469">
        <v>0</v>
      </c>
      <c r="T469">
        <v>0</v>
      </c>
      <c r="U469">
        <v>0</v>
      </c>
      <c r="W469" t="s">
        <v>62</v>
      </c>
    </row>
    <row r="470" spans="1:42" x14ac:dyDescent="0.35">
      <c r="A470" t="s">
        <v>45</v>
      </c>
      <c r="B470" t="s">
        <v>1135</v>
      </c>
      <c r="C470" t="s">
        <v>47</v>
      </c>
      <c r="D470" t="s">
        <v>445</v>
      </c>
      <c r="E470" t="s">
        <v>445</v>
      </c>
      <c r="F470" t="s">
        <v>49</v>
      </c>
      <c r="G470" t="s">
        <v>477</v>
      </c>
      <c r="H470" t="s">
        <v>1162</v>
      </c>
      <c r="J470" t="str">
        <f>HYPERLINK("https://www.facebook.com/454965103328545/posts/793353449489707?comment_id=1646458259453535","https://www.facebook.com/454965103328545/posts/793353449489707?comment_id=1646458259453535")</f>
        <v>https://www.facebook.com/454965103328545/posts/793353449489707?comment_id=1646458259453535</v>
      </c>
      <c r="O470">
        <v>0</v>
      </c>
      <c r="P470">
        <v>0</v>
      </c>
      <c r="Q470">
        <v>0</v>
      </c>
      <c r="S470">
        <v>0</v>
      </c>
      <c r="T470">
        <v>0</v>
      </c>
      <c r="U470">
        <v>0</v>
      </c>
      <c r="W470" t="s">
        <v>62</v>
      </c>
    </row>
    <row r="471" spans="1:42" x14ac:dyDescent="0.35">
      <c r="A471" t="s">
        <v>45</v>
      </c>
      <c r="B471" t="s">
        <v>1135</v>
      </c>
      <c r="C471" t="s">
        <v>47</v>
      </c>
      <c r="D471" t="s">
        <v>445</v>
      </c>
      <c r="E471" t="s">
        <v>445</v>
      </c>
      <c r="F471" t="s">
        <v>49</v>
      </c>
      <c r="G471" t="s">
        <v>471</v>
      </c>
      <c r="H471" t="s">
        <v>1163</v>
      </c>
      <c r="J471" t="str">
        <f>HYPERLINK("https://www.facebook.com/454965103328545/posts/793353449489707?comment_id=3348037188827284","https://www.facebook.com/454965103328545/posts/793353449489707?comment_id=3348037188827284")</f>
        <v>https://www.facebook.com/454965103328545/posts/793353449489707?comment_id=3348037188827284</v>
      </c>
      <c r="O471">
        <v>0</v>
      </c>
      <c r="P471">
        <v>0</v>
      </c>
      <c r="Q471">
        <v>0</v>
      </c>
      <c r="S471">
        <v>0</v>
      </c>
      <c r="T471">
        <v>0</v>
      </c>
      <c r="U471">
        <v>0</v>
      </c>
      <c r="W471" t="s">
        <v>62</v>
      </c>
    </row>
    <row r="472" spans="1:42" x14ac:dyDescent="0.35">
      <c r="A472" t="s">
        <v>45</v>
      </c>
      <c r="B472" t="s">
        <v>1135</v>
      </c>
      <c r="C472" t="s">
        <v>47</v>
      </c>
      <c r="F472" t="s">
        <v>76</v>
      </c>
      <c r="G472" t="s">
        <v>1164</v>
      </c>
      <c r="H472" t="s">
        <v>1165</v>
      </c>
      <c r="J472" t="str">
        <f>HYPERLINK("https://www.facebook.com/104568975903939_3684598501826187","https://www.facebook.com/104568975903939_3684598501826187")</f>
        <v>https://www.facebook.com/104568975903939_3684598501826187</v>
      </c>
      <c r="O472">
        <v>0</v>
      </c>
      <c r="P472">
        <v>0</v>
      </c>
      <c r="Q472">
        <v>0</v>
      </c>
      <c r="S472">
        <v>0</v>
      </c>
      <c r="T472">
        <v>0</v>
      </c>
      <c r="U472">
        <v>0</v>
      </c>
      <c r="W472" t="s">
        <v>106</v>
      </c>
    </row>
    <row r="473" spans="1:42" x14ac:dyDescent="0.35">
      <c r="A473" t="s">
        <v>45</v>
      </c>
      <c r="B473" t="s">
        <v>1135</v>
      </c>
      <c r="C473" t="s">
        <v>63</v>
      </c>
      <c r="D473" t="s">
        <v>1166</v>
      </c>
      <c r="E473" t="s">
        <v>1166</v>
      </c>
      <c r="F473" t="s">
        <v>49</v>
      </c>
      <c r="G473" t="s">
        <v>1167</v>
      </c>
      <c r="H473" t="s">
        <v>1168</v>
      </c>
      <c r="J473" t="str">
        <f>HYPERLINK("https://www.instagram.com/reel/C42LP53BVdn/","https://www.instagram.com/reel/C42LP53BVdn/")</f>
        <v>https://www.instagram.com/reel/C42LP53BVdn/</v>
      </c>
      <c r="O473">
        <v>0</v>
      </c>
      <c r="P473">
        <v>0</v>
      </c>
      <c r="Q473">
        <v>0</v>
      </c>
      <c r="S473">
        <v>0</v>
      </c>
      <c r="T473">
        <v>0</v>
      </c>
      <c r="U473">
        <v>0</v>
      </c>
      <c r="W473" t="s">
        <v>62</v>
      </c>
    </row>
    <row r="474" spans="1:42" x14ac:dyDescent="0.35">
      <c r="A474" t="s">
        <v>45</v>
      </c>
      <c r="B474" t="s">
        <v>1135</v>
      </c>
      <c r="C474" t="s">
        <v>102</v>
      </c>
      <c r="D474" t="s">
        <v>1169</v>
      </c>
      <c r="E474" t="s">
        <v>1169</v>
      </c>
      <c r="F474" t="s">
        <v>76</v>
      </c>
      <c r="G474" t="s">
        <v>1170</v>
      </c>
      <c r="H474" t="s">
        <v>1171</v>
      </c>
      <c r="J474" t="str">
        <f>HYPERLINK("https://www.linkedin.com/feed/update/urn:li:activity:7177554357687644160","https://www.linkedin.com/feed/update/urn:li:activity:7177554357687644160")</f>
        <v>https://www.linkedin.com/feed/update/urn:li:activity:7177554357687644160</v>
      </c>
      <c r="O474">
        <v>0</v>
      </c>
      <c r="P474">
        <v>0</v>
      </c>
      <c r="Q474">
        <v>0</v>
      </c>
      <c r="S474">
        <v>0</v>
      </c>
      <c r="T474">
        <v>0</v>
      </c>
      <c r="U474">
        <v>0</v>
      </c>
      <c r="W474" t="s">
        <v>106</v>
      </c>
    </row>
    <row r="475" spans="1:42" x14ac:dyDescent="0.35">
      <c r="A475" t="s">
        <v>45</v>
      </c>
      <c r="B475" t="s">
        <v>1135</v>
      </c>
      <c r="C475" t="s">
        <v>58</v>
      </c>
      <c r="D475" t="s">
        <v>1172</v>
      </c>
      <c r="E475" t="s">
        <v>1172</v>
      </c>
      <c r="F475" t="s">
        <v>49</v>
      </c>
      <c r="G475" t="s">
        <v>1173</v>
      </c>
      <c r="H475" t="s">
        <v>1174</v>
      </c>
      <c r="J475" t="str">
        <f>HYPERLINK("https://www.youtube.com/watch?v=cMo6LaqP0eQ","https://www.youtube.com/watch?v=cMo6LaqP0eQ")</f>
        <v>https://www.youtube.com/watch?v=cMo6LaqP0eQ</v>
      </c>
      <c r="O475">
        <v>0</v>
      </c>
      <c r="P475">
        <v>0</v>
      </c>
      <c r="Q475">
        <v>0</v>
      </c>
      <c r="S475">
        <v>0</v>
      </c>
      <c r="T475">
        <v>0</v>
      </c>
      <c r="U475">
        <v>0</v>
      </c>
      <c r="W475" t="s">
        <v>106</v>
      </c>
    </row>
    <row r="476" spans="1:42" x14ac:dyDescent="0.35">
      <c r="A476" t="s">
        <v>45</v>
      </c>
      <c r="B476" t="s">
        <v>1135</v>
      </c>
      <c r="C476" t="s">
        <v>63</v>
      </c>
      <c r="D476" t="s">
        <v>1175</v>
      </c>
      <c r="E476" t="s">
        <v>1175</v>
      </c>
      <c r="F476" t="s">
        <v>49</v>
      </c>
      <c r="G476" t="s">
        <v>1176</v>
      </c>
      <c r="H476" t="s">
        <v>1177</v>
      </c>
      <c r="J476" t="str">
        <f>HYPERLINK("https://www.instagram.com/p/C4ucfvtgGcP/","https://www.instagram.com/p/C4ucfvtgGcP/")</f>
        <v>https://www.instagram.com/p/C4ucfvtgGcP/</v>
      </c>
      <c r="O476">
        <v>0</v>
      </c>
      <c r="P476">
        <v>0</v>
      </c>
      <c r="Q476">
        <v>0</v>
      </c>
      <c r="S476">
        <v>0</v>
      </c>
      <c r="T476">
        <v>0</v>
      </c>
      <c r="U476">
        <v>0</v>
      </c>
      <c r="W476" t="s">
        <v>62</v>
      </c>
    </row>
    <row r="477" spans="1:42" x14ac:dyDescent="0.35">
      <c r="A477" t="s">
        <v>45</v>
      </c>
      <c r="B477" t="s">
        <v>1135</v>
      </c>
      <c r="C477" t="s">
        <v>47</v>
      </c>
      <c r="F477" t="s">
        <v>49</v>
      </c>
      <c r="G477" t="s">
        <v>1178</v>
      </c>
      <c r="H477" t="s">
        <v>1179</v>
      </c>
      <c r="J477" t="str">
        <f>HYPERLINK("https://www.facebook.com/3339111299495920_3658922391056421","https://www.facebook.com/3339111299495920_3658922391056421")</f>
        <v>https://www.facebook.com/3339111299495920_3658922391056421</v>
      </c>
      <c r="O477">
        <v>0</v>
      </c>
      <c r="P477">
        <v>0</v>
      </c>
      <c r="Q477">
        <v>0</v>
      </c>
      <c r="S477">
        <v>0</v>
      </c>
      <c r="T477">
        <v>0</v>
      </c>
      <c r="U477">
        <v>0</v>
      </c>
      <c r="W477" t="s">
        <v>106</v>
      </c>
    </row>
    <row r="478" spans="1:42" x14ac:dyDescent="0.35">
      <c r="A478" t="s">
        <v>45</v>
      </c>
      <c r="B478" t="s">
        <v>1135</v>
      </c>
      <c r="C478" t="s">
        <v>47</v>
      </c>
      <c r="D478" t="s">
        <v>1180</v>
      </c>
      <c r="E478" t="s">
        <v>1180</v>
      </c>
      <c r="F478" t="s">
        <v>49</v>
      </c>
      <c r="G478" t="s">
        <v>1181</v>
      </c>
      <c r="H478" t="s">
        <v>1182</v>
      </c>
      <c r="J478" t="str">
        <f>HYPERLINK("https://www.facebook.com/454965103328545/posts/791649272993458?comment_id=265854183243227","https://www.facebook.com/454965103328545/posts/791649272993458?comment_id=265854183243227")</f>
        <v>https://www.facebook.com/454965103328545/posts/791649272993458?comment_id=265854183243227</v>
      </c>
      <c r="O478">
        <v>0</v>
      </c>
      <c r="P478">
        <v>0</v>
      </c>
      <c r="Q478">
        <v>0</v>
      </c>
      <c r="S478">
        <v>0</v>
      </c>
      <c r="T478">
        <v>0</v>
      </c>
      <c r="U478">
        <v>0</v>
      </c>
      <c r="W478" t="s">
        <v>62</v>
      </c>
    </row>
    <row r="479" spans="1:42" x14ac:dyDescent="0.35">
      <c r="A479" t="s">
        <v>45</v>
      </c>
      <c r="B479" t="s">
        <v>1135</v>
      </c>
      <c r="C479" t="s">
        <v>58</v>
      </c>
      <c r="D479" t="s">
        <v>1099</v>
      </c>
      <c r="E479" t="s">
        <v>1099</v>
      </c>
      <c r="F479" t="s">
        <v>76</v>
      </c>
      <c r="G479" t="s">
        <v>1183</v>
      </c>
      <c r="H479" t="s">
        <v>1184</v>
      </c>
      <c r="J479" t="str">
        <f>HYPERLINK("https://www.youtube.com/watch?v=0jykPZJIZUU&amp;lc=UgwghgLdPGCq_DJ-1Ml4AaABAg","https://www.youtube.com/watch?v=0jykPZJIZUU&amp;lc=UgwghgLdPGCq_DJ-1Ml4AaABAg")</f>
        <v>https://www.youtube.com/watch?v=0jykPZJIZUU&amp;lc=UgwghgLdPGCq_DJ-1Ml4AaABAg</v>
      </c>
      <c r="O479">
        <v>0</v>
      </c>
      <c r="P479">
        <v>0</v>
      </c>
      <c r="Q479">
        <v>0</v>
      </c>
      <c r="S479">
        <v>0</v>
      </c>
      <c r="T479">
        <v>0</v>
      </c>
      <c r="U479">
        <v>0</v>
      </c>
      <c r="W479" t="s">
        <v>62</v>
      </c>
    </row>
    <row r="480" spans="1:42" x14ac:dyDescent="0.35">
      <c r="A480" t="s">
        <v>45</v>
      </c>
      <c r="B480" t="s">
        <v>1185</v>
      </c>
      <c r="C480" t="s">
        <v>139</v>
      </c>
      <c r="D480" t="s">
        <v>1186</v>
      </c>
      <c r="E480" t="s">
        <v>1187</v>
      </c>
      <c r="F480" t="s">
        <v>49</v>
      </c>
      <c r="G480" t="s">
        <v>1188</v>
      </c>
      <c r="H480" t="s">
        <v>1189</v>
      </c>
      <c r="J480" t="str">
        <f>HYPERLINK("https://twitter.com/sufiyan_77/status/1771576449243173045","https://twitter.com/sufiyan_77/status/1771576449243173045")</f>
        <v>https://twitter.com/sufiyan_77/status/1771576449243173045</v>
      </c>
      <c r="K480" t="s">
        <v>145</v>
      </c>
      <c r="O480">
        <v>0</v>
      </c>
      <c r="P480">
        <v>0</v>
      </c>
      <c r="Q480">
        <v>56</v>
      </c>
      <c r="R480" t="s">
        <v>582</v>
      </c>
      <c r="S480">
        <v>0</v>
      </c>
      <c r="T480">
        <v>0</v>
      </c>
      <c r="U480">
        <v>0</v>
      </c>
      <c r="W480" t="s">
        <v>146</v>
      </c>
    </row>
    <row r="481" spans="1:42" x14ac:dyDescent="0.35">
      <c r="A481" t="s">
        <v>45</v>
      </c>
      <c r="B481" t="s">
        <v>1185</v>
      </c>
      <c r="C481" t="s">
        <v>63</v>
      </c>
      <c r="D481" t="s">
        <v>1190</v>
      </c>
      <c r="E481" t="s">
        <v>1190</v>
      </c>
      <c r="F481" t="s">
        <v>49</v>
      </c>
      <c r="G481" t="s">
        <v>1191</v>
      </c>
      <c r="H481" t="s">
        <v>1192</v>
      </c>
      <c r="J481" t="str">
        <f>HYPERLINK("https://www.instagram.com/p/C3VES0FgrdQ/","https://www.instagram.com/p/C3VES0FgrdQ/")</f>
        <v>https://www.instagram.com/p/C3VES0FgrdQ/</v>
      </c>
      <c r="O481">
        <v>0</v>
      </c>
      <c r="P481">
        <v>0</v>
      </c>
      <c r="Q481">
        <v>0</v>
      </c>
      <c r="S481">
        <v>0</v>
      </c>
      <c r="T481">
        <v>0</v>
      </c>
      <c r="U481">
        <v>0</v>
      </c>
      <c r="W481" t="s">
        <v>62</v>
      </c>
    </row>
    <row r="482" spans="1:42" x14ac:dyDescent="0.35">
      <c r="A482" t="s">
        <v>45</v>
      </c>
      <c r="B482" t="s">
        <v>1185</v>
      </c>
      <c r="C482" t="s">
        <v>47</v>
      </c>
      <c r="D482" t="s">
        <v>1193</v>
      </c>
      <c r="E482" t="s">
        <v>1193</v>
      </c>
      <c r="F482" t="s">
        <v>49</v>
      </c>
      <c r="G482" t="s">
        <v>1194</v>
      </c>
      <c r="H482" t="s">
        <v>1195</v>
      </c>
      <c r="J482" t="str">
        <f>HYPERLINK("https://www.facebook.com/454965103328545/posts/782603903897995?comment_id=927697882389929&amp;reply_comment_id=329229803481437","https://www.facebook.com/454965103328545/posts/782603903897995?comment_id=927697882389929&amp;reply_comment_id=329229803481437")</f>
        <v>https://www.facebook.com/454965103328545/posts/782603903897995?comment_id=927697882389929&amp;reply_comment_id=329229803481437</v>
      </c>
      <c r="O482">
        <v>0</v>
      </c>
      <c r="P482">
        <v>0</v>
      </c>
      <c r="Q482">
        <v>0</v>
      </c>
      <c r="S482">
        <v>0</v>
      </c>
      <c r="T482">
        <v>0</v>
      </c>
      <c r="U482">
        <v>0</v>
      </c>
      <c r="W482" t="s">
        <v>62</v>
      </c>
    </row>
    <row r="483" spans="1:42" x14ac:dyDescent="0.35">
      <c r="A483" t="s">
        <v>45</v>
      </c>
      <c r="B483" t="s">
        <v>1185</v>
      </c>
      <c r="C483" t="s">
        <v>47</v>
      </c>
      <c r="D483" t="s">
        <v>1193</v>
      </c>
      <c r="E483" t="s">
        <v>1193</v>
      </c>
      <c r="F483" t="s">
        <v>49</v>
      </c>
      <c r="G483">
        <v>9795434643</v>
      </c>
      <c r="H483" t="s">
        <v>1196</v>
      </c>
      <c r="J483" t="str">
        <f>HYPERLINK("https://www.facebook.com/454965103328545/posts/782603903897995?comment_id=830112672274127","https://www.facebook.com/454965103328545/posts/782603903897995?comment_id=830112672274127")</f>
        <v>https://www.facebook.com/454965103328545/posts/782603903897995?comment_id=830112672274127</v>
      </c>
      <c r="O483">
        <v>0</v>
      </c>
      <c r="P483">
        <v>0</v>
      </c>
      <c r="Q483">
        <v>0</v>
      </c>
      <c r="S483">
        <v>0</v>
      </c>
      <c r="T483">
        <v>0</v>
      </c>
      <c r="U483">
        <v>0</v>
      </c>
      <c r="W483" t="s">
        <v>62</v>
      </c>
    </row>
    <row r="484" spans="1:42" x14ac:dyDescent="0.35">
      <c r="A484" t="s">
        <v>45</v>
      </c>
      <c r="B484" t="s">
        <v>1185</v>
      </c>
      <c r="C484" t="s">
        <v>47</v>
      </c>
      <c r="D484" t="s">
        <v>1197</v>
      </c>
      <c r="E484" t="s">
        <v>1197</v>
      </c>
      <c r="F484" t="s">
        <v>49</v>
      </c>
      <c r="G484" t="s">
        <v>253</v>
      </c>
      <c r="H484" t="s">
        <v>1198</v>
      </c>
      <c r="J484" t="str">
        <f>HYPERLINK("https://www.facebook.com/357267201017935/inbox/7191424757602111/","https://www.facebook.com/357267201017935/inbox/7191424757602111/")</f>
        <v>https://www.facebook.com/357267201017935/inbox/7191424757602111/</v>
      </c>
      <c r="O484">
        <v>0</v>
      </c>
      <c r="P484">
        <v>0</v>
      </c>
      <c r="Q484">
        <v>0</v>
      </c>
      <c r="S484">
        <v>0</v>
      </c>
      <c r="T484">
        <v>0</v>
      </c>
      <c r="U484">
        <v>0</v>
      </c>
      <c r="W484" t="s">
        <v>52</v>
      </c>
    </row>
    <row r="485" spans="1:42" x14ac:dyDescent="0.35">
      <c r="A485" t="s">
        <v>45</v>
      </c>
      <c r="B485" t="s">
        <v>1185</v>
      </c>
      <c r="C485" t="s">
        <v>139</v>
      </c>
      <c r="D485" t="s">
        <v>1199</v>
      </c>
      <c r="E485" t="s">
        <v>1200</v>
      </c>
      <c r="F485" t="s">
        <v>142</v>
      </c>
      <c r="G485" t="s">
        <v>1201</v>
      </c>
      <c r="H485" t="s">
        <v>1202</v>
      </c>
      <c r="J485" t="str">
        <f>HYPERLINK("https://twitter.com/Krishnatripat14/status/1771574215298228471","https://twitter.com/Krishnatripat14/status/1771574215298228471")</f>
        <v>https://twitter.com/Krishnatripat14/status/1771574215298228471</v>
      </c>
      <c r="K485" t="s">
        <v>145</v>
      </c>
      <c r="O485">
        <v>0</v>
      </c>
      <c r="P485">
        <v>0</v>
      </c>
      <c r="Q485">
        <v>104</v>
      </c>
      <c r="R485" t="s">
        <v>1203</v>
      </c>
      <c r="S485">
        <v>0</v>
      </c>
      <c r="T485">
        <v>0</v>
      </c>
      <c r="U485">
        <v>0</v>
      </c>
      <c r="W485" t="s">
        <v>146</v>
      </c>
      <c r="AO485" t="s">
        <v>67</v>
      </c>
      <c r="AP485" t="s">
        <v>147</v>
      </c>
    </row>
    <row r="486" spans="1:42" x14ac:dyDescent="0.35">
      <c r="A486" t="s">
        <v>45</v>
      </c>
      <c r="B486" t="s">
        <v>1185</v>
      </c>
      <c r="C486" t="s">
        <v>47</v>
      </c>
      <c r="D486" t="s">
        <v>1193</v>
      </c>
      <c r="E486" t="s">
        <v>1193</v>
      </c>
      <c r="F486" t="s">
        <v>49</v>
      </c>
      <c r="G486" t="s">
        <v>1204</v>
      </c>
      <c r="H486" t="s">
        <v>1205</v>
      </c>
      <c r="J486" t="str">
        <f>HYPERLINK("https://www.facebook.com/454965103328545/posts/792232949601757?comment_id=980551567022880","https://www.facebook.com/454965103328545/posts/792232949601757?comment_id=980551567022880")</f>
        <v>https://www.facebook.com/454965103328545/posts/792232949601757?comment_id=980551567022880</v>
      </c>
      <c r="O486">
        <v>0</v>
      </c>
      <c r="P486">
        <v>0</v>
      </c>
      <c r="Q486">
        <v>0</v>
      </c>
      <c r="S486">
        <v>0</v>
      </c>
      <c r="T486">
        <v>0</v>
      </c>
      <c r="U486">
        <v>0</v>
      </c>
      <c r="W486" t="s">
        <v>62</v>
      </c>
    </row>
    <row r="487" spans="1:42" x14ac:dyDescent="0.35">
      <c r="A487" t="s">
        <v>45</v>
      </c>
      <c r="B487" t="s">
        <v>1185</v>
      </c>
      <c r="C487" t="s">
        <v>47</v>
      </c>
      <c r="D487" t="s">
        <v>1193</v>
      </c>
      <c r="E487" t="s">
        <v>1193</v>
      </c>
      <c r="F487" t="s">
        <v>49</v>
      </c>
      <c r="G487" t="s">
        <v>1206</v>
      </c>
      <c r="H487" t="s">
        <v>1207</v>
      </c>
      <c r="J487" t="str">
        <f>HYPERLINK("https://www.facebook.com/454965103328545/posts/792232949601757?comment_id=7271170142997167","https://www.facebook.com/454965103328545/posts/792232949601757?comment_id=7271170142997167")</f>
        <v>https://www.facebook.com/454965103328545/posts/792232949601757?comment_id=7271170142997167</v>
      </c>
      <c r="O487">
        <v>0</v>
      </c>
      <c r="P487">
        <v>0</v>
      </c>
      <c r="Q487">
        <v>0</v>
      </c>
      <c r="S487">
        <v>0</v>
      </c>
      <c r="T487">
        <v>0</v>
      </c>
      <c r="U487">
        <v>0</v>
      </c>
      <c r="W487" t="s">
        <v>62</v>
      </c>
      <c r="AP487" t="s">
        <v>94</v>
      </c>
    </row>
    <row r="488" spans="1:42" x14ac:dyDescent="0.35">
      <c r="A488" t="s">
        <v>45</v>
      </c>
      <c r="B488" t="s">
        <v>1185</v>
      </c>
      <c r="C488" t="s">
        <v>139</v>
      </c>
      <c r="D488" t="s">
        <v>1199</v>
      </c>
      <c r="E488" t="s">
        <v>1200</v>
      </c>
      <c r="F488" t="s">
        <v>142</v>
      </c>
      <c r="G488" t="s">
        <v>1208</v>
      </c>
      <c r="H488" t="s">
        <v>1209</v>
      </c>
      <c r="J488" t="str">
        <f>HYPERLINK("https://twitter.com/Krishnatripat14/status/1771573587205308478","https://twitter.com/Krishnatripat14/status/1771573587205308478")</f>
        <v>https://twitter.com/Krishnatripat14/status/1771573587205308478</v>
      </c>
      <c r="K488" t="s">
        <v>145</v>
      </c>
      <c r="O488">
        <v>0</v>
      </c>
      <c r="P488">
        <v>0</v>
      </c>
      <c r="Q488">
        <v>104</v>
      </c>
      <c r="R488" t="s">
        <v>1203</v>
      </c>
      <c r="S488">
        <v>0</v>
      </c>
      <c r="T488">
        <v>0</v>
      </c>
      <c r="U488">
        <v>0</v>
      </c>
      <c r="W488" t="s">
        <v>146</v>
      </c>
      <c r="AO488" t="s">
        <v>67</v>
      </c>
      <c r="AP488" t="s">
        <v>147</v>
      </c>
    </row>
    <row r="489" spans="1:42" x14ac:dyDescent="0.35">
      <c r="A489" t="s">
        <v>45</v>
      </c>
      <c r="B489" t="s">
        <v>1185</v>
      </c>
      <c r="C489" t="s">
        <v>47</v>
      </c>
      <c r="D489" t="s">
        <v>1193</v>
      </c>
      <c r="E489" t="s">
        <v>1193</v>
      </c>
      <c r="F489" t="s">
        <v>49</v>
      </c>
      <c r="G489" t="s">
        <v>1210</v>
      </c>
      <c r="H489" t="s">
        <v>1211</v>
      </c>
      <c r="J489" t="str">
        <f>HYPERLINK("https://www.facebook.com/454965103328545/posts/792232949601757?comment_id=1104240707579690","https://www.facebook.com/454965103328545/posts/792232949601757?comment_id=1104240707579690")</f>
        <v>https://www.facebook.com/454965103328545/posts/792232949601757?comment_id=1104240707579690</v>
      </c>
      <c r="O489">
        <v>0</v>
      </c>
      <c r="P489">
        <v>0</v>
      </c>
      <c r="Q489">
        <v>0</v>
      </c>
      <c r="S489">
        <v>0</v>
      </c>
      <c r="T489">
        <v>0</v>
      </c>
      <c r="U489">
        <v>0</v>
      </c>
      <c r="W489" t="s">
        <v>62</v>
      </c>
    </row>
    <row r="490" spans="1:42" x14ac:dyDescent="0.35">
      <c r="A490" t="s">
        <v>45</v>
      </c>
      <c r="B490" t="s">
        <v>1185</v>
      </c>
      <c r="C490" t="s">
        <v>139</v>
      </c>
      <c r="D490" t="s">
        <v>1199</v>
      </c>
      <c r="E490" t="s">
        <v>1200</v>
      </c>
      <c r="F490" t="s">
        <v>142</v>
      </c>
      <c r="G490" t="s">
        <v>1212</v>
      </c>
      <c r="H490" t="s">
        <v>1213</v>
      </c>
      <c r="J490" t="str">
        <f>HYPERLINK("https://twitter.com/Krishnatripat14/status/1771572843634925818","https://twitter.com/Krishnatripat14/status/1771572843634925818")</f>
        <v>https://twitter.com/Krishnatripat14/status/1771572843634925818</v>
      </c>
      <c r="K490" t="s">
        <v>145</v>
      </c>
      <c r="O490">
        <v>0</v>
      </c>
      <c r="P490">
        <v>0</v>
      </c>
      <c r="Q490">
        <v>104</v>
      </c>
      <c r="R490" t="s">
        <v>1203</v>
      </c>
      <c r="S490">
        <v>0</v>
      </c>
      <c r="T490">
        <v>0</v>
      </c>
      <c r="U490">
        <v>0</v>
      </c>
      <c r="W490" t="s">
        <v>146</v>
      </c>
      <c r="AP490" t="s">
        <v>147</v>
      </c>
    </row>
    <row r="491" spans="1:42" x14ac:dyDescent="0.35">
      <c r="A491" t="s">
        <v>45</v>
      </c>
      <c r="B491" t="s">
        <v>1185</v>
      </c>
      <c r="C491" t="s">
        <v>63</v>
      </c>
      <c r="D491" t="s">
        <v>1214</v>
      </c>
      <c r="E491" t="s">
        <v>1214</v>
      </c>
      <c r="F491" t="s">
        <v>49</v>
      </c>
      <c r="G491" t="s">
        <v>1215</v>
      </c>
      <c r="H491" t="s">
        <v>1216</v>
      </c>
      <c r="J491" t="str">
        <f>HYPERLINK("https://www.instagram.com/reel/C42LP53BVdn/","https://www.instagram.com/reel/C42LP53BVdn/")</f>
        <v>https://www.instagram.com/reel/C42LP53BVdn/</v>
      </c>
      <c r="O491">
        <v>0</v>
      </c>
      <c r="P491">
        <v>0</v>
      </c>
      <c r="Q491">
        <v>0</v>
      </c>
      <c r="S491">
        <v>0</v>
      </c>
      <c r="T491">
        <v>0</v>
      </c>
      <c r="U491">
        <v>0</v>
      </c>
      <c r="W491" t="s">
        <v>62</v>
      </c>
    </row>
    <row r="492" spans="1:42" x14ac:dyDescent="0.35">
      <c r="A492" t="s">
        <v>45</v>
      </c>
      <c r="B492" t="s">
        <v>1185</v>
      </c>
      <c r="C492" t="s">
        <v>58</v>
      </c>
      <c r="D492" t="s">
        <v>1217</v>
      </c>
      <c r="E492" t="s">
        <v>1217</v>
      </c>
      <c r="F492" t="s">
        <v>49</v>
      </c>
      <c r="G492" t="s">
        <v>1218</v>
      </c>
      <c r="H492" t="s">
        <v>1219</v>
      </c>
      <c r="J492" t="str">
        <f>HYPERLINK("https://www.youtube.com/watch?v=8xZBncGw13U","https://www.youtube.com/watch?v=8xZBncGw13U")</f>
        <v>https://www.youtube.com/watch?v=8xZBncGw13U</v>
      </c>
      <c r="O492">
        <v>0</v>
      </c>
      <c r="P492">
        <v>0</v>
      </c>
      <c r="Q492">
        <v>0</v>
      </c>
      <c r="S492">
        <v>0</v>
      </c>
      <c r="T492">
        <v>0</v>
      </c>
      <c r="U492">
        <v>0</v>
      </c>
      <c r="W492" t="s">
        <v>106</v>
      </c>
      <c r="AP492" t="s">
        <v>101</v>
      </c>
    </row>
    <row r="493" spans="1:42" x14ac:dyDescent="0.35">
      <c r="A493" t="s">
        <v>45</v>
      </c>
      <c r="B493" t="s">
        <v>1185</v>
      </c>
      <c r="C493" t="s">
        <v>58</v>
      </c>
      <c r="D493" t="s">
        <v>1220</v>
      </c>
      <c r="E493" t="s">
        <v>1220</v>
      </c>
      <c r="F493" t="s">
        <v>49</v>
      </c>
      <c r="G493" t="s">
        <v>1221</v>
      </c>
      <c r="H493" t="s">
        <v>1222</v>
      </c>
      <c r="J493" t="str">
        <f>HYPERLINK("https://www.youtube.com/watch?v=VJl9vJH9Lrk","https://www.youtube.com/watch?v=VJl9vJH9Lrk")</f>
        <v>https://www.youtube.com/watch?v=VJl9vJH9Lrk</v>
      </c>
      <c r="O493">
        <v>0</v>
      </c>
      <c r="P493">
        <v>0</v>
      </c>
      <c r="Q493">
        <v>0</v>
      </c>
      <c r="S493">
        <v>0</v>
      </c>
      <c r="T493">
        <v>0</v>
      </c>
      <c r="U493">
        <v>0</v>
      </c>
      <c r="W493" t="s">
        <v>106</v>
      </c>
    </row>
    <row r="494" spans="1:42" x14ac:dyDescent="0.35">
      <c r="A494" t="s">
        <v>45</v>
      </c>
      <c r="B494" t="s">
        <v>1185</v>
      </c>
      <c r="C494" t="s">
        <v>47</v>
      </c>
      <c r="D494" t="s">
        <v>445</v>
      </c>
      <c r="E494" t="s">
        <v>445</v>
      </c>
      <c r="F494" t="s">
        <v>49</v>
      </c>
      <c r="G494" t="s">
        <v>471</v>
      </c>
      <c r="H494" t="s">
        <v>1223</v>
      </c>
      <c r="J494" t="str">
        <f>HYPERLINK("https://www.facebook.com/454965103328545/posts/792750152883370?comment_id=768177618613481","https://www.facebook.com/454965103328545/posts/792750152883370?comment_id=768177618613481")</f>
        <v>https://www.facebook.com/454965103328545/posts/792750152883370?comment_id=768177618613481</v>
      </c>
      <c r="O494">
        <v>0</v>
      </c>
      <c r="P494">
        <v>0</v>
      </c>
      <c r="Q494">
        <v>0</v>
      </c>
      <c r="S494">
        <v>0</v>
      </c>
      <c r="T494">
        <v>0</v>
      </c>
      <c r="U494">
        <v>0</v>
      </c>
      <c r="W494" t="s">
        <v>62</v>
      </c>
    </row>
    <row r="495" spans="1:42" x14ac:dyDescent="0.35">
      <c r="A495" t="s">
        <v>45</v>
      </c>
      <c r="B495" t="s">
        <v>1185</v>
      </c>
      <c r="C495" t="s">
        <v>47</v>
      </c>
      <c r="D495" t="s">
        <v>445</v>
      </c>
      <c r="E495" t="s">
        <v>445</v>
      </c>
      <c r="F495" t="s">
        <v>49</v>
      </c>
      <c r="G495" t="s">
        <v>477</v>
      </c>
      <c r="H495" t="s">
        <v>1224</v>
      </c>
      <c r="J495" t="str">
        <f>HYPERLINK("https://www.facebook.com/454965103328545/posts/792750152883370?comment_id=625289179787988","https://www.facebook.com/454965103328545/posts/792750152883370?comment_id=625289179787988")</f>
        <v>https://www.facebook.com/454965103328545/posts/792750152883370?comment_id=625289179787988</v>
      </c>
      <c r="O495">
        <v>0</v>
      </c>
      <c r="P495">
        <v>0</v>
      </c>
      <c r="Q495">
        <v>0</v>
      </c>
      <c r="S495">
        <v>0</v>
      </c>
      <c r="T495">
        <v>0</v>
      </c>
      <c r="U495">
        <v>0</v>
      </c>
      <c r="W495" t="s">
        <v>62</v>
      </c>
    </row>
    <row r="496" spans="1:42" x14ac:dyDescent="0.35">
      <c r="A496" t="s">
        <v>45</v>
      </c>
      <c r="B496" t="s">
        <v>1185</v>
      </c>
      <c r="C496" t="s">
        <v>63</v>
      </c>
      <c r="D496" t="s">
        <v>1225</v>
      </c>
      <c r="E496" t="s">
        <v>1225</v>
      </c>
      <c r="F496" t="s">
        <v>49</v>
      </c>
      <c r="G496" t="s">
        <v>866</v>
      </c>
      <c r="H496" t="s">
        <v>1226</v>
      </c>
      <c r="J496" t="str">
        <f>HYPERLINK("https://www.instagram.com/p/C4ucfvtgGcP/","https://www.instagram.com/p/C4ucfvtgGcP/")</f>
        <v>https://www.instagram.com/p/C4ucfvtgGcP/</v>
      </c>
      <c r="O496">
        <v>0</v>
      </c>
      <c r="P496">
        <v>0</v>
      </c>
      <c r="Q496">
        <v>0</v>
      </c>
      <c r="S496">
        <v>0</v>
      </c>
      <c r="T496">
        <v>0</v>
      </c>
      <c r="U496">
        <v>0</v>
      </c>
      <c r="W496" t="s">
        <v>62</v>
      </c>
    </row>
    <row r="497" spans="1:45" x14ac:dyDescent="0.35">
      <c r="A497" t="s">
        <v>45</v>
      </c>
      <c r="B497" t="s">
        <v>1185</v>
      </c>
      <c r="C497" t="s">
        <v>47</v>
      </c>
      <c r="D497" t="s">
        <v>749</v>
      </c>
      <c r="E497" t="s">
        <v>749</v>
      </c>
      <c r="F497" t="s">
        <v>142</v>
      </c>
      <c r="G497" t="s">
        <v>1227</v>
      </c>
      <c r="H497" t="s">
        <v>1228</v>
      </c>
      <c r="J497" t="str">
        <f>HYPERLINK("https://www.facebook.com/454965103328545/posts/793353449489707?comment_id=7306743312749611","https://www.facebook.com/454965103328545/posts/793353449489707?comment_id=7306743312749611")</f>
        <v>https://www.facebook.com/454965103328545/posts/793353449489707?comment_id=7306743312749611</v>
      </c>
      <c r="O497">
        <v>0</v>
      </c>
      <c r="P497">
        <v>0</v>
      </c>
      <c r="Q497">
        <v>0</v>
      </c>
      <c r="S497">
        <v>0</v>
      </c>
      <c r="T497">
        <v>0</v>
      </c>
      <c r="U497">
        <v>0</v>
      </c>
      <c r="W497" t="s">
        <v>62</v>
      </c>
    </row>
    <row r="498" spans="1:45" x14ac:dyDescent="0.35">
      <c r="A498" t="s">
        <v>45</v>
      </c>
      <c r="B498" t="s">
        <v>1185</v>
      </c>
      <c r="C498" t="s">
        <v>47</v>
      </c>
      <c r="D498" t="s">
        <v>1229</v>
      </c>
      <c r="E498" t="s">
        <v>1229</v>
      </c>
      <c r="F498" t="s">
        <v>49</v>
      </c>
      <c r="G498" t="s">
        <v>50</v>
      </c>
      <c r="H498" t="s">
        <v>1230</v>
      </c>
      <c r="J498" t="str">
        <f>HYPERLINK("https://www.facebook.com/357267201017935/inbox/7190775604333693/","https://www.facebook.com/357267201017935/inbox/7190775604333693/")</f>
        <v>https://www.facebook.com/357267201017935/inbox/7190775604333693/</v>
      </c>
      <c r="O498">
        <v>0</v>
      </c>
      <c r="P498">
        <v>0</v>
      </c>
      <c r="Q498">
        <v>0</v>
      </c>
      <c r="S498">
        <v>0</v>
      </c>
      <c r="T498">
        <v>0</v>
      </c>
      <c r="U498">
        <v>0</v>
      </c>
      <c r="W498" t="s">
        <v>52</v>
      </c>
    </row>
    <row r="499" spans="1:45" x14ac:dyDescent="0.35">
      <c r="A499" t="s">
        <v>45</v>
      </c>
      <c r="B499" t="s">
        <v>1185</v>
      </c>
      <c r="C499" t="s">
        <v>58</v>
      </c>
      <c r="D499" t="s">
        <v>1231</v>
      </c>
      <c r="E499" t="s">
        <v>1231</v>
      </c>
      <c r="F499" t="s">
        <v>76</v>
      </c>
      <c r="G499" t="s">
        <v>1232</v>
      </c>
      <c r="H499" t="s">
        <v>1233</v>
      </c>
      <c r="J499" t="str">
        <f>HYPERLINK("https://www.youtube.com/watch?v=YrzfwFGf8Ww","https://www.youtube.com/watch?v=YrzfwFGf8Ww")</f>
        <v>https://www.youtube.com/watch?v=YrzfwFGf8Ww</v>
      </c>
      <c r="O499">
        <v>0</v>
      </c>
      <c r="P499">
        <v>0</v>
      </c>
      <c r="Q499">
        <v>0</v>
      </c>
      <c r="S499">
        <v>0</v>
      </c>
      <c r="T499">
        <v>0</v>
      </c>
      <c r="U499">
        <v>0</v>
      </c>
      <c r="W499" t="s">
        <v>106</v>
      </c>
    </row>
    <row r="500" spans="1:45" x14ac:dyDescent="0.35">
      <c r="A500" t="s">
        <v>45</v>
      </c>
      <c r="B500" t="s">
        <v>1185</v>
      </c>
      <c r="C500" t="s">
        <v>63</v>
      </c>
      <c r="D500" t="s">
        <v>1234</v>
      </c>
      <c r="E500" t="s">
        <v>1234</v>
      </c>
      <c r="F500" t="s">
        <v>49</v>
      </c>
      <c r="G500" t="s">
        <v>1235</v>
      </c>
      <c r="H500" t="s">
        <v>1236</v>
      </c>
      <c r="J500" t="str">
        <f>HYPERLINK("https://www.instagram.com/reel/C42LP53BVdn/","https://www.instagram.com/reel/C42LP53BVdn/")</f>
        <v>https://www.instagram.com/reel/C42LP53BVdn/</v>
      </c>
      <c r="O500">
        <v>0</v>
      </c>
      <c r="P500">
        <v>0</v>
      </c>
      <c r="Q500">
        <v>0</v>
      </c>
      <c r="S500">
        <v>0</v>
      </c>
      <c r="T500">
        <v>0</v>
      </c>
      <c r="U500">
        <v>0</v>
      </c>
      <c r="W500" t="s">
        <v>62</v>
      </c>
    </row>
    <row r="501" spans="1:45" x14ac:dyDescent="0.35">
      <c r="A501" t="s">
        <v>45</v>
      </c>
      <c r="B501" t="s">
        <v>1185</v>
      </c>
      <c r="C501" t="s">
        <v>47</v>
      </c>
      <c r="D501" t="s">
        <v>770</v>
      </c>
      <c r="E501" t="s">
        <v>770</v>
      </c>
      <c r="F501" t="s">
        <v>76</v>
      </c>
      <c r="G501" t="s">
        <v>1237</v>
      </c>
      <c r="H501" t="s">
        <v>1238</v>
      </c>
      <c r="J501" t="str">
        <f>HYPERLINK("https://www.facebook.com/454965103328545/posts/793353449489707?comment_id=1062532151522496","https://www.facebook.com/454965103328545/posts/793353449489707?comment_id=1062532151522496")</f>
        <v>https://www.facebook.com/454965103328545/posts/793353449489707?comment_id=1062532151522496</v>
      </c>
      <c r="O501">
        <v>0</v>
      </c>
      <c r="P501">
        <v>0</v>
      </c>
      <c r="Q501">
        <v>0</v>
      </c>
      <c r="S501">
        <v>0</v>
      </c>
      <c r="T501">
        <v>0</v>
      </c>
      <c r="U501">
        <v>0</v>
      </c>
      <c r="W501" t="s">
        <v>62</v>
      </c>
    </row>
    <row r="502" spans="1:45" x14ac:dyDescent="0.35">
      <c r="A502" t="s">
        <v>45</v>
      </c>
      <c r="B502" t="s">
        <v>1185</v>
      </c>
      <c r="C502" t="s">
        <v>47</v>
      </c>
      <c r="D502" t="s">
        <v>45</v>
      </c>
      <c r="E502" t="s">
        <v>45</v>
      </c>
      <c r="F502" t="s">
        <v>49</v>
      </c>
      <c r="G502" t="s">
        <v>197</v>
      </c>
      <c r="H502" t="s">
        <v>1239</v>
      </c>
      <c r="J502" t="str">
        <f>HYPERLINK("https://www.facebook.com/357267201017935_793498162808569","https://www.facebook.com/357267201017935_793498162808569")</f>
        <v>https://www.facebook.com/357267201017935_793498162808569</v>
      </c>
      <c r="O502">
        <v>0</v>
      </c>
      <c r="P502">
        <v>0</v>
      </c>
      <c r="Q502">
        <v>0</v>
      </c>
      <c r="S502">
        <v>0</v>
      </c>
      <c r="T502">
        <v>0</v>
      </c>
      <c r="U502">
        <v>0</v>
      </c>
      <c r="W502" t="s">
        <v>106</v>
      </c>
      <c r="AS502" t="s">
        <v>115</v>
      </c>
    </row>
    <row r="503" spans="1:45" x14ac:dyDescent="0.35">
      <c r="A503" t="s">
        <v>45</v>
      </c>
      <c r="B503" t="s">
        <v>1185</v>
      </c>
      <c r="C503" t="s">
        <v>47</v>
      </c>
      <c r="D503" t="s">
        <v>45</v>
      </c>
      <c r="E503" t="s">
        <v>45</v>
      </c>
      <c r="F503" t="s">
        <v>49</v>
      </c>
      <c r="G503" t="s">
        <v>113</v>
      </c>
      <c r="H503" t="s">
        <v>1239</v>
      </c>
      <c r="J503" t="str">
        <f>HYPERLINK("https://www.facebook.com/357267201017935_793498166141902","https://www.facebook.com/357267201017935_793498166141902")</f>
        <v>https://www.facebook.com/357267201017935_793498166141902</v>
      </c>
      <c r="O503">
        <v>0</v>
      </c>
      <c r="P503">
        <v>0</v>
      </c>
      <c r="Q503">
        <v>0</v>
      </c>
      <c r="S503">
        <v>0</v>
      </c>
      <c r="T503">
        <v>0</v>
      </c>
      <c r="U503">
        <v>0</v>
      </c>
      <c r="W503" t="s">
        <v>106</v>
      </c>
      <c r="AS503" t="s">
        <v>115</v>
      </c>
    </row>
    <row r="504" spans="1:45" x14ac:dyDescent="0.35">
      <c r="A504" t="s">
        <v>45</v>
      </c>
      <c r="B504" t="s">
        <v>1185</v>
      </c>
      <c r="C504" t="s">
        <v>58</v>
      </c>
      <c r="D504" t="s">
        <v>1240</v>
      </c>
      <c r="E504" t="s">
        <v>1240</v>
      </c>
      <c r="F504" t="s">
        <v>49</v>
      </c>
      <c r="G504" t="s">
        <v>1241</v>
      </c>
      <c r="H504" t="s">
        <v>1242</v>
      </c>
      <c r="J504" t="str">
        <f>HYPERLINK("https://www.youtube.com/watch?v=O8YZh9UYSvk","https://www.youtube.com/watch?v=O8YZh9UYSvk")</f>
        <v>https://www.youtube.com/watch?v=O8YZh9UYSvk</v>
      </c>
      <c r="O504">
        <v>0</v>
      </c>
      <c r="P504">
        <v>0</v>
      </c>
      <c r="Q504">
        <v>0</v>
      </c>
      <c r="S504">
        <v>0</v>
      </c>
      <c r="T504">
        <v>0</v>
      </c>
      <c r="U504">
        <v>0</v>
      </c>
      <c r="W504" t="s">
        <v>106</v>
      </c>
    </row>
    <row r="505" spans="1:45" x14ac:dyDescent="0.35">
      <c r="A505" t="s">
        <v>45</v>
      </c>
      <c r="B505" t="s">
        <v>1185</v>
      </c>
      <c r="C505" t="s">
        <v>139</v>
      </c>
      <c r="D505" t="s">
        <v>1243</v>
      </c>
      <c r="E505" t="s">
        <v>1244</v>
      </c>
      <c r="F505" t="s">
        <v>49</v>
      </c>
      <c r="G505" t="s">
        <v>1245</v>
      </c>
      <c r="H505" t="s">
        <v>1246</v>
      </c>
      <c r="J505" t="str">
        <f>HYPERLINK("https://twitter.com/PayNearby/status/1771473888326590743","https://twitter.com/PayNearby/status/1771473888326590743")</f>
        <v>https://twitter.com/PayNearby/status/1771473888326590743</v>
      </c>
      <c r="O505">
        <v>0</v>
      </c>
      <c r="P505">
        <v>0</v>
      </c>
      <c r="Q505">
        <v>6036</v>
      </c>
      <c r="R505" t="s">
        <v>1247</v>
      </c>
      <c r="S505">
        <v>0</v>
      </c>
      <c r="T505">
        <v>0</v>
      </c>
      <c r="U505">
        <v>0</v>
      </c>
      <c r="W505" t="s">
        <v>146</v>
      </c>
    </row>
    <row r="506" spans="1:45" x14ac:dyDescent="0.35">
      <c r="A506" t="s">
        <v>45</v>
      </c>
      <c r="B506" t="s">
        <v>1185</v>
      </c>
      <c r="C506" t="s">
        <v>47</v>
      </c>
      <c r="D506" t="s">
        <v>445</v>
      </c>
      <c r="E506" t="s">
        <v>445</v>
      </c>
      <c r="F506" t="s">
        <v>49</v>
      </c>
      <c r="G506" t="s">
        <v>1248</v>
      </c>
      <c r="H506" t="s">
        <v>1249</v>
      </c>
      <c r="J506" t="str">
        <f>HYPERLINK("https://www.facebook.com/454965103328545/posts/792232949601757?comment_id=965950505212820&amp;reply_comment_id=1434648184604484","https://www.facebook.com/454965103328545/posts/792232949601757?comment_id=965950505212820&amp;reply_comment_id=1434648184604484")</f>
        <v>https://www.facebook.com/454965103328545/posts/792232949601757?comment_id=965950505212820&amp;reply_comment_id=1434648184604484</v>
      </c>
      <c r="O506">
        <v>0</v>
      </c>
      <c r="P506">
        <v>0</v>
      </c>
      <c r="Q506">
        <v>0</v>
      </c>
      <c r="S506">
        <v>0</v>
      </c>
      <c r="T506">
        <v>0</v>
      </c>
      <c r="U506">
        <v>0</v>
      </c>
      <c r="W506" t="s">
        <v>62</v>
      </c>
    </row>
    <row r="507" spans="1:45" x14ac:dyDescent="0.35">
      <c r="A507" t="s">
        <v>45</v>
      </c>
      <c r="B507" t="s">
        <v>1185</v>
      </c>
      <c r="C507" t="s">
        <v>47</v>
      </c>
      <c r="D507" t="s">
        <v>445</v>
      </c>
      <c r="E507" t="s">
        <v>445</v>
      </c>
      <c r="F507" t="s">
        <v>49</v>
      </c>
      <c r="G507" t="s">
        <v>1248</v>
      </c>
      <c r="H507" t="s">
        <v>1250</v>
      </c>
      <c r="J507" t="str">
        <f>HYPERLINK("https://www.facebook.com/454965103328545/posts/792232949601757?comment_id=385619271096964&amp;reply_comment_id=987531879396886","https://www.facebook.com/454965103328545/posts/792232949601757?comment_id=385619271096964&amp;reply_comment_id=987531879396886")</f>
        <v>https://www.facebook.com/454965103328545/posts/792232949601757?comment_id=385619271096964&amp;reply_comment_id=987531879396886</v>
      </c>
      <c r="O507">
        <v>0</v>
      </c>
      <c r="P507">
        <v>0</v>
      </c>
      <c r="Q507">
        <v>0</v>
      </c>
      <c r="S507">
        <v>0</v>
      </c>
      <c r="T507">
        <v>0</v>
      </c>
      <c r="U507">
        <v>0</v>
      </c>
      <c r="W507" t="s">
        <v>62</v>
      </c>
    </row>
    <row r="508" spans="1:45" x14ac:dyDescent="0.35">
      <c r="A508" t="s">
        <v>45</v>
      </c>
      <c r="B508" t="s">
        <v>1185</v>
      </c>
      <c r="C508" t="s">
        <v>47</v>
      </c>
      <c r="D508" t="s">
        <v>445</v>
      </c>
      <c r="E508" t="s">
        <v>445</v>
      </c>
      <c r="F508" t="s">
        <v>49</v>
      </c>
      <c r="G508" t="s">
        <v>1248</v>
      </c>
      <c r="H508" t="s">
        <v>1251</v>
      </c>
      <c r="J508" t="str">
        <f>HYPERLINK("https://www.facebook.com/454965103328545/posts/792232949601757?comment_id=1394688517840641&amp;reply_comment_id=269926192828584","https://www.facebook.com/454965103328545/posts/792232949601757?comment_id=1394688517840641&amp;reply_comment_id=269926192828584")</f>
        <v>https://www.facebook.com/454965103328545/posts/792232949601757?comment_id=1394688517840641&amp;reply_comment_id=269926192828584</v>
      </c>
      <c r="O508">
        <v>0</v>
      </c>
      <c r="P508">
        <v>0</v>
      </c>
      <c r="Q508">
        <v>0</v>
      </c>
      <c r="S508">
        <v>0</v>
      </c>
      <c r="T508">
        <v>0</v>
      </c>
      <c r="U508">
        <v>0</v>
      </c>
      <c r="W508" t="s">
        <v>62</v>
      </c>
    </row>
    <row r="509" spans="1:45" x14ac:dyDescent="0.35">
      <c r="A509" t="s">
        <v>45</v>
      </c>
      <c r="B509" t="s">
        <v>1185</v>
      </c>
      <c r="C509" t="s">
        <v>47</v>
      </c>
      <c r="D509" t="s">
        <v>445</v>
      </c>
      <c r="E509" t="s">
        <v>445</v>
      </c>
      <c r="F509" t="s">
        <v>49</v>
      </c>
      <c r="G509" t="s">
        <v>471</v>
      </c>
      <c r="H509" t="s">
        <v>1252</v>
      </c>
      <c r="J509" t="str">
        <f>HYPERLINK("https://www.facebook.com/454965103328545/posts/792750152883370?comment_id=1449876582578678","https://www.facebook.com/454965103328545/posts/792750152883370?comment_id=1449876582578678")</f>
        <v>https://www.facebook.com/454965103328545/posts/792750152883370?comment_id=1449876582578678</v>
      </c>
      <c r="O509">
        <v>0</v>
      </c>
      <c r="P509">
        <v>0</v>
      </c>
      <c r="Q509">
        <v>0</v>
      </c>
      <c r="S509">
        <v>0</v>
      </c>
      <c r="T509">
        <v>0</v>
      </c>
      <c r="U509">
        <v>0</v>
      </c>
      <c r="W509" t="s">
        <v>62</v>
      </c>
    </row>
    <row r="510" spans="1:45" x14ac:dyDescent="0.35">
      <c r="A510" t="s">
        <v>45</v>
      </c>
      <c r="B510" t="s">
        <v>1185</v>
      </c>
      <c r="C510" t="s">
        <v>47</v>
      </c>
      <c r="D510" t="s">
        <v>445</v>
      </c>
      <c r="E510" t="s">
        <v>445</v>
      </c>
      <c r="F510" t="s">
        <v>49</v>
      </c>
      <c r="G510" t="s">
        <v>475</v>
      </c>
      <c r="H510" t="s">
        <v>1253</v>
      </c>
      <c r="J510" t="str">
        <f>HYPERLINK("https://www.facebook.com/454965103328545/posts/792750152883370?comment_id=764392109129582","https://www.facebook.com/454965103328545/posts/792750152883370?comment_id=764392109129582")</f>
        <v>https://www.facebook.com/454965103328545/posts/792750152883370?comment_id=764392109129582</v>
      </c>
      <c r="O510">
        <v>0</v>
      </c>
      <c r="P510">
        <v>0</v>
      </c>
      <c r="Q510">
        <v>0</v>
      </c>
      <c r="S510">
        <v>0</v>
      </c>
      <c r="T510">
        <v>0</v>
      </c>
      <c r="U510">
        <v>0</v>
      </c>
      <c r="W510" t="s">
        <v>62</v>
      </c>
      <c r="AP510" t="s">
        <v>101</v>
      </c>
    </row>
    <row r="511" spans="1:45" x14ac:dyDescent="0.35">
      <c r="A511" t="s">
        <v>45</v>
      </c>
      <c r="B511" t="s">
        <v>1185</v>
      </c>
      <c r="C511" t="s">
        <v>47</v>
      </c>
      <c r="D511" t="s">
        <v>445</v>
      </c>
      <c r="E511" t="s">
        <v>445</v>
      </c>
      <c r="F511" t="s">
        <v>142</v>
      </c>
      <c r="G511" t="s">
        <v>473</v>
      </c>
      <c r="H511" t="s">
        <v>1253</v>
      </c>
      <c r="J511" t="str">
        <f>HYPERLINK("https://www.facebook.com/454965103328545/posts/792750152883370?comment_id=1926223554473794","https://www.facebook.com/454965103328545/posts/792750152883370?comment_id=1926223554473794")</f>
        <v>https://www.facebook.com/454965103328545/posts/792750152883370?comment_id=1926223554473794</v>
      </c>
      <c r="O511">
        <v>0</v>
      </c>
      <c r="P511">
        <v>0</v>
      </c>
      <c r="Q511">
        <v>0</v>
      </c>
      <c r="S511">
        <v>0</v>
      </c>
      <c r="T511">
        <v>0</v>
      </c>
      <c r="U511">
        <v>0</v>
      </c>
      <c r="W511" t="s">
        <v>62</v>
      </c>
    </row>
    <row r="512" spans="1:45" x14ac:dyDescent="0.35">
      <c r="A512" t="s">
        <v>45</v>
      </c>
      <c r="B512" t="s">
        <v>1185</v>
      </c>
      <c r="C512" t="s">
        <v>47</v>
      </c>
      <c r="D512" t="s">
        <v>445</v>
      </c>
      <c r="E512" t="s">
        <v>445</v>
      </c>
      <c r="F512" t="s">
        <v>49</v>
      </c>
      <c r="G512" t="s">
        <v>477</v>
      </c>
      <c r="H512" t="s">
        <v>1254</v>
      </c>
      <c r="J512" t="str">
        <f>HYPERLINK("https://www.facebook.com/454965103328545/posts/792750152883370?comment_id=291177237332514","https://www.facebook.com/454965103328545/posts/792750152883370?comment_id=291177237332514")</f>
        <v>https://www.facebook.com/454965103328545/posts/792750152883370?comment_id=291177237332514</v>
      </c>
      <c r="O512">
        <v>0</v>
      </c>
      <c r="P512">
        <v>0</v>
      </c>
      <c r="Q512">
        <v>0</v>
      </c>
      <c r="S512">
        <v>0</v>
      </c>
      <c r="T512">
        <v>0</v>
      </c>
      <c r="U512">
        <v>0</v>
      </c>
      <c r="W512" t="s">
        <v>62</v>
      </c>
    </row>
    <row r="513" spans="1:42" x14ac:dyDescent="0.35">
      <c r="A513" t="s">
        <v>45</v>
      </c>
      <c r="B513" t="s">
        <v>1185</v>
      </c>
      <c r="C513" t="s">
        <v>47</v>
      </c>
      <c r="D513" t="s">
        <v>445</v>
      </c>
      <c r="E513" t="s">
        <v>445</v>
      </c>
      <c r="F513" t="s">
        <v>49</v>
      </c>
      <c r="G513" t="s">
        <v>471</v>
      </c>
      <c r="H513" t="s">
        <v>1255</v>
      </c>
      <c r="J513" t="str">
        <f>HYPERLINK("https://www.facebook.com/454965103328545/posts/792750152883370?comment_id=2514380538760727","https://www.facebook.com/454965103328545/posts/792750152883370?comment_id=2514380538760727")</f>
        <v>https://www.facebook.com/454965103328545/posts/792750152883370?comment_id=2514380538760727</v>
      </c>
      <c r="O513">
        <v>0</v>
      </c>
      <c r="P513">
        <v>0</v>
      </c>
      <c r="Q513">
        <v>0</v>
      </c>
      <c r="S513">
        <v>0</v>
      </c>
      <c r="T513">
        <v>0</v>
      </c>
      <c r="U513">
        <v>0</v>
      </c>
      <c r="W513" t="s">
        <v>62</v>
      </c>
    </row>
    <row r="514" spans="1:42" x14ac:dyDescent="0.35">
      <c r="A514" t="s">
        <v>45</v>
      </c>
      <c r="B514" t="s">
        <v>1185</v>
      </c>
      <c r="C514" t="s">
        <v>47</v>
      </c>
      <c r="D514" t="s">
        <v>445</v>
      </c>
      <c r="E514" t="s">
        <v>445</v>
      </c>
      <c r="F514" t="s">
        <v>49</v>
      </c>
      <c r="G514" t="s">
        <v>475</v>
      </c>
      <c r="H514" t="s">
        <v>1256</v>
      </c>
      <c r="J514" t="str">
        <f>HYPERLINK("https://www.facebook.com/454965103328545/posts/792750152883370?comment_id=3511979892385396","https://www.facebook.com/454965103328545/posts/792750152883370?comment_id=3511979892385396")</f>
        <v>https://www.facebook.com/454965103328545/posts/792750152883370?comment_id=3511979892385396</v>
      </c>
      <c r="O514">
        <v>0</v>
      </c>
      <c r="P514">
        <v>0</v>
      </c>
      <c r="Q514">
        <v>0</v>
      </c>
      <c r="S514">
        <v>0</v>
      </c>
      <c r="T514">
        <v>0</v>
      </c>
      <c r="U514">
        <v>0</v>
      </c>
      <c r="W514" t="s">
        <v>62</v>
      </c>
      <c r="AP514" t="s">
        <v>101</v>
      </c>
    </row>
    <row r="515" spans="1:42" x14ac:dyDescent="0.35">
      <c r="A515" t="s">
        <v>45</v>
      </c>
      <c r="B515" t="s">
        <v>1185</v>
      </c>
      <c r="C515" t="s">
        <v>47</v>
      </c>
      <c r="D515" t="s">
        <v>445</v>
      </c>
      <c r="E515" t="s">
        <v>445</v>
      </c>
      <c r="F515" t="s">
        <v>49</v>
      </c>
      <c r="G515" t="s">
        <v>1257</v>
      </c>
      <c r="H515" t="s">
        <v>1258</v>
      </c>
      <c r="J515" t="str">
        <f>HYPERLINK("https://www.facebook.com/454965103328545/posts/793353449489707?comment_id=945638140424429","https://www.facebook.com/454965103328545/posts/793353449489707?comment_id=945638140424429")</f>
        <v>https://www.facebook.com/454965103328545/posts/793353449489707?comment_id=945638140424429</v>
      </c>
      <c r="O515">
        <v>0</v>
      </c>
      <c r="P515">
        <v>0</v>
      </c>
      <c r="Q515">
        <v>0</v>
      </c>
      <c r="S515">
        <v>0</v>
      </c>
      <c r="T515">
        <v>0</v>
      </c>
      <c r="U515">
        <v>0</v>
      </c>
      <c r="W515" t="s">
        <v>62</v>
      </c>
    </row>
    <row r="516" spans="1:42" x14ac:dyDescent="0.35">
      <c r="A516" t="s">
        <v>45</v>
      </c>
      <c r="B516" t="s">
        <v>1185</v>
      </c>
      <c r="C516" t="s">
        <v>47</v>
      </c>
      <c r="D516" t="s">
        <v>445</v>
      </c>
      <c r="E516" t="s">
        <v>445</v>
      </c>
      <c r="F516" t="s">
        <v>49</v>
      </c>
      <c r="G516" t="s">
        <v>471</v>
      </c>
      <c r="H516" t="s">
        <v>1259</v>
      </c>
      <c r="J516" t="str">
        <f>HYPERLINK("https://www.facebook.com/454965103328545/posts/793353449489707?comment_id=928949825393542","https://www.facebook.com/454965103328545/posts/793353449489707?comment_id=928949825393542")</f>
        <v>https://www.facebook.com/454965103328545/posts/793353449489707?comment_id=928949825393542</v>
      </c>
      <c r="O516">
        <v>0</v>
      </c>
      <c r="P516">
        <v>0</v>
      </c>
      <c r="Q516">
        <v>0</v>
      </c>
      <c r="S516">
        <v>0</v>
      </c>
      <c r="T516">
        <v>0</v>
      </c>
      <c r="U516">
        <v>0</v>
      </c>
      <c r="W516" t="s">
        <v>62</v>
      </c>
    </row>
    <row r="517" spans="1:42" x14ac:dyDescent="0.35">
      <c r="A517" t="s">
        <v>45</v>
      </c>
      <c r="B517" t="s">
        <v>1185</v>
      </c>
      <c r="C517" t="s">
        <v>47</v>
      </c>
      <c r="D517" t="s">
        <v>445</v>
      </c>
      <c r="E517" t="s">
        <v>445</v>
      </c>
      <c r="F517" t="s">
        <v>49</v>
      </c>
      <c r="G517" t="s">
        <v>477</v>
      </c>
      <c r="H517" t="s">
        <v>1260</v>
      </c>
      <c r="J517" t="str">
        <f>HYPERLINK("https://www.facebook.com/454965103328545/posts/793353449489707?comment_id=305351769000063","https://www.facebook.com/454965103328545/posts/793353449489707?comment_id=305351769000063")</f>
        <v>https://www.facebook.com/454965103328545/posts/793353449489707?comment_id=305351769000063</v>
      </c>
      <c r="O517">
        <v>0</v>
      </c>
      <c r="P517">
        <v>0</v>
      </c>
      <c r="Q517">
        <v>0</v>
      </c>
      <c r="S517">
        <v>0</v>
      </c>
      <c r="T517">
        <v>0</v>
      </c>
      <c r="U517">
        <v>0</v>
      </c>
      <c r="W517" t="s">
        <v>62</v>
      </c>
    </row>
    <row r="518" spans="1:42" x14ac:dyDescent="0.35">
      <c r="A518" t="s">
        <v>45</v>
      </c>
      <c r="B518" t="s">
        <v>1185</v>
      </c>
      <c r="C518" t="s">
        <v>47</v>
      </c>
      <c r="D518" t="s">
        <v>445</v>
      </c>
      <c r="E518" t="s">
        <v>445</v>
      </c>
      <c r="F518" t="s">
        <v>49</v>
      </c>
      <c r="G518" t="s">
        <v>1257</v>
      </c>
      <c r="H518" t="s">
        <v>1261</v>
      </c>
      <c r="J518" t="str">
        <f>HYPERLINK("https://www.facebook.com/454965103328545/posts/793353449489707?comment_id=1464144614525996","https://www.facebook.com/454965103328545/posts/793353449489707?comment_id=1464144614525996")</f>
        <v>https://www.facebook.com/454965103328545/posts/793353449489707?comment_id=1464144614525996</v>
      </c>
      <c r="O518">
        <v>0</v>
      </c>
      <c r="P518">
        <v>0</v>
      </c>
      <c r="Q518">
        <v>0</v>
      </c>
      <c r="S518">
        <v>0</v>
      </c>
      <c r="T518">
        <v>0</v>
      </c>
      <c r="U518">
        <v>0</v>
      </c>
      <c r="W518" t="s">
        <v>62</v>
      </c>
    </row>
    <row r="519" spans="1:42" x14ac:dyDescent="0.35">
      <c r="A519" t="s">
        <v>45</v>
      </c>
      <c r="B519" t="s">
        <v>1185</v>
      </c>
      <c r="C519" t="s">
        <v>47</v>
      </c>
      <c r="D519" t="s">
        <v>445</v>
      </c>
      <c r="E519" t="s">
        <v>445</v>
      </c>
      <c r="F519" t="s">
        <v>49</v>
      </c>
      <c r="G519" t="s">
        <v>471</v>
      </c>
      <c r="H519" t="s">
        <v>1262</v>
      </c>
      <c r="J519" t="str">
        <f>HYPERLINK("https://www.facebook.com/454965103328545/posts/793353449489707?comment_id=1468908074004029","https://www.facebook.com/454965103328545/posts/793353449489707?comment_id=1468908074004029")</f>
        <v>https://www.facebook.com/454965103328545/posts/793353449489707?comment_id=1468908074004029</v>
      </c>
      <c r="O519">
        <v>0</v>
      </c>
      <c r="P519">
        <v>0</v>
      </c>
      <c r="Q519">
        <v>0</v>
      </c>
      <c r="S519">
        <v>0</v>
      </c>
      <c r="T519">
        <v>0</v>
      </c>
      <c r="U519">
        <v>0</v>
      </c>
      <c r="W519" t="s">
        <v>62</v>
      </c>
    </row>
    <row r="520" spans="1:42" x14ac:dyDescent="0.35">
      <c r="A520" t="s">
        <v>45</v>
      </c>
      <c r="B520" t="s">
        <v>1185</v>
      </c>
      <c r="C520" t="s">
        <v>47</v>
      </c>
      <c r="D520" t="s">
        <v>445</v>
      </c>
      <c r="E520" t="s">
        <v>445</v>
      </c>
      <c r="F520" t="s">
        <v>49</v>
      </c>
      <c r="G520" t="s">
        <v>477</v>
      </c>
      <c r="H520" t="s">
        <v>1263</v>
      </c>
      <c r="J520" t="str">
        <f>HYPERLINK("https://www.facebook.com/454965103328545/posts/793353449489707?comment_id=278291118650306","https://www.facebook.com/454965103328545/posts/793353449489707?comment_id=278291118650306")</f>
        <v>https://www.facebook.com/454965103328545/posts/793353449489707?comment_id=278291118650306</v>
      </c>
      <c r="O520">
        <v>0</v>
      </c>
      <c r="P520">
        <v>0</v>
      </c>
      <c r="Q520">
        <v>0</v>
      </c>
      <c r="S520">
        <v>0</v>
      </c>
      <c r="T520">
        <v>0</v>
      </c>
      <c r="U520">
        <v>0</v>
      </c>
      <c r="W520" t="s">
        <v>62</v>
      </c>
    </row>
    <row r="521" spans="1:42" x14ac:dyDescent="0.35">
      <c r="A521" t="s">
        <v>45</v>
      </c>
      <c r="B521" t="s">
        <v>1185</v>
      </c>
      <c r="C521" t="s">
        <v>47</v>
      </c>
      <c r="D521" t="s">
        <v>445</v>
      </c>
      <c r="E521" t="s">
        <v>445</v>
      </c>
      <c r="F521" t="s">
        <v>49</v>
      </c>
      <c r="G521" t="s">
        <v>475</v>
      </c>
      <c r="H521" t="s">
        <v>1264</v>
      </c>
      <c r="J521" t="str">
        <f>HYPERLINK("https://www.facebook.com/454965103328545/posts/793353449489707?comment_id=944253837275428","https://www.facebook.com/454965103328545/posts/793353449489707?comment_id=944253837275428")</f>
        <v>https://www.facebook.com/454965103328545/posts/793353449489707?comment_id=944253837275428</v>
      </c>
      <c r="O521">
        <v>0</v>
      </c>
      <c r="P521">
        <v>0</v>
      </c>
      <c r="Q521">
        <v>0</v>
      </c>
      <c r="S521">
        <v>0</v>
      </c>
      <c r="T521">
        <v>0</v>
      </c>
      <c r="U521">
        <v>0</v>
      </c>
      <c r="W521" t="s">
        <v>62</v>
      </c>
      <c r="AP521" t="s">
        <v>101</v>
      </c>
    </row>
    <row r="522" spans="1:42" x14ac:dyDescent="0.35">
      <c r="A522" t="s">
        <v>45</v>
      </c>
      <c r="B522" t="s">
        <v>1185</v>
      </c>
      <c r="C522" t="s">
        <v>47</v>
      </c>
      <c r="D522" t="s">
        <v>445</v>
      </c>
      <c r="E522" t="s">
        <v>445</v>
      </c>
      <c r="F522" t="s">
        <v>142</v>
      </c>
      <c r="G522" t="s">
        <v>473</v>
      </c>
      <c r="H522" t="s">
        <v>1265</v>
      </c>
      <c r="J522" t="str">
        <f>HYPERLINK("https://www.facebook.com/454965103328545/posts/793353449489707?comment_id=329772020100429","https://www.facebook.com/454965103328545/posts/793353449489707?comment_id=329772020100429")</f>
        <v>https://www.facebook.com/454965103328545/posts/793353449489707?comment_id=329772020100429</v>
      </c>
      <c r="O522">
        <v>0</v>
      </c>
      <c r="P522">
        <v>0</v>
      </c>
      <c r="Q522">
        <v>0</v>
      </c>
      <c r="S522">
        <v>0</v>
      </c>
      <c r="T522">
        <v>0</v>
      </c>
      <c r="U522">
        <v>0</v>
      </c>
      <c r="W522" t="s">
        <v>62</v>
      </c>
    </row>
    <row r="523" spans="1:42" x14ac:dyDescent="0.35">
      <c r="A523" t="s">
        <v>45</v>
      </c>
      <c r="B523" t="s">
        <v>1185</v>
      </c>
      <c r="C523" t="s">
        <v>47</v>
      </c>
      <c r="D523" t="s">
        <v>445</v>
      </c>
      <c r="E523" t="s">
        <v>445</v>
      </c>
      <c r="F523" t="s">
        <v>49</v>
      </c>
      <c r="G523" t="s">
        <v>471</v>
      </c>
      <c r="H523" t="s">
        <v>1266</v>
      </c>
      <c r="J523" t="str">
        <f>HYPERLINK("https://www.facebook.com/454965103328545/posts/793353449489707?comment_id=1135590711193617","https://www.facebook.com/454965103328545/posts/793353449489707?comment_id=1135590711193617")</f>
        <v>https://www.facebook.com/454965103328545/posts/793353449489707?comment_id=1135590711193617</v>
      </c>
      <c r="O523">
        <v>0</v>
      </c>
      <c r="P523">
        <v>0</v>
      </c>
      <c r="Q523">
        <v>0</v>
      </c>
      <c r="S523">
        <v>0</v>
      </c>
      <c r="T523">
        <v>0</v>
      </c>
      <c r="U523">
        <v>0</v>
      </c>
      <c r="W523" t="s">
        <v>62</v>
      </c>
    </row>
    <row r="524" spans="1:42" x14ac:dyDescent="0.35">
      <c r="A524" t="s">
        <v>45</v>
      </c>
      <c r="B524" t="s">
        <v>1185</v>
      </c>
      <c r="C524" t="s">
        <v>63</v>
      </c>
      <c r="D524" t="s">
        <v>1267</v>
      </c>
      <c r="E524" t="s">
        <v>1267</v>
      </c>
      <c r="F524" t="s">
        <v>76</v>
      </c>
      <c r="G524" t="s">
        <v>1268</v>
      </c>
      <c r="H524" t="s">
        <v>1269</v>
      </c>
      <c r="J524" t="str">
        <f>HYPERLINK("https://www.instagram.com/reel/C42LP53BVdn/","https://www.instagram.com/reel/C42LP53BVdn/")</f>
        <v>https://www.instagram.com/reel/C42LP53BVdn/</v>
      </c>
      <c r="O524">
        <v>0</v>
      </c>
      <c r="P524">
        <v>0</v>
      </c>
      <c r="Q524">
        <v>0</v>
      </c>
      <c r="S524">
        <v>0</v>
      </c>
      <c r="T524">
        <v>0</v>
      </c>
      <c r="U524">
        <v>0</v>
      </c>
      <c r="W524" t="s">
        <v>62</v>
      </c>
    </row>
    <row r="525" spans="1:42" x14ac:dyDescent="0.35">
      <c r="A525" t="s">
        <v>45</v>
      </c>
      <c r="B525" t="s">
        <v>1185</v>
      </c>
      <c r="C525" t="s">
        <v>47</v>
      </c>
      <c r="D525" t="s">
        <v>1270</v>
      </c>
      <c r="E525" t="s">
        <v>1270</v>
      </c>
      <c r="F525" t="s">
        <v>142</v>
      </c>
      <c r="G525" t="s">
        <v>1271</v>
      </c>
      <c r="H525" t="s">
        <v>1272</v>
      </c>
      <c r="J525" t="str">
        <f>HYPERLINK("https://www.facebook.com/454965103328545/posts/792232949601757?comment_id=1460676807851440","https://www.facebook.com/454965103328545/posts/792232949601757?comment_id=1460676807851440")</f>
        <v>https://www.facebook.com/454965103328545/posts/792232949601757?comment_id=1460676807851440</v>
      </c>
      <c r="O525">
        <v>0</v>
      </c>
      <c r="P525">
        <v>0</v>
      </c>
      <c r="Q525">
        <v>0</v>
      </c>
      <c r="S525">
        <v>0</v>
      </c>
      <c r="T525">
        <v>0</v>
      </c>
      <c r="U525">
        <v>0</v>
      </c>
      <c r="W525" t="s">
        <v>62</v>
      </c>
    </row>
    <row r="526" spans="1:42" x14ac:dyDescent="0.35">
      <c r="A526" t="s">
        <v>45</v>
      </c>
      <c r="B526" t="s">
        <v>1185</v>
      </c>
      <c r="C526" t="s">
        <v>47</v>
      </c>
      <c r="D526" t="s">
        <v>1270</v>
      </c>
      <c r="E526" t="s">
        <v>1270</v>
      </c>
      <c r="F526" t="s">
        <v>142</v>
      </c>
      <c r="G526" t="s">
        <v>1273</v>
      </c>
      <c r="H526" t="s">
        <v>1274</v>
      </c>
      <c r="J526" t="str">
        <f>HYPERLINK("https://www.facebook.com/454965103328545/posts/793353449489707?comment_id=1443606986267968&amp;reply_comment_id=718863137126345","https://www.facebook.com/454965103328545/posts/793353449489707?comment_id=1443606986267968&amp;reply_comment_id=718863137126345")</f>
        <v>https://www.facebook.com/454965103328545/posts/793353449489707?comment_id=1443606986267968&amp;reply_comment_id=718863137126345</v>
      </c>
      <c r="O526">
        <v>0</v>
      </c>
      <c r="P526">
        <v>0</v>
      </c>
      <c r="Q526">
        <v>0</v>
      </c>
      <c r="S526">
        <v>0</v>
      </c>
      <c r="T526">
        <v>0</v>
      </c>
      <c r="U526">
        <v>0</v>
      </c>
      <c r="W526" t="s">
        <v>62</v>
      </c>
    </row>
    <row r="527" spans="1:42" x14ac:dyDescent="0.35">
      <c r="A527" t="s">
        <v>45</v>
      </c>
      <c r="B527" t="s">
        <v>1185</v>
      </c>
      <c r="C527" t="s">
        <v>47</v>
      </c>
      <c r="D527" t="s">
        <v>1275</v>
      </c>
      <c r="E527" t="s">
        <v>1275</v>
      </c>
      <c r="F527" t="s">
        <v>49</v>
      </c>
      <c r="G527" t="s">
        <v>1276</v>
      </c>
      <c r="H527" t="s">
        <v>1277</v>
      </c>
      <c r="J527" t="str">
        <f>HYPERLINK("https://www.facebook.com/454965103328545/posts/793353449489707?comment_id=1656581855111409","https://www.facebook.com/454965103328545/posts/793353449489707?comment_id=1656581855111409")</f>
        <v>https://www.facebook.com/454965103328545/posts/793353449489707?comment_id=1656581855111409</v>
      </c>
      <c r="O527">
        <v>0</v>
      </c>
      <c r="P527">
        <v>0</v>
      </c>
      <c r="Q527">
        <v>0</v>
      </c>
      <c r="S527">
        <v>0</v>
      </c>
      <c r="T527">
        <v>0</v>
      </c>
      <c r="U527">
        <v>0</v>
      </c>
      <c r="W527" t="s">
        <v>62</v>
      </c>
    </row>
    <row r="528" spans="1:42" x14ac:dyDescent="0.35">
      <c r="A528" t="s">
        <v>45</v>
      </c>
      <c r="B528" t="s">
        <v>1185</v>
      </c>
      <c r="C528" t="s">
        <v>47</v>
      </c>
      <c r="D528" t="s">
        <v>151</v>
      </c>
      <c r="E528" t="s">
        <v>151</v>
      </c>
      <c r="F528" t="s">
        <v>49</v>
      </c>
      <c r="H528" t="s">
        <v>1278</v>
      </c>
      <c r="J528" t="str">
        <f>HYPERLINK("https://www.facebook.com/454965103328545/posts/793353449489707?comment_id=1437630857189136","https://www.facebook.com/454965103328545/posts/793353449489707?comment_id=1437630857189136")</f>
        <v>https://www.facebook.com/454965103328545/posts/793353449489707?comment_id=1437630857189136</v>
      </c>
      <c r="O528">
        <v>0</v>
      </c>
      <c r="P528">
        <v>0</v>
      </c>
      <c r="Q528">
        <v>0</v>
      </c>
      <c r="S528">
        <v>0</v>
      </c>
      <c r="T528">
        <v>0</v>
      </c>
      <c r="U528">
        <v>0</v>
      </c>
      <c r="W528" t="s">
        <v>62</v>
      </c>
    </row>
    <row r="529" spans="1:42" x14ac:dyDescent="0.35">
      <c r="A529" t="s">
        <v>45</v>
      </c>
      <c r="B529" t="s">
        <v>1185</v>
      </c>
      <c r="C529" t="s">
        <v>63</v>
      </c>
      <c r="D529" t="s">
        <v>624</v>
      </c>
      <c r="E529" t="s">
        <v>624</v>
      </c>
      <c r="F529" t="s">
        <v>49</v>
      </c>
      <c r="G529" t="s">
        <v>1279</v>
      </c>
      <c r="H529" t="s">
        <v>1280</v>
      </c>
      <c r="J529" t="str">
        <f>HYPERLINK("https://www.instagram.com/reel/C42LP53BVdn/","https://www.instagram.com/reel/C42LP53BVdn/")</f>
        <v>https://www.instagram.com/reel/C42LP53BVdn/</v>
      </c>
      <c r="O529">
        <v>0</v>
      </c>
      <c r="P529">
        <v>0</v>
      </c>
      <c r="Q529">
        <v>0</v>
      </c>
      <c r="S529">
        <v>0</v>
      </c>
      <c r="T529">
        <v>0</v>
      </c>
      <c r="U529">
        <v>0</v>
      </c>
      <c r="W529" t="s">
        <v>62</v>
      </c>
    </row>
    <row r="530" spans="1:42" x14ac:dyDescent="0.35">
      <c r="A530" t="s">
        <v>45</v>
      </c>
      <c r="B530" t="s">
        <v>1185</v>
      </c>
      <c r="C530" t="s">
        <v>47</v>
      </c>
      <c r="D530" t="s">
        <v>1281</v>
      </c>
      <c r="E530" t="s">
        <v>1281</v>
      </c>
      <c r="F530" t="s">
        <v>49</v>
      </c>
      <c r="G530" t="s">
        <v>1282</v>
      </c>
      <c r="H530" t="s">
        <v>1283</v>
      </c>
      <c r="J530" t="str">
        <f>HYPERLINK("https://www.facebook.com/454965103328545/posts/793353449489707?comment_id=447791091146426","https://www.facebook.com/454965103328545/posts/793353449489707?comment_id=447791091146426")</f>
        <v>https://www.facebook.com/454965103328545/posts/793353449489707?comment_id=447791091146426</v>
      </c>
      <c r="O530">
        <v>0</v>
      </c>
      <c r="P530">
        <v>0</v>
      </c>
      <c r="Q530">
        <v>0</v>
      </c>
      <c r="S530">
        <v>0</v>
      </c>
      <c r="T530">
        <v>0</v>
      </c>
      <c r="U530">
        <v>0</v>
      </c>
      <c r="W530" t="s">
        <v>62</v>
      </c>
    </row>
    <row r="531" spans="1:42" x14ac:dyDescent="0.35">
      <c r="A531" t="s">
        <v>45</v>
      </c>
      <c r="B531" t="s">
        <v>1185</v>
      </c>
      <c r="C531" t="s">
        <v>47</v>
      </c>
      <c r="D531" t="s">
        <v>1284</v>
      </c>
      <c r="E531" t="s">
        <v>1284</v>
      </c>
      <c r="F531" t="s">
        <v>49</v>
      </c>
      <c r="G531" t="s">
        <v>1235</v>
      </c>
      <c r="H531" t="s">
        <v>1285</v>
      </c>
      <c r="J531" t="str">
        <f>HYPERLINK("https://www.facebook.com/454965103328545/posts/793353449489707?comment_id=1443606986267968","https://www.facebook.com/454965103328545/posts/793353449489707?comment_id=1443606986267968")</f>
        <v>https://www.facebook.com/454965103328545/posts/793353449489707?comment_id=1443606986267968</v>
      </c>
      <c r="O531">
        <v>0</v>
      </c>
      <c r="P531">
        <v>0</v>
      </c>
      <c r="Q531">
        <v>0</v>
      </c>
      <c r="S531">
        <v>0</v>
      </c>
      <c r="T531">
        <v>0</v>
      </c>
      <c r="U531">
        <v>0</v>
      </c>
      <c r="W531" t="s">
        <v>62</v>
      </c>
    </row>
    <row r="532" spans="1:42" x14ac:dyDescent="0.35">
      <c r="A532" t="s">
        <v>45</v>
      </c>
      <c r="B532" t="s">
        <v>1185</v>
      </c>
      <c r="C532" t="s">
        <v>47</v>
      </c>
      <c r="D532" t="s">
        <v>1270</v>
      </c>
      <c r="E532" t="s">
        <v>1270</v>
      </c>
      <c r="F532" t="s">
        <v>49</v>
      </c>
      <c r="G532" t="s">
        <v>1286</v>
      </c>
      <c r="H532" t="s">
        <v>1287</v>
      </c>
      <c r="J532" t="str">
        <f>HYPERLINK("https://www.facebook.com/454965103328545/posts/793353449489707?comment_id=1085338522520331","https://www.facebook.com/454965103328545/posts/793353449489707?comment_id=1085338522520331")</f>
        <v>https://www.facebook.com/454965103328545/posts/793353449489707?comment_id=1085338522520331</v>
      </c>
      <c r="O532">
        <v>0</v>
      </c>
      <c r="P532">
        <v>0</v>
      </c>
      <c r="Q532">
        <v>0</v>
      </c>
      <c r="S532">
        <v>0</v>
      </c>
      <c r="T532">
        <v>0</v>
      </c>
      <c r="U532">
        <v>0</v>
      </c>
      <c r="W532" t="s">
        <v>62</v>
      </c>
    </row>
    <row r="533" spans="1:42" x14ac:dyDescent="0.35">
      <c r="A533" t="s">
        <v>45</v>
      </c>
      <c r="B533" t="s">
        <v>1185</v>
      </c>
      <c r="C533" t="s">
        <v>63</v>
      </c>
      <c r="D533" t="s">
        <v>1288</v>
      </c>
      <c r="E533" t="s">
        <v>1288</v>
      </c>
      <c r="F533" t="s">
        <v>76</v>
      </c>
      <c r="G533" t="s">
        <v>1289</v>
      </c>
      <c r="H533" t="s">
        <v>1290</v>
      </c>
      <c r="J533" t="str">
        <f>HYPERLINK("https://www.instagram.com/reel/C42LP53BVdn/","https://www.instagram.com/reel/C42LP53BVdn/")</f>
        <v>https://www.instagram.com/reel/C42LP53BVdn/</v>
      </c>
      <c r="O533">
        <v>0</v>
      </c>
      <c r="P533">
        <v>0</v>
      </c>
      <c r="Q533">
        <v>0</v>
      </c>
      <c r="S533">
        <v>0</v>
      </c>
      <c r="T533">
        <v>0</v>
      </c>
      <c r="U533">
        <v>0</v>
      </c>
      <c r="W533" t="s">
        <v>62</v>
      </c>
    </row>
    <row r="534" spans="1:42" x14ac:dyDescent="0.35">
      <c r="A534" t="s">
        <v>45</v>
      </c>
      <c r="B534" t="s">
        <v>1185</v>
      </c>
      <c r="C534" t="s">
        <v>47</v>
      </c>
      <c r="D534" t="s">
        <v>1291</v>
      </c>
      <c r="E534" t="s">
        <v>1291</v>
      </c>
      <c r="F534" t="s">
        <v>49</v>
      </c>
      <c r="G534" t="s">
        <v>253</v>
      </c>
      <c r="H534" t="s">
        <v>1292</v>
      </c>
      <c r="J534" t="str">
        <f>HYPERLINK("https://www.facebook.com/357267201017935/inbox/7187592277985359/","https://www.facebook.com/357267201017935/inbox/7187592277985359/")</f>
        <v>https://www.facebook.com/357267201017935/inbox/7187592277985359/</v>
      </c>
      <c r="O534">
        <v>0</v>
      </c>
      <c r="P534">
        <v>0</v>
      </c>
      <c r="Q534">
        <v>0</v>
      </c>
      <c r="S534">
        <v>0</v>
      </c>
      <c r="T534">
        <v>0</v>
      </c>
      <c r="U534">
        <v>0</v>
      </c>
      <c r="W534" t="s">
        <v>52</v>
      </c>
    </row>
    <row r="535" spans="1:42" x14ac:dyDescent="0.35">
      <c r="A535" t="s">
        <v>45</v>
      </c>
      <c r="B535" t="s">
        <v>1185</v>
      </c>
      <c r="C535" t="s">
        <v>63</v>
      </c>
      <c r="D535" t="s">
        <v>1293</v>
      </c>
      <c r="E535" t="s">
        <v>1293</v>
      </c>
      <c r="F535" t="s">
        <v>49</v>
      </c>
      <c r="G535" t="s">
        <v>1294</v>
      </c>
      <c r="H535" t="s">
        <v>1295</v>
      </c>
      <c r="J535" t="str">
        <f>HYPERLINK("https://www.instagram.com/reel/C42LP53BVdn/","https://www.instagram.com/reel/C42LP53BVdn/")</f>
        <v>https://www.instagram.com/reel/C42LP53BVdn/</v>
      </c>
      <c r="O535">
        <v>0</v>
      </c>
      <c r="P535">
        <v>0</v>
      </c>
      <c r="Q535">
        <v>0</v>
      </c>
      <c r="S535">
        <v>0</v>
      </c>
      <c r="T535">
        <v>0</v>
      </c>
      <c r="U535">
        <v>0</v>
      </c>
      <c r="W535" t="s">
        <v>62</v>
      </c>
    </row>
    <row r="536" spans="1:42" x14ac:dyDescent="0.35">
      <c r="A536" t="s">
        <v>45</v>
      </c>
      <c r="B536" t="s">
        <v>1185</v>
      </c>
      <c r="C536" t="s">
        <v>102</v>
      </c>
      <c r="D536" t="s">
        <v>1296</v>
      </c>
      <c r="E536" t="s">
        <v>1296</v>
      </c>
      <c r="F536" t="s">
        <v>76</v>
      </c>
      <c r="G536" t="s">
        <v>1297</v>
      </c>
      <c r="H536" t="s">
        <v>1298</v>
      </c>
      <c r="J536" t="str">
        <f>HYPERLINK("https://www.linkedin.com/feed/update/urn:li:activity:7177193518682050560","https://www.linkedin.com/feed/update/urn:li:activity:7177193518682050560")</f>
        <v>https://www.linkedin.com/feed/update/urn:li:activity:7177193518682050560</v>
      </c>
      <c r="O536">
        <v>0</v>
      </c>
      <c r="P536">
        <v>0</v>
      </c>
      <c r="Q536">
        <v>0</v>
      </c>
      <c r="S536">
        <v>0</v>
      </c>
      <c r="T536">
        <v>0</v>
      </c>
      <c r="U536">
        <v>0</v>
      </c>
      <c r="W536" t="s">
        <v>106</v>
      </c>
      <c r="AO536" t="s">
        <v>119</v>
      </c>
      <c r="AP536" t="s">
        <v>101</v>
      </c>
    </row>
    <row r="537" spans="1:42" x14ac:dyDescent="0.35">
      <c r="A537" t="s">
        <v>45</v>
      </c>
      <c r="B537" t="s">
        <v>1185</v>
      </c>
      <c r="C537" t="s">
        <v>58</v>
      </c>
      <c r="D537" t="s">
        <v>45</v>
      </c>
      <c r="E537" t="s">
        <v>45</v>
      </c>
      <c r="F537" t="s">
        <v>49</v>
      </c>
      <c r="G537" t="s">
        <v>1299</v>
      </c>
      <c r="H537" t="s">
        <v>1300</v>
      </c>
      <c r="J537" t="str">
        <f>HYPERLINK("https://www.youtube.com/watch?v=0jykPZJIZUU","https://www.youtube.com/watch?v=0jykPZJIZUU")</f>
        <v>https://www.youtube.com/watch?v=0jykPZJIZUU</v>
      </c>
      <c r="O537">
        <v>0</v>
      </c>
      <c r="P537">
        <v>0</v>
      </c>
      <c r="Q537">
        <v>0</v>
      </c>
      <c r="S537">
        <v>0</v>
      </c>
      <c r="T537">
        <v>0</v>
      </c>
      <c r="U537">
        <v>0</v>
      </c>
      <c r="W537" t="s">
        <v>106</v>
      </c>
    </row>
    <row r="538" spans="1:42" x14ac:dyDescent="0.35">
      <c r="A538" t="s">
        <v>45</v>
      </c>
      <c r="B538" t="s">
        <v>1185</v>
      </c>
      <c r="C538" t="s">
        <v>63</v>
      </c>
      <c r="D538" t="s">
        <v>1301</v>
      </c>
      <c r="E538" t="s">
        <v>1301</v>
      </c>
      <c r="F538" t="s">
        <v>49</v>
      </c>
      <c r="G538" t="s">
        <v>1302</v>
      </c>
      <c r="H538" t="s">
        <v>1303</v>
      </c>
      <c r="J538" t="str">
        <f>HYPERLINK("https://www.instagram.com/reel/C42LP53BVdn/","https://www.instagram.com/reel/C42LP53BVdn/")</f>
        <v>https://www.instagram.com/reel/C42LP53BVdn/</v>
      </c>
      <c r="O538">
        <v>0</v>
      </c>
      <c r="P538">
        <v>0</v>
      </c>
      <c r="Q538">
        <v>0</v>
      </c>
      <c r="S538">
        <v>0</v>
      </c>
      <c r="T538">
        <v>0</v>
      </c>
      <c r="U538">
        <v>0</v>
      </c>
      <c r="W538" t="s">
        <v>62</v>
      </c>
      <c r="AP538" t="s">
        <v>94</v>
      </c>
    </row>
    <row r="539" spans="1:42" x14ac:dyDescent="0.35">
      <c r="A539" t="s">
        <v>45</v>
      </c>
      <c r="B539" t="s">
        <v>1185</v>
      </c>
      <c r="C539" t="s">
        <v>47</v>
      </c>
      <c r="D539" t="s">
        <v>45</v>
      </c>
      <c r="E539" t="s">
        <v>45</v>
      </c>
      <c r="F539" t="s">
        <v>49</v>
      </c>
      <c r="G539" t="s">
        <v>1304</v>
      </c>
      <c r="H539" t="s">
        <v>1305</v>
      </c>
      <c r="J539" t="str">
        <f>HYPERLINK("https://www.facebook.com/357267201017935_793353449489707","https://www.facebook.com/357267201017935_793353449489707")</f>
        <v>https://www.facebook.com/357267201017935_793353449489707</v>
      </c>
      <c r="O539">
        <v>0</v>
      </c>
      <c r="P539">
        <v>0</v>
      </c>
      <c r="Q539">
        <v>0</v>
      </c>
      <c r="S539">
        <v>21</v>
      </c>
      <c r="T539">
        <v>104</v>
      </c>
      <c r="U539">
        <v>10</v>
      </c>
      <c r="W539" t="s">
        <v>106</v>
      </c>
    </row>
    <row r="540" spans="1:42" x14ac:dyDescent="0.35">
      <c r="A540" t="s">
        <v>45</v>
      </c>
      <c r="B540" t="s">
        <v>1185</v>
      </c>
      <c r="C540" t="s">
        <v>63</v>
      </c>
      <c r="D540" t="s">
        <v>186</v>
      </c>
      <c r="E540" t="s">
        <v>186</v>
      </c>
      <c r="F540" t="s">
        <v>49</v>
      </c>
      <c r="G540" t="s">
        <v>1306</v>
      </c>
      <c r="H540" t="s">
        <v>1307</v>
      </c>
      <c r="J540" t="str">
        <f>HYPERLINK("https://www.instagram.com/reel/C42LP53BVdn/","https://www.instagram.com/reel/C42LP53BVdn/")</f>
        <v>https://www.instagram.com/reel/C42LP53BVdn/</v>
      </c>
      <c r="O540">
        <v>0</v>
      </c>
      <c r="P540">
        <v>0</v>
      </c>
      <c r="Q540">
        <v>0</v>
      </c>
      <c r="S540">
        <v>11</v>
      </c>
      <c r="T540">
        <v>223</v>
      </c>
      <c r="U540">
        <v>0</v>
      </c>
      <c r="W540" t="s">
        <v>106</v>
      </c>
    </row>
    <row r="541" spans="1:42" x14ac:dyDescent="0.35">
      <c r="A541" t="s">
        <v>45</v>
      </c>
      <c r="B541" t="s">
        <v>1185</v>
      </c>
      <c r="C541" t="s">
        <v>47</v>
      </c>
      <c r="D541" t="s">
        <v>1308</v>
      </c>
      <c r="E541" t="s">
        <v>1308</v>
      </c>
      <c r="F541" t="s">
        <v>49</v>
      </c>
      <c r="G541" t="s">
        <v>50</v>
      </c>
      <c r="H541" t="s">
        <v>1309</v>
      </c>
      <c r="J541" t="str">
        <f>HYPERLINK("https://www.facebook.com/357267201017935/inbox/7189753211102599/","https://www.facebook.com/357267201017935/inbox/7189753211102599/")</f>
        <v>https://www.facebook.com/357267201017935/inbox/7189753211102599/</v>
      </c>
      <c r="O541">
        <v>0</v>
      </c>
      <c r="P541">
        <v>0</v>
      </c>
      <c r="Q541">
        <v>0</v>
      </c>
      <c r="S541">
        <v>0</v>
      </c>
      <c r="T541">
        <v>0</v>
      </c>
      <c r="U541">
        <v>0</v>
      </c>
      <c r="W541" t="s">
        <v>52</v>
      </c>
    </row>
    <row r="542" spans="1:42" x14ac:dyDescent="0.35">
      <c r="A542" t="s">
        <v>45</v>
      </c>
      <c r="B542" t="s">
        <v>1185</v>
      </c>
      <c r="C542" t="s">
        <v>47</v>
      </c>
      <c r="D542" t="s">
        <v>1310</v>
      </c>
      <c r="E542" t="s">
        <v>1310</v>
      </c>
      <c r="F542" t="s">
        <v>49</v>
      </c>
      <c r="G542" t="s">
        <v>1311</v>
      </c>
      <c r="H542" t="s">
        <v>1312</v>
      </c>
      <c r="J542" t="str">
        <f>HYPERLINK("https://www.facebook.com/357267201017935/posts/3069910089753619/?comment_id=380047561592876","https://www.facebook.com/357267201017935/posts/3069910089753619/?comment_id=380047561592876")</f>
        <v>https://www.facebook.com/357267201017935/posts/3069910089753619/?comment_id=380047561592876</v>
      </c>
      <c r="O542">
        <v>0</v>
      </c>
      <c r="P542">
        <v>0</v>
      </c>
      <c r="Q542">
        <v>0</v>
      </c>
      <c r="S542">
        <v>0</v>
      </c>
      <c r="T542">
        <v>0</v>
      </c>
      <c r="U542">
        <v>0</v>
      </c>
      <c r="W542" t="s">
        <v>62</v>
      </c>
    </row>
    <row r="543" spans="1:42" x14ac:dyDescent="0.35">
      <c r="A543" t="s">
        <v>45</v>
      </c>
      <c r="B543" t="s">
        <v>1185</v>
      </c>
      <c r="C543" t="s">
        <v>58</v>
      </c>
      <c r="D543" t="s">
        <v>1313</v>
      </c>
      <c r="E543" t="s">
        <v>1313</v>
      </c>
      <c r="F543" t="s">
        <v>49</v>
      </c>
      <c r="G543" t="s">
        <v>1314</v>
      </c>
      <c r="H543" t="s">
        <v>1315</v>
      </c>
      <c r="J543" t="str">
        <f>HYPERLINK("https://www.youtube.com/watch?v=HifQsS9UkTo","https://www.youtube.com/watch?v=HifQsS9UkTo")</f>
        <v>https://www.youtube.com/watch?v=HifQsS9UkTo</v>
      </c>
      <c r="O543">
        <v>0</v>
      </c>
      <c r="P543">
        <v>0</v>
      </c>
      <c r="Q543">
        <v>0</v>
      </c>
      <c r="S543">
        <v>0</v>
      </c>
      <c r="T543">
        <v>0</v>
      </c>
      <c r="U543">
        <v>0</v>
      </c>
      <c r="W543" t="s">
        <v>106</v>
      </c>
    </row>
    <row r="544" spans="1:42" x14ac:dyDescent="0.35">
      <c r="A544" t="s">
        <v>45</v>
      </c>
      <c r="B544" t="s">
        <v>1185</v>
      </c>
      <c r="C544" t="s">
        <v>139</v>
      </c>
      <c r="D544" t="s">
        <v>1186</v>
      </c>
      <c r="E544" t="s">
        <v>1187</v>
      </c>
      <c r="F544" t="s">
        <v>142</v>
      </c>
      <c r="G544" t="s">
        <v>1316</v>
      </c>
      <c r="H544" t="s">
        <v>1317</v>
      </c>
      <c r="J544" t="str">
        <f>HYPERLINK("https://twitter.com/sufiyan_77/status/1771390234368053323","https://twitter.com/sufiyan_77/status/1771390234368053323")</f>
        <v>https://twitter.com/sufiyan_77/status/1771390234368053323</v>
      </c>
      <c r="K544" t="s">
        <v>145</v>
      </c>
      <c r="O544">
        <v>0</v>
      </c>
      <c r="P544">
        <v>0</v>
      </c>
      <c r="Q544">
        <v>56</v>
      </c>
      <c r="R544" t="s">
        <v>582</v>
      </c>
      <c r="S544">
        <v>0</v>
      </c>
      <c r="T544">
        <v>0</v>
      </c>
      <c r="U544">
        <v>0</v>
      </c>
      <c r="W544" t="s">
        <v>146</v>
      </c>
    </row>
    <row r="545" spans="1:42" x14ac:dyDescent="0.35">
      <c r="A545" t="s">
        <v>45</v>
      </c>
      <c r="B545" t="s">
        <v>1185</v>
      </c>
      <c r="C545" t="s">
        <v>102</v>
      </c>
      <c r="D545" t="s">
        <v>1318</v>
      </c>
      <c r="E545" t="s">
        <v>1318</v>
      </c>
      <c r="F545" t="s">
        <v>49</v>
      </c>
      <c r="G545" t="s">
        <v>1319</v>
      </c>
      <c r="H545" t="s">
        <v>1320</v>
      </c>
      <c r="J545" t="str">
        <f>HYPERLINK("https://www.linkedin.com/feed/update/urn:li:ugcPost:7177150881581178880","https://www.linkedin.com/feed/update/urn:li:ugcPost:7177150881581178880")</f>
        <v>https://www.linkedin.com/feed/update/urn:li:ugcPost:7177150881581178880</v>
      </c>
      <c r="O545">
        <v>0</v>
      </c>
      <c r="P545">
        <v>0</v>
      </c>
      <c r="Q545">
        <v>0</v>
      </c>
      <c r="S545">
        <v>0</v>
      </c>
      <c r="T545">
        <v>0</v>
      </c>
      <c r="U545">
        <v>0</v>
      </c>
      <c r="W545" t="s">
        <v>106</v>
      </c>
    </row>
    <row r="546" spans="1:42" x14ac:dyDescent="0.35">
      <c r="A546" t="s">
        <v>45</v>
      </c>
      <c r="B546" t="s">
        <v>1185</v>
      </c>
      <c r="C546" t="s">
        <v>139</v>
      </c>
      <c r="D546" t="s">
        <v>1186</v>
      </c>
      <c r="E546" t="s">
        <v>1187</v>
      </c>
      <c r="F546" t="s">
        <v>49</v>
      </c>
      <c r="G546" t="s">
        <v>1321</v>
      </c>
      <c r="H546" t="s">
        <v>1322</v>
      </c>
      <c r="J546" t="str">
        <f>HYPERLINK("https://twitter.com/sufiyan_77/status/1771372294973305082","https://twitter.com/sufiyan_77/status/1771372294973305082")</f>
        <v>https://twitter.com/sufiyan_77/status/1771372294973305082</v>
      </c>
      <c r="K546" t="s">
        <v>145</v>
      </c>
      <c r="O546">
        <v>0</v>
      </c>
      <c r="P546">
        <v>0</v>
      </c>
      <c r="Q546">
        <v>56</v>
      </c>
      <c r="R546" t="s">
        <v>582</v>
      </c>
      <c r="S546">
        <v>0</v>
      </c>
      <c r="T546">
        <v>0</v>
      </c>
      <c r="U546">
        <v>0</v>
      </c>
      <c r="W546" t="s">
        <v>146</v>
      </c>
    </row>
    <row r="547" spans="1:42" x14ac:dyDescent="0.35">
      <c r="A547" t="s">
        <v>45</v>
      </c>
      <c r="B547" t="s">
        <v>1185</v>
      </c>
      <c r="C547" t="s">
        <v>139</v>
      </c>
      <c r="D547" t="s">
        <v>1323</v>
      </c>
      <c r="E547" t="s">
        <v>1324</v>
      </c>
      <c r="F547" t="s">
        <v>142</v>
      </c>
      <c r="G547" t="s">
        <v>1325</v>
      </c>
      <c r="H547" t="s">
        <v>1326</v>
      </c>
      <c r="J547" t="str">
        <f>HYPERLINK("https://twitter.com/Mohit_5355/status/1771357828823056561","https://twitter.com/Mohit_5355/status/1771357828823056561")</f>
        <v>https://twitter.com/Mohit_5355/status/1771357828823056561</v>
      </c>
      <c r="K547" t="s">
        <v>145</v>
      </c>
      <c r="O547">
        <v>0</v>
      </c>
      <c r="P547">
        <v>0</v>
      </c>
      <c r="Q547">
        <v>4</v>
      </c>
      <c r="S547">
        <v>0</v>
      </c>
      <c r="T547">
        <v>0</v>
      </c>
      <c r="U547">
        <v>0</v>
      </c>
      <c r="W547" t="s">
        <v>146</v>
      </c>
    </row>
    <row r="548" spans="1:42" x14ac:dyDescent="0.35">
      <c r="A548" t="s">
        <v>45</v>
      </c>
      <c r="B548" t="s">
        <v>1185</v>
      </c>
      <c r="C548" t="s">
        <v>139</v>
      </c>
      <c r="D548" t="s">
        <v>1327</v>
      </c>
      <c r="E548" t="s">
        <v>1328</v>
      </c>
      <c r="F548" t="s">
        <v>142</v>
      </c>
      <c r="G548" t="s">
        <v>1329</v>
      </c>
      <c r="H548" t="s">
        <v>1330</v>
      </c>
      <c r="J548" t="str">
        <f>HYPERLINK("https://twitter.com/Ilfankhan19931/status/1771347288751030476","https://twitter.com/Ilfankhan19931/status/1771347288751030476")</f>
        <v>https://twitter.com/Ilfankhan19931/status/1771347288751030476</v>
      </c>
      <c r="O548">
        <v>0</v>
      </c>
      <c r="P548">
        <v>0</v>
      </c>
      <c r="Q548">
        <v>3</v>
      </c>
      <c r="S548">
        <v>0</v>
      </c>
      <c r="T548">
        <v>0</v>
      </c>
      <c r="U548">
        <v>0</v>
      </c>
      <c r="W548" t="s">
        <v>146</v>
      </c>
      <c r="AP548" t="s">
        <v>147</v>
      </c>
    </row>
    <row r="549" spans="1:42" x14ac:dyDescent="0.35">
      <c r="A549" t="s">
        <v>45</v>
      </c>
      <c r="B549" t="s">
        <v>1185</v>
      </c>
      <c r="C549" t="s">
        <v>58</v>
      </c>
      <c r="D549" t="s">
        <v>1331</v>
      </c>
      <c r="E549" t="s">
        <v>1331</v>
      </c>
      <c r="F549" t="s">
        <v>49</v>
      </c>
      <c r="G549" t="s">
        <v>1332</v>
      </c>
      <c r="H549" t="s">
        <v>1333</v>
      </c>
      <c r="J549" t="str">
        <f>HYPERLINK("https://www.youtube.com/watch?v=KEt45cXeUck","https://www.youtube.com/watch?v=KEt45cXeUck")</f>
        <v>https://www.youtube.com/watch?v=KEt45cXeUck</v>
      </c>
      <c r="O549">
        <v>0</v>
      </c>
      <c r="P549">
        <v>0</v>
      </c>
      <c r="Q549">
        <v>0</v>
      </c>
      <c r="S549">
        <v>0</v>
      </c>
      <c r="T549">
        <v>0</v>
      </c>
      <c r="U549">
        <v>0</v>
      </c>
      <c r="W549" t="s">
        <v>106</v>
      </c>
    </row>
    <row r="550" spans="1:42" x14ac:dyDescent="0.35">
      <c r="A550" t="s">
        <v>45</v>
      </c>
      <c r="B550" t="s">
        <v>1185</v>
      </c>
      <c r="C550" t="s">
        <v>139</v>
      </c>
      <c r="D550" t="s">
        <v>1334</v>
      </c>
      <c r="E550" t="s">
        <v>1335</v>
      </c>
      <c r="F550" t="s">
        <v>49</v>
      </c>
      <c r="G550" t="s">
        <v>1336</v>
      </c>
      <c r="H550" t="s">
        <v>1337</v>
      </c>
      <c r="J550" t="str">
        <f>HYPERLINK("https://twitter.com/MdBaitullahAnsa/status/1771252840662487190","https://twitter.com/MdBaitullahAnsa/status/1771252840662487190")</f>
        <v>https://twitter.com/MdBaitullahAnsa/status/1771252840662487190</v>
      </c>
      <c r="K550" t="s">
        <v>145</v>
      </c>
      <c r="O550">
        <v>0</v>
      </c>
      <c r="P550">
        <v>0</v>
      </c>
      <c r="Q550">
        <v>5</v>
      </c>
      <c r="R550" t="s">
        <v>1338</v>
      </c>
      <c r="S550">
        <v>0</v>
      </c>
      <c r="T550">
        <v>0</v>
      </c>
      <c r="U550">
        <v>0</v>
      </c>
      <c r="W550" t="s">
        <v>146</v>
      </c>
      <c r="AP550" t="s">
        <v>101</v>
      </c>
    </row>
    <row r="551" spans="1:42" x14ac:dyDescent="0.35">
      <c r="A551" t="s">
        <v>45</v>
      </c>
      <c r="B551" t="s">
        <v>1185</v>
      </c>
      <c r="C551" t="s">
        <v>139</v>
      </c>
      <c r="D551" t="s">
        <v>1334</v>
      </c>
      <c r="E551" t="s">
        <v>1335</v>
      </c>
      <c r="F551" t="s">
        <v>49</v>
      </c>
      <c r="G551" t="s">
        <v>1339</v>
      </c>
      <c r="H551" t="s">
        <v>1340</v>
      </c>
      <c r="J551" t="str">
        <f>HYPERLINK("https://twitter.com/MdBaitullahAnsa/status/1771252399228764243","https://twitter.com/MdBaitullahAnsa/status/1771252399228764243")</f>
        <v>https://twitter.com/MdBaitullahAnsa/status/1771252399228764243</v>
      </c>
      <c r="K551" t="s">
        <v>145</v>
      </c>
      <c r="O551">
        <v>0</v>
      </c>
      <c r="P551">
        <v>0</v>
      </c>
      <c r="Q551">
        <v>5</v>
      </c>
      <c r="R551" t="s">
        <v>1338</v>
      </c>
      <c r="S551">
        <v>0</v>
      </c>
      <c r="T551">
        <v>0</v>
      </c>
      <c r="U551">
        <v>0</v>
      </c>
      <c r="W551" t="s">
        <v>146</v>
      </c>
    </row>
    <row r="552" spans="1:42" x14ac:dyDescent="0.35">
      <c r="A552" t="s">
        <v>45</v>
      </c>
      <c r="B552" t="s">
        <v>1185</v>
      </c>
      <c r="C552" t="s">
        <v>139</v>
      </c>
      <c r="D552" t="s">
        <v>1341</v>
      </c>
      <c r="E552" t="s">
        <v>1342</v>
      </c>
      <c r="F552" t="s">
        <v>49</v>
      </c>
      <c r="G552" t="s">
        <v>1343</v>
      </c>
      <c r="H552" t="s">
        <v>1344</v>
      </c>
      <c r="J552" t="str">
        <f>HYPERLINK("https://twitter.com/mrjbilla225/status/1771243254379393348","https://twitter.com/mrjbilla225/status/1771243254379393348")</f>
        <v>https://twitter.com/mrjbilla225/status/1771243254379393348</v>
      </c>
      <c r="K552" t="s">
        <v>145</v>
      </c>
      <c r="O552">
        <v>0</v>
      </c>
      <c r="P552">
        <v>0</v>
      </c>
      <c r="Q552">
        <v>2</v>
      </c>
      <c r="S552">
        <v>0</v>
      </c>
      <c r="T552">
        <v>0</v>
      </c>
      <c r="U552">
        <v>0</v>
      </c>
      <c r="W552" t="s">
        <v>146</v>
      </c>
    </row>
    <row r="553" spans="1:42" x14ac:dyDescent="0.35">
      <c r="A553" t="s">
        <v>45</v>
      </c>
      <c r="B553" t="s">
        <v>1345</v>
      </c>
      <c r="C553" t="s">
        <v>47</v>
      </c>
      <c r="D553" t="s">
        <v>163</v>
      </c>
      <c r="E553" t="s">
        <v>163</v>
      </c>
      <c r="F553" t="s">
        <v>49</v>
      </c>
      <c r="G553" t="s">
        <v>1346</v>
      </c>
      <c r="H553" t="s">
        <v>1347</v>
      </c>
      <c r="J553" t="str">
        <f>HYPERLINK("https://www.facebook.com/454965103328545/videos/945854510284278?comment_id=1102282094327493","https://www.facebook.com/454965103328545/videos/945854510284278?comment_id=1102282094327493")</f>
        <v>https://www.facebook.com/454965103328545/videos/945854510284278?comment_id=1102282094327493</v>
      </c>
      <c r="O553">
        <v>0</v>
      </c>
      <c r="P553">
        <v>0</v>
      </c>
      <c r="Q553">
        <v>0</v>
      </c>
      <c r="S553">
        <v>0</v>
      </c>
      <c r="T553">
        <v>0</v>
      </c>
      <c r="U553">
        <v>0</v>
      </c>
      <c r="W553" t="s">
        <v>62</v>
      </c>
    </row>
    <row r="554" spans="1:42" x14ac:dyDescent="0.35">
      <c r="A554" t="s">
        <v>45</v>
      </c>
      <c r="B554" t="s">
        <v>1345</v>
      </c>
      <c r="C554" t="s">
        <v>47</v>
      </c>
      <c r="D554" t="s">
        <v>811</v>
      </c>
      <c r="E554" t="s">
        <v>811</v>
      </c>
      <c r="F554" t="s">
        <v>49</v>
      </c>
      <c r="G554" t="s">
        <v>1348</v>
      </c>
      <c r="H554" t="s">
        <v>1349</v>
      </c>
      <c r="J554" t="str">
        <f>HYPERLINK("https://www.facebook.com/454965103328545/posts/792232949601757?comment_id=1766803627135566","https://www.facebook.com/454965103328545/posts/792232949601757?comment_id=1766803627135566")</f>
        <v>https://www.facebook.com/454965103328545/posts/792232949601757?comment_id=1766803627135566</v>
      </c>
      <c r="O554">
        <v>0</v>
      </c>
      <c r="P554">
        <v>0</v>
      </c>
      <c r="Q554">
        <v>0</v>
      </c>
      <c r="S554">
        <v>0</v>
      </c>
      <c r="T554">
        <v>0</v>
      </c>
      <c r="U554">
        <v>0</v>
      </c>
      <c r="W554" t="s">
        <v>62</v>
      </c>
    </row>
    <row r="555" spans="1:42" x14ac:dyDescent="0.35">
      <c r="A555" t="s">
        <v>45</v>
      </c>
      <c r="B555" t="s">
        <v>1345</v>
      </c>
      <c r="C555" t="s">
        <v>47</v>
      </c>
      <c r="D555" t="s">
        <v>1284</v>
      </c>
      <c r="E555" t="s">
        <v>1284</v>
      </c>
      <c r="F555" t="s">
        <v>49</v>
      </c>
      <c r="G555" t="s">
        <v>1350</v>
      </c>
      <c r="H555" t="s">
        <v>1351</v>
      </c>
      <c r="J555" t="str">
        <f>HYPERLINK("https://www.facebook.com/454965103328545/posts/791649272993458?comment_id=678598180957887","https://www.facebook.com/454965103328545/posts/791649272993458?comment_id=678598180957887")</f>
        <v>https://www.facebook.com/454965103328545/posts/791649272993458?comment_id=678598180957887</v>
      </c>
      <c r="O555">
        <v>0</v>
      </c>
      <c r="P555">
        <v>0</v>
      </c>
      <c r="Q555">
        <v>0</v>
      </c>
      <c r="S555">
        <v>0</v>
      </c>
      <c r="T555">
        <v>0</v>
      </c>
      <c r="U555">
        <v>0</v>
      </c>
      <c r="W555" t="s">
        <v>62</v>
      </c>
    </row>
    <row r="556" spans="1:42" x14ac:dyDescent="0.35">
      <c r="A556" t="s">
        <v>45</v>
      </c>
      <c r="B556" t="s">
        <v>1345</v>
      </c>
      <c r="C556" t="s">
        <v>58</v>
      </c>
      <c r="D556" t="s">
        <v>1352</v>
      </c>
      <c r="E556" t="s">
        <v>1352</v>
      </c>
      <c r="F556" t="s">
        <v>49</v>
      </c>
      <c r="G556" t="s">
        <v>1353</v>
      </c>
      <c r="H556" t="s">
        <v>1354</v>
      </c>
      <c r="J556" t="str">
        <f>HYPERLINK("https://www.youtube.com/watch?v=SDrTmPfhQXw","https://www.youtube.com/watch?v=SDrTmPfhQXw")</f>
        <v>https://www.youtube.com/watch?v=SDrTmPfhQXw</v>
      </c>
      <c r="O556">
        <v>0</v>
      </c>
      <c r="P556">
        <v>0</v>
      </c>
      <c r="Q556">
        <v>0</v>
      </c>
      <c r="S556">
        <v>0</v>
      </c>
      <c r="T556">
        <v>0</v>
      </c>
      <c r="U556">
        <v>0</v>
      </c>
      <c r="W556" t="s">
        <v>106</v>
      </c>
    </row>
    <row r="557" spans="1:42" x14ac:dyDescent="0.35">
      <c r="A557" t="s">
        <v>45</v>
      </c>
      <c r="B557" t="s">
        <v>1345</v>
      </c>
      <c r="C557" t="s">
        <v>47</v>
      </c>
      <c r="D557" t="s">
        <v>1355</v>
      </c>
      <c r="E557" t="s">
        <v>1355</v>
      </c>
      <c r="F557" t="s">
        <v>76</v>
      </c>
      <c r="G557" t="s">
        <v>1356</v>
      </c>
      <c r="H557" t="s">
        <v>1357</v>
      </c>
      <c r="J557" t="str">
        <f>HYPERLINK("https://www.facebook.com/454965103328545/posts/792232949601757?comment_id=1114570589682246","https://www.facebook.com/454965103328545/posts/792232949601757?comment_id=1114570589682246")</f>
        <v>https://www.facebook.com/454965103328545/posts/792232949601757?comment_id=1114570589682246</v>
      </c>
      <c r="O557">
        <v>0</v>
      </c>
      <c r="P557">
        <v>0</v>
      </c>
      <c r="Q557">
        <v>0</v>
      </c>
      <c r="S557">
        <v>0</v>
      </c>
      <c r="T557">
        <v>0</v>
      </c>
      <c r="U557">
        <v>0</v>
      </c>
      <c r="W557" t="s">
        <v>62</v>
      </c>
    </row>
    <row r="558" spans="1:42" x14ac:dyDescent="0.35">
      <c r="A558" t="s">
        <v>45</v>
      </c>
      <c r="B558" t="s">
        <v>1345</v>
      </c>
      <c r="C558" t="s">
        <v>63</v>
      </c>
      <c r="D558" t="s">
        <v>1358</v>
      </c>
      <c r="E558" t="s">
        <v>1358</v>
      </c>
      <c r="F558" t="s">
        <v>49</v>
      </c>
      <c r="G558" t="s">
        <v>1359</v>
      </c>
      <c r="H558" t="s">
        <v>1360</v>
      </c>
      <c r="J558" t="str">
        <f>HYPERLINK("https://www.instagram.com/reel/C40J758i1B-/","https://www.instagram.com/reel/C40J758i1B-/")</f>
        <v>https://www.instagram.com/reel/C40J758i1B-/</v>
      </c>
      <c r="O558">
        <v>0</v>
      </c>
      <c r="P558">
        <v>0</v>
      </c>
      <c r="Q558">
        <v>0</v>
      </c>
      <c r="S558">
        <v>0</v>
      </c>
      <c r="T558">
        <v>0</v>
      </c>
      <c r="U558">
        <v>0</v>
      </c>
      <c r="W558" t="s">
        <v>62</v>
      </c>
    </row>
    <row r="559" spans="1:42" x14ac:dyDescent="0.35">
      <c r="A559" t="s">
        <v>45</v>
      </c>
      <c r="B559" t="s">
        <v>1345</v>
      </c>
      <c r="C559" t="s">
        <v>102</v>
      </c>
      <c r="D559" t="s">
        <v>1361</v>
      </c>
      <c r="E559" t="s">
        <v>1361</v>
      </c>
      <c r="F559" t="s">
        <v>76</v>
      </c>
      <c r="G559" t="s">
        <v>1362</v>
      </c>
      <c r="H559" t="s">
        <v>1363</v>
      </c>
      <c r="J559" t="str">
        <f>HYPERLINK("https://www.linkedin.com/feed/update/urn:li:activity:7176976424656846848","https://www.linkedin.com/feed/update/urn:li:activity:7176976424656846848")</f>
        <v>https://www.linkedin.com/feed/update/urn:li:activity:7176976424656846848</v>
      </c>
      <c r="O559">
        <v>0</v>
      </c>
      <c r="P559">
        <v>0</v>
      </c>
      <c r="Q559">
        <v>0</v>
      </c>
      <c r="S559">
        <v>0</v>
      </c>
      <c r="T559">
        <v>0</v>
      </c>
      <c r="U559">
        <v>0</v>
      </c>
      <c r="W559" t="s">
        <v>106</v>
      </c>
    </row>
    <row r="560" spans="1:42" x14ac:dyDescent="0.35">
      <c r="A560" t="s">
        <v>45</v>
      </c>
      <c r="B560" t="s">
        <v>1345</v>
      </c>
      <c r="C560" t="s">
        <v>47</v>
      </c>
      <c r="D560" t="s">
        <v>1291</v>
      </c>
      <c r="E560" t="s">
        <v>1291</v>
      </c>
      <c r="F560" t="s">
        <v>49</v>
      </c>
      <c r="G560" t="s">
        <v>253</v>
      </c>
      <c r="H560" t="s">
        <v>1364</v>
      </c>
      <c r="J560" t="str">
        <f>HYPERLINK("https://www.facebook.com/357267201017935/inbox/7187592277985359/","https://www.facebook.com/357267201017935/inbox/7187592277985359/")</f>
        <v>https://www.facebook.com/357267201017935/inbox/7187592277985359/</v>
      </c>
      <c r="O560">
        <v>0</v>
      </c>
      <c r="P560">
        <v>0</v>
      </c>
      <c r="Q560">
        <v>0</v>
      </c>
      <c r="S560">
        <v>0</v>
      </c>
      <c r="T560">
        <v>0</v>
      </c>
      <c r="U560">
        <v>0</v>
      </c>
      <c r="W560" t="s">
        <v>52</v>
      </c>
    </row>
    <row r="561" spans="1:42" x14ac:dyDescent="0.35">
      <c r="A561" t="s">
        <v>45</v>
      </c>
      <c r="B561" t="s">
        <v>1345</v>
      </c>
      <c r="C561" t="s">
        <v>47</v>
      </c>
      <c r="D561" t="s">
        <v>1291</v>
      </c>
      <c r="E561" t="s">
        <v>1291</v>
      </c>
      <c r="F561" t="s">
        <v>49</v>
      </c>
      <c r="G561" t="s">
        <v>253</v>
      </c>
      <c r="H561" t="s">
        <v>1365</v>
      </c>
      <c r="J561" t="str">
        <f>HYPERLINK("https://www.facebook.com/357267201017935/inbox/7187592277985359/","https://www.facebook.com/357267201017935/inbox/7187592277985359/")</f>
        <v>https://www.facebook.com/357267201017935/inbox/7187592277985359/</v>
      </c>
      <c r="O561">
        <v>0</v>
      </c>
      <c r="P561">
        <v>0</v>
      </c>
      <c r="Q561">
        <v>0</v>
      </c>
      <c r="S561">
        <v>0</v>
      </c>
      <c r="T561">
        <v>0</v>
      </c>
      <c r="U561">
        <v>0</v>
      </c>
      <c r="W561" t="s">
        <v>52</v>
      </c>
    </row>
    <row r="562" spans="1:42" x14ac:dyDescent="0.35">
      <c r="A562" t="s">
        <v>45</v>
      </c>
      <c r="B562" t="s">
        <v>1345</v>
      </c>
      <c r="C562" t="s">
        <v>47</v>
      </c>
      <c r="D562" t="s">
        <v>1291</v>
      </c>
      <c r="E562" t="s">
        <v>1291</v>
      </c>
      <c r="F562" t="s">
        <v>49</v>
      </c>
      <c r="G562" t="s">
        <v>253</v>
      </c>
      <c r="H562" t="s">
        <v>1366</v>
      </c>
      <c r="J562" t="str">
        <f>HYPERLINK("https://www.facebook.com/357267201017935/inbox/7187592277985359/","https://www.facebook.com/357267201017935/inbox/7187592277985359/")</f>
        <v>https://www.facebook.com/357267201017935/inbox/7187592277985359/</v>
      </c>
      <c r="O562">
        <v>0</v>
      </c>
      <c r="P562">
        <v>0</v>
      </c>
      <c r="Q562">
        <v>0</v>
      </c>
      <c r="S562">
        <v>0</v>
      </c>
      <c r="T562">
        <v>0</v>
      </c>
      <c r="U562">
        <v>0</v>
      </c>
      <c r="W562" t="s">
        <v>52</v>
      </c>
    </row>
    <row r="563" spans="1:42" x14ac:dyDescent="0.35">
      <c r="A563" t="s">
        <v>45</v>
      </c>
      <c r="B563" t="s">
        <v>1345</v>
      </c>
      <c r="C563" t="s">
        <v>47</v>
      </c>
      <c r="D563" t="s">
        <v>1291</v>
      </c>
      <c r="E563" t="s">
        <v>1291</v>
      </c>
      <c r="F563" t="s">
        <v>49</v>
      </c>
      <c r="G563" t="s">
        <v>1367</v>
      </c>
      <c r="H563" t="s">
        <v>1368</v>
      </c>
      <c r="J563" t="str">
        <f>HYPERLINK("https://www.facebook.com/357267201017935/inbox/7187592277985359/","https://www.facebook.com/357267201017935/inbox/7187592277985359/")</f>
        <v>https://www.facebook.com/357267201017935/inbox/7187592277985359/</v>
      </c>
      <c r="O563">
        <v>0</v>
      </c>
      <c r="P563">
        <v>0</v>
      </c>
      <c r="Q563">
        <v>0</v>
      </c>
      <c r="S563">
        <v>0</v>
      </c>
      <c r="T563">
        <v>0</v>
      </c>
      <c r="U563">
        <v>0</v>
      </c>
      <c r="W563" t="s">
        <v>52</v>
      </c>
    </row>
    <row r="564" spans="1:42" x14ac:dyDescent="0.35">
      <c r="A564" t="s">
        <v>45</v>
      </c>
      <c r="B564" t="s">
        <v>1345</v>
      </c>
      <c r="C564" t="s">
        <v>58</v>
      </c>
      <c r="D564" t="s">
        <v>1369</v>
      </c>
      <c r="E564" t="s">
        <v>1369</v>
      </c>
      <c r="F564" t="s">
        <v>76</v>
      </c>
      <c r="G564" t="s">
        <v>1370</v>
      </c>
      <c r="H564" t="s">
        <v>1371</v>
      </c>
      <c r="J564" t="str">
        <f>HYPERLINK("https://www.youtube.com/watch?v=kX06rdOGKMY","https://www.youtube.com/watch?v=kX06rdOGKMY")</f>
        <v>https://www.youtube.com/watch?v=kX06rdOGKMY</v>
      </c>
      <c r="O564">
        <v>0</v>
      </c>
      <c r="P564">
        <v>0</v>
      </c>
      <c r="Q564">
        <v>0</v>
      </c>
      <c r="S564">
        <v>0</v>
      </c>
      <c r="T564">
        <v>0</v>
      </c>
      <c r="U564">
        <v>0</v>
      </c>
      <c r="W564" t="s">
        <v>106</v>
      </c>
    </row>
    <row r="565" spans="1:42" x14ac:dyDescent="0.35">
      <c r="A565" t="s">
        <v>45</v>
      </c>
      <c r="B565" t="s">
        <v>1345</v>
      </c>
      <c r="C565" t="s">
        <v>47</v>
      </c>
      <c r="D565" t="s">
        <v>175</v>
      </c>
      <c r="E565" t="s">
        <v>175</v>
      </c>
      <c r="F565" t="s">
        <v>49</v>
      </c>
      <c r="G565" t="s">
        <v>1372</v>
      </c>
      <c r="H565" t="s">
        <v>1373</v>
      </c>
      <c r="J565" t="str">
        <f>HYPERLINK("https://www.facebook.com/454965103328545/posts/792232949601757?comment_id=1693826381150497","https://www.facebook.com/454965103328545/posts/792232949601757?comment_id=1693826381150497")</f>
        <v>https://www.facebook.com/454965103328545/posts/792232949601757?comment_id=1693826381150497</v>
      </c>
      <c r="O565">
        <v>0</v>
      </c>
      <c r="P565">
        <v>0</v>
      </c>
      <c r="Q565">
        <v>0</v>
      </c>
      <c r="S565">
        <v>0</v>
      </c>
      <c r="T565">
        <v>0</v>
      </c>
      <c r="U565">
        <v>0</v>
      </c>
      <c r="W565" t="s">
        <v>62</v>
      </c>
    </row>
    <row r="566" spans="1:42" x14ac:dyDescent="0.35">
      <c r="A566" t="s">
        <v>45</v>
      </c>
      <c r="B566" t="s">
        <v>1345</v>
      </c>
      <c r="C566" t="s">
        <v>58</v>
      </c>
      <c r="D566" t="s">
        <v>1374</v>
      </c>
      <c r="E566" t="s">
        <v>1374</v>
      </c>
      <c r="F566" t="s">
        <v>49</v>
      </c>
      <c r="G566" t="s">
        <v>1375</v>
      </c>
      <c r="H566" t="s">
        <v>1376</v>
      </c>
      <c r="J566" t="str">
        <f>HYPERLINK("https://www.youtube.com/watch?v=xppPLVcIijk","https://www.youtube.com/watch?v=xppPLVcIijk")</f>
        <v>https://www.youtube.com/watch?v=xppPLVcIijk</v>
      </c>
      <c r="O566">
        <v>0</v>
      </c>
      <c r="P566">
        <v>0</v>
      </c>
      <c r="Q566">
        <v>0</v>
      </c>
      <c r="S566">
        <v>0</v>
      </c>
      <c r="T566">
        <v>0</v>
      </c>
      <c r="U566">
        <v>0</v>
      </c>
      <c r="W566" t="s">
        <v>106</v>
      </c>
    </row>
    <row r="567" spans="1:42" x14ac:dyDescent="0.35">
      <c r="A567" t="s">
        <v>45</v>
      </c>
      <c r="B567" t="s">
        <v>1345</v>
      </c>
      <c r="C567" t="s">
        <v>63</v>
      </c>
      <c r="D567" t="s">
        <v>487</v>
      </c>
      <c r="E567" t="s">
        <v>487</v>
      </c>
      <c r="F567" t="s">
        <v>49</v>
      </c>
      <c r="G567" t="s">
        <v>866</v>
      </c>
      <c r="H567" t="s">
        <v>1377</v>
      </c>
      <c r="J567" t="str">
        <f>HYPERLINK("https://www.instagram.com/reel/C40J758i1B-/","https://www.instagram.com/reel/C40J758i1B-/")</f>
        <v>https://www.instagram.com/reel/C40J758i1B-/</v>
      </c>
      <c r="O567">
        <v>0</v>
      </c>
      <c r="P567">
        <v>0</v>
      </c>
      <c r="Q567">
        <v>0</v>
      </c>
      <c r="S567">
        <v>0</v>
      </c>
      <c r="T567">
        <v>0</v>
      </c>
      <c r="U567">
        <v>0</v>
      </c>
      <c r="W567" t="s">
        <v>62</v>
      </c>
    </row>
    <row r="568" spans="1:42" x14ac:dyDescent="0.35">
      <c r="A568" t="s">
        <v>45</v>
      </c>
      <c r="B568" t="s">
        <v>1345</v>
      </c>
      <c r="C568" t="s">
        <v>47</v>
      </c>
      <c r="D568" t="s">
        <v>445</v>
      </c>
      <c r="E568" t="s">
        <v>445</v>
      </c>
      <c r="F568" t="s">
        <v>49</v>
      </c>
      <c r="G568" t="s">
        <v>1378</v>
      </c>
      <c r="H568" t="s">
        <v>1379</v>
      </c>
      <c r="J568" t="str">
        <f>HYPERLINK("https://www.facebook.com/454965103328545/posts/792232949601757?comment_id=1394688517840641&amp;reply_comment_id=794951659320376","https://www.facebook.com/454965103328545/posts/792232949601757?comment_id=1394688517840641&amp;reply_comment_id=794951659320376")</f>
        <v>https://www.facebook.com/454965103328545/posts/792232949601757?comment_id=1394688517840641&amp;reply_comment_id=794951659320376</v>
      </c>
      <c r="O568">
        <v>0</v>
      </c>
      <c r="P568">
        <v>0</v>
      </c>
      <c r="Q568">
        <v>0</v>
      </c>
      <c r="S568">
        <v>0</v>
      </c>
      <c r="T568">
        <v>0</v>
      </c>
      <c r="U568">
        <v>0</v>
      </c>
      <c r="W568" t="s">
        <v>62</v>
      </c>
    </row>
    <row r="569" spans="1:42" x14ac:dyDescent="0.35">
      <c r="A569" t="s">
        <v>45</v>
      </c>
      <c r="B569" t="s">
        <v>1345</v>
      </c>
      <c r="C569" t="s">
        <v>139</v>
      </c>
      <c r="D569" t="s">
        <v>1334</v>
      </c>
      <c r="E569" t="s">
        <v>1335</v>
      </c>
      <c r="F569" t="s">
        <v>49</v>
      </c>
      <c r="G569" t="s">
        <v>1380</v>
      </c>
      <c r="H569" t="s">
        <v>1381</v>
      </c>
      <c r="J569" t="str">
        <f>HYPERLINK("https://twitter.com/MdBaitullahAnsa/status/1771161556744638467","https://twitter.com/MdBaitullahAnsa/status/1771161556744638467")</f>
        <v>https://twitter.com/MdBaitullahAnsa/status/1771161556744638467</v>
      </c>
      <c r="K569" t="s">
        <v>145</v>
      </c>
      <c r="O569">
        <v>0</v>
      </c>
      <c r="P569">
        <v>0</v>
      </c>
      <c r="Q569">
        <v>5</v>
      </c>
      <c r="R569" t="s">
        <v>1338</v>
      </c>
      <c r="S569">
        <v>0</v>
      </c>
      <c r="T569">
        <v>0</v>
      </c>
      <c r="U569">
        <v>0</v>
      </c>
      <c r="W569" t="s">
        <v>146</v>
      </c>
    </row>
    <row r="570" spans="1:42" x14ac:dyDescent="0.35">
      <c r="A570" t="s">
        <v>45</v>
      </c>
      <c r="B570" t="s">
        <v>1345</v>
      </c>
      <c r="C570" t="s">
        <v>139</v>
      </c>
      <c r="D570" t="s">
        <v>1334</v>
      </c>
      <c r="E570" t="s">
        <v>1335</v>
      </c>
      <c r="F570" t="s">
        <v>49</v>
      </c>
      <c r="G570" t="s">
        <v>1382</v>
      </c>
      <c r="H570" t="s">
        <v>1383</v>
      </c>
      <c r="J570" t="str">
        <f>HYPERLINK("https://twitter.com/MdBaitullahAnsa/status/1771161437714739616","https://twitter.com/MdBaitullahAnsa/status/1771161437714739616")</f>
        <v>https://twitter.com/MdBaitullahAnsa/status/1771161437714739616</v>
      </c>
      <c r="K570" t="s">
        <v>145</v>
      </c>
      <c r="O570">
        <v>0</v>
      </c>
      <c r="P570">
        <v>0</v>
      </c>
      <c r="Q570">
        <v>5</v>
      </c>
      <c r="R570" t="s">
        <v>1338</v>
      </c>
      <c r="S570">
        <v>0</v>
      </c>
      <c r="T570">
        <v>0</v>
      </c>
      <c r="U570">
        <v>0</v>
      </c>
      <c r="W570" t="s">
        <v>146</v>
      </c>
    </row>
    <row r="571" spans="1:42" x14ac:dyDescent="0.35">
      <c r="A571" t="s">
        <v>45</v>
      </c>
      <c r="B571" t="s">
        <v>1345</v>
      </c>
      <c r="C571" t="s">
        <v>139</v>
      </c>
      <c r="D571" t="s">
        <v>1334</v>
      </c>
      <c r="E571" t="s">
        <v>1335</v>
      </c>
      <c r="F571" t="s">
        <v>49</v>
      </c>
      <c r="G571" t="s">
        <v>1384</v>
      </c>
      <c r="H571" t="s">
        <v>1385</v>
      </c>
      <c r="J571" t="str">
        <f>HYPERLINK("https://twitter.com/MdBaitullahAnsa/status/1771161257712001448","https://twitter.com/MdBaitullahAnsa/status/1771161257712001448")</f>
        <v>https://twitter.com/MdBaitullahAnsa/status/1771161257712001448</v>
      </c>
      <c r="K571" t="s">
        <v>145</v>
      </c>
      <c r="O571">
        <v>0</v>
      </c>
      <c r="P571">
        <v>0</v>
      </c>
      <c r="Q571">
        <v>5</v>
      </c>
      <c r="R571" t="s">
        <v>1338</v>
      </c>
      <c r="S571">
        <v>0</v>
      </c>
      <c r="T571">
        <v>0</v>
      </c>
      <c r="U571">
        <v>0</v>
      </c>
      <c r="W571" t="s">
        <v>146</v>
      </c>
    </row>
    <row r="572" spans="1:42" x14ac:dyDescent="0.35">
      <c r="A572" t="s">
        <v>45</v>
      </c>
      <c r="B572" t="s">
        <v>1345</v>
      </c>
      <c r="C572" t="s">
        <v>139</v>
      </c>
      <c r="D572" t="s">
        <v>1334</v>
      </c>
      <c r="E572" t="s">
        <v>1335</v>
      </c>
      <c r="F572" t="s">
        <v>49</v>
      </c>
      <c r="G572" t="s">
        <v>1386</v>
      </c>
      <c r="H572" t="s">
        <v>1387</v>
      </c>
      <c r="J572" t="str">
        <f>HYPERLINK("https://twitter.com/MdBaitullahAnsa/status/1771160999892046228","https://twitter.com/MdBaitullahAnsa/status/1771160999892046228")</f>
        <v>https://twitter.com/MdBaitullahAnsa/status/1771160999892046228</v>
      </c>
      <c r="K572" t="s">
        <v>145</v>
      </c>
      <c r="O572">
        <v>0</v>
      </c>
      <c r="P572">
        <v>0</v>
      </c>
      <c r="Q572">
        <v>5</v>
      </c>
      <c r="R572" t="s">
        <v>1338</v>
      </c>
      <c r="S572">
        <v>0</v>
      </c>
      <c r="T572">
        <v>0</v>
      </c>
      <c r="U572">
        <v>0</v>
      </c>
      <c r="W572" t="s">
        <v>146</v>
      </c>
      <c r="AP572" t="s">
        <v>101</v>
      </c>
    </row>
    <row r="573" spans="1:42" x14ac:dyDescent="0.35">
      <c r="A573" t="s">
        <v>45</v>
      </c>
      <c r="B573" t="s">
        <v>1345</v>
      </c>
      <c r="C573" t="s">
        <v>47</v>
      </c>
      <c r="D573" t="s">
        <v>445</v>
      </c>
      <c r="E573" t="s">
        <v>445</v>
      </c>
      <c r="F573" t="s">
        <v>49</v>
      </c>
      <c r="G573" t="s">
        <v>1388</v>
      </c>
      <c r="H573" t="s">
        <v>1389</v>
      </c>
      <c r="J573" t="str">
        <f>HYPERLINK("https://www.facebook.com/454965103328545/posts/792232949601757?comment_id=1394688517840641&amp;reply_comment_id=385588817573786","https://www.facebook.com/454965103328545/posts/792232949601757?comment_id=1394688517840641&amp;reply_comment_id=385588817573786")</f>
        <v>https://www.facebook.com/454965103328545/posts/792232949601757?comment_id=1394688517840641&amp;reply_comment_id=385588817573786</v>
      </c>
      <c r="O573">
        <v>0</v>
      </c>
      <c r="P573">
        <v>0</v>
      </c>
      <c r="Q573">
        <v>0</v>
      </c>
      <c r="S573">
        <v>0</v>
      </c>
      <c r="T573">
        <v>0</v>
      </c>
      <c r="U573">
        <v>0</v>
      </c>
      <c r="W573" t="s">
        <v>62</v>
      </c>
    </row>
    <row r="574" spans="1:42" x14ac:dyDescent="0.35">
      <c r="A574" t="s">
        <v>45</v>
      </c>
      <c r="B574" t="s">
        <v>1345</v>
      </c>
      <c r="C574" t="s">
        <v>47</v>
      </c>
      <c r="D574" t="s">
        <v>445</v>
      </c>
      <c r="E574" t="s">
        <v>445</v>
      </c>
      <c r="F574" t="s">
        <v>49</v>
      </c>
      <c r="G574" t="s">
        <v>1390</v>
      </c>
      <c r="H574" t="s">
        <v>1391</v>
      </c>
      <c r="J574" t="str">
        <f>HYPERLINK("https://www.facebook.com/454965103328545/posts/792232949601757?comment_id=965950505212820&amp;reply_comment_id=284169574725129","https://www.facebook.com/454965103328545/posts/792232949601757?comment_id=965950505212820&amp;reply_comment_id=284169574725129")</f>
        <v>https://www.facebook.com/454965103328545/posts/792232949601757?comment_id=965950505212820&amp;reply_comment_id=284169574725129</v>
      </c>
      <c r="O574">
        <v>0</v>
      </c>
      <c r="P574">
        <v>0</v>
      </c>
      <c r="Q574">
        <v>0</v>
      </c>
      <c r="S574">
        <v>0</v>
      </c>
      <c r="T574">
        <v>0</v>
      </c>
      <c r="U574">
        <v>0</v>
      </c>
      <c r="W574" t="s">
        <v>62</v>
      </c>
    </row>
    <row r="575" spans="1:42" x14ac:dyDescent="0.35">
      <c r="A575" t="s">
        <v>45</v>
      </c>
      <c r="B575" t="s">
        <v>1345</v>
      </c>
      <c r="C575" t="s">
        <v>47</v>
      </c>
      <c r="D575" t="s">
        <v>445</v>
      </c>
      <c r="E575" t="s">
        <v>445</v>
      </c>
      <c r="F575" t="s">
        <v>49</v>
      </c>
      <c r="G575" t="s">
        <v>1392</v>
      </c>
      <c r="H575" t="s">
        <v>1393</v>
      </c>
      <c r="J575" t="str">
        <f>HYPERLINK("https://www.facebook.com/454965103328545/posts/792232949601757?comment_id=385619271096964&amp;reply_comment_id=423066936983613","https://www.facebook.com/454965103328545/posts/792232949601757?comment_id=385619271096964&amp;reply_comment_id=423066936983613")</f>
        <v>https://www.facebook.com/454965103328545/posts/792232949601757?comment_id=385619271096964&amp;reply_comment_id=423066936983613</v>
      </c>
      <c r="O575">
        <v>0</v>
      </c>
      <c r="P575">
        <v>0</v>
      </c>
      <c r="Q575">
        <v>0</v>
      </c>
      <c r="S575">
        <v>0</v>
      </c>
      <c r="T575">
        <v>0</v>
      </c>
      <c r="U575">
        <v>0</v>
      </c>
      <c r="W575" t="s">
        <v>62</v>
      </c>
    </row>
    <row r="576" spans="1:42" x14ac:dyDescent="0.35">
      <c r="A576" t="s">
        <v>45</v>
      </c>
      <c r="B576" t="s">
        <v>1345</v>
      </c>
      <c r="C576" t="s">
        <v>63</v>
      </c>
      <c r="D576" t="s">
        <v>1394</v>
      </c>
      <c r="E576" t="s">
        <v>1394</v>
      </c>
      <c r="F576" t="s">
        <v>49</v>
      </c>
      <c r="G576" t="s">
        <v>1395</v>
      </c>
      <c r="H576" t="s">
        <v>1396</v>
      </c>
      <c r="J576" t="str">
        <f>HYPERLINK("https://www.instagram.com/p/C4ucfvtgGcP/","https://www.instagram.com/p/C4ucfvtgGcP/")</f>
        <v>https://www.instagram.com/p/C4ucfvtgGcP/</v>
      </c>
      <c r="O576">
        <v>0</v>
      </c>
      <c r="P576">
        <v>0</v>
      </c>
      <c r="Q576">
        <v>0</v>
      </c>
      <c r="S576">
        <v>0</v>
      </c>
      <c r="T576">
        <v>0</v>
      </c>
      <c r="U576">
        <v>0</v>
      </c>
      <c r="W576" t="s">
        <v>62</v>
      </c>
    </row>
    <row r="577" spans="1:42" x14ac:dyDescent="0.35">
      <c r="A577" t="s">
        <v>45</v>
      </c>
      <c r="B577" t="s">
        <v>1345</v>
      </c>
      <c r="C577" t="s">
        <v>139</v>
      </c>
      <c r="D577" t="s">
        <v>942</v>
      </c>
      <c r="E577" t="s">
        <v>943</v>
      </c>
      <c r="F577" t="s">
        <v>49</v>
      </c>
      <c r="G577" t="s">
        <v>1397</v>
      </c>
      <c r="H577" t="s">
        <v>1398</v>
      </c>
      <c r="J577" t="str">
        <f>HYPERLINK("https://twitter.com/rajendras1819/status/1771145675168002249","https://twitter.com/rajendras1819/status/1771145675168002249")</f>
        <v>https://twitter.com/rajendras1819/status/1771145675168002249</v>
      </c>
      <c r="O577">
        <v>0</v>
      </c>
      <c r="P577">
        <v>0</v>
      </c>
      <c r="Q577">
        <v>266</v>
      </c>
      <c r="R577" t="s">
        <v>946</v>
      </c>
      <c r="S577">
        <v>0</v>
      </c>
      <c r="T577">
        <v>0</v>
      </c>
      <c r="U577">
        <v>0</v>
      </c>
      <c r="W577" t="s">
        <v>552</v>
      </c>
    </row>
    <row r="578" spans="1:42" x14ac:dyDescent="0.35">
      <c r="A578" t="s">
        <v>45</v>
      </c>
      <c r="B578" t="s">
        <v>1345</v>
      </c>
      <c r="C578" t="s">
        <v>139</v>
      </c>
      <c r="D578" t="s">
        <v>1186</v>
      </c>
      <c r="E578" t="s">
        <v>1187</v>
      </c>
      <c r="F578" t="s">
        <v>49</v>
      </c>
      <c r="G578" t="s">
        <v>1399</v>
      </c>
      <c r="H578" t="s">
        <v>1400</v>
      </c>
      <c r="J578" t="str">
        <f>HYPERLINK("https://twitter.com/sufiyan_77/status/1771143769582338462","https://twitter.com/sufiyan_77/status/1771143769582338462")</f>
        <v>https://twitter.com/sufiyan_77/status/1771143769582338462</v>
      </c>
      <c r="K578" t="s">
        <v>145</v>
      </c>
      <c r="O578">
        <v>0</v>
      </c>
      <c r="P578">
        <v>0</v>
      </c>
      <c r="Q578">
        <v>56</v>
      </c>
      <c r="R578" t="s">
        <v>582</v>
      </c>
      <c r="S578">
        <v>0</v>
      </c>
      <c r="T578">
        <v>0</v>
      </c>
      <c r="U578">
        <v>0</v>
      </c>
      <c r="W578" t="s">
        <v>146</v>
      </c>
    </row>
    <row r="579" spans="1:42" x14ac:dyDescent="0.35">
      <c r="A579" t="s">
        <v>45</v>
      </c>
      <c r="B579" t="s">
        <v>1345</v>
      </c>
      <c r="C579" t="s">
        <v>63</v>
      </c>
      <c r="D579" t="s">
        <v>186</v>
      </c>
      <c r="E579" t="s">
        <v>186</v>
      </c>
      <c r="F579" t="s">
        <v>49</v>
      </c>
      <c r="G579" t="s">
        <v>1401</v>
      </c>
      <c r="H579" t="s">
        <v>1402</v>
      </c>
      <c r="J579" t="str">
        <f>HYPERLINK("https://www.instagram.com/reel/C40J758i1B-/","https://www.instagram.com/reel/C40J758i1B-/")</f>
        <v>https://www.instagram.com/reel/C40J758i1B-/</v>
      </c>
      <c r="O579">
        <v>0</v>
      </c>
      <c r="P579">
        <v>0</v>
      </c>
      <c r="Q579">
        <v>0</v>
      </c>
      <c r="S579">
        <v>5</v>
      </c>
      <c r="T579">
        <v>60</v>
      </c>
      <c r="U579">
        <v>0</v>
      </c>
      <c r="W579" t="s">
        <v>106</v>
      </c>
    </row>
    <row r="580" spans="1:42" x14ac:dyDescent="0.35">
      <c r="A580" t="s">
        <v>45</v>
      </c>
      <c r="B580" t="s">
        <v>1345</v>
      </c>
      <c r="C580" t="s">
        <v>139</v>
      </c>
      <c r="D580" t="s">
        <v>190</v>
      </c>
      <c r="E580" t="s">
        <v>45</v>
      </c>
      <c r="F580" t="s">
        <v>49</v>
      </c>
      <c r="G580" t="s">
        <v>1397</v>
      </c>
      <c r="H580" t="s">
        <v>1403</v>
      </c>
      <c r="J580" t="str">
        <f>HYPERLINK("https://twitter.com/FinoPaymntsBank/status/1771137335847248047","https://twitter.com/FinoPaymntsBank/status/1771137335847248047")</f>
        <v>https://twitter.com/FinoPaymntsBank/status/1771137335847248047</v>
      </c>
      <c r="K580" t="s">
        <v>145</v>
      </c>
      <c r="O580">
        <v>0</v>
      </c>
      <c r="P580">
        <v>0</v>
      </c>
      <c r="Q580">
        <v>8466</v>
      </c>
      <c r="R580" t="s">
        <v>193</v>
      </c>
      <c r="S580">
        <v>0</v>
      </c>
      <c r="T580">
        <v>0</v>
      </c>
      <c r="U580">
        <v>0</v>
      </c>
      <c r="W580" t="s">
        <v>146</v>
      </c>
    </row>
    <row r="581" spans="1:42" x14ac:dyDescent="0.35">
      <c r="A581" t="s">
        <v>45</v>
      </c>
      <c r="B581" t="s">
        <v>1345</v>
      </c>
      <c r="C581" t="s">
        <v>47</v>
      </c>
      <c r="D581" t="s">
        <v>45</v>
      </c>
      <c r="E581" t="s">
        <v>45</v>
      </c>
      <c r="F581" t="s">
        <v>49</v>
      </c>
      <c r="G581" t="s">
        <v>1404</v>
      </c>
      <c r="H581" t="s">
        <v>1405</v>
      </c>
      <c r="J581" t="str">
        <f>HYPERLINK("https://www.facebook.com/357267201017935_792750152883370","https://www.facebook.com/357267201017935_792750152883370")</f>
        <v>https://www.facebook.com/357267201017935_792750152883370</v>
      </c>
      <c r="O581">
        <v>0</v>
      </c>
      <c r="P581">
        <v>0</v>
      </c>
      <c r="Q581">
        <v>0</v>
      </c>
      <c r="S581">
        <v>10</v>
      </c>
      <c r="T581">
        <v>56</v>
      </c>
      <c r="U581">
        <v>3</v>
      </c>
      <c r="W581" t="s">
        <v>106</v>
      </c>
    </row>
    <row r="582" spans="1:42" x14ac:dyDescent="0.35">
      <c r="A582" t="s">
        <v>45</v>
      </c>
      <c r="B582" t="s">
        <v>1345</v>
      </c>
      <c r="C582" t="s">
        <v>58</v>
      </c>
      <c r="D582" t="s">
        <v>1406</v>
      </c>
      <c r="E582" t="s">
        <v>1406</v>
      </c>
      <c r="F582" t="s">
        <v>49</v>
      </c>
      <c r="G582" t="s">
        <v>1407</v>
      </c>
      <c r="H582" t="s">
        <v>1408</v>
      </c>
      <c r="J582" t="str">
        <f>HYPERLINK("https://www.youtube.com/watch?v=jHhT84EUahY","https://www.youtube.com/watch?v=jHhT84EUahY")</f>
        <v>https://www.youtube.com/watch?v=jHhT84EUahY</v>
      </c>
      <c r="O582">
        <v>0</v>
      </c>
      <c r="P582">
        <v>0</v>
      </c>
      <c r="Q582">
        <v>0</v>
      </c>
      <c r="S582">
        <v>0</v>
      </c>
      <c r="T582">
        <v>0</v>
      </c>
      <c r="U582">
        <v>0</v>
      </c>
      <c r="W582" t="s">
        <v>106</v>
      </c>
      <c r="AP582" t="s">
        <v>101</v>
      </c>
    </row>
    <row r="583" spans="1:42" x14ac:dyDescent="0.35">
      <c r="A583" t="s">
        <v>45</v>
      </c>
      <c r="B583" t="s">
        <v>1345</v>
      </c>
      <c r="C583" t="s">
        <v>47</v>
      </c>
      <c r="D583" t="s">
        <v>45</v>
      </c>
      <c r="E583" t="s">
        <v>45</v>
      </c>
      <c r="F583" t="s">
        <v>49</v>
      </c>
      <c r="G583" t="s">
        <v>345</v>
      </c>
      <c r="H583" t="s">
        <v>1409</v>
      </c>
      <c r="J583" t="str">
        <f>HYPERLINK("https://www.facebook.com/454965103328545/posts/792232949601757?comment_id=965950505212820&amp;reply_comment_id=961820298906094","https://www.facebook.com/454965103328545/posts/792232949601757?comment_id=965950505212820&amp;reply_comment_id=961820298906094")</f>
        <v>https://www.facebook.com/454965103328545/posts/792232949601757?comment_id=965950505212820&amp;reply_comment_id=961820298906094</v>
      </c>
      <c r="O583">
        <v>0</v>
      </c>
      <c r="P583">
        <v>0</v>
      </c>
      <c r="Q583">
        <v>0</v>
      </c>
      <c r="S583">
        <v>0</v>
      </c>
      <c r="T583">
        <v>0</v>
      </c>
      <c r="U583">
        <v>0</v>
      </c>
      <c r="W583" t="s">
        <v>62</v>
      </c>
    </row>
    <row r="584" spans="1:42" x14ac:dyDescent="0.35">
      <c r="A584" t="s">
        <v>45</v>
      </c>
      <c r="B584" t="s">
        <v>1345</v>
      </c>
      <c r="C584" t="s">
        <v>47</v>
      </c>
      <c r="D584" t="s">
        <v>45</v>
      </c>
      <c r="E584" t="s">
        <v>45</v>
      </c>
      <c r="F584" t="s">
        <v>49</v>
      </c>
      <c r="G584" t="s">
        <v>320</v>
      </c>
      <c r="H584" t="s">
        <v>1410</v>
      </c>
      <c r="J584" t="str">
        <f>HYPERLINK("https://www.facebook.com/454965103328545/posts/792232949601757?comment_id=385619271096964&amp;reply_comment_id=641701134763026","https://www.facebook.com/454965103328545/posts/792232949601757?comment_id=385619271096964&amp;reply_comment_id=641701134763026")</f>
        <v>https://www.facebook.com/454965103328545/posts/792232949601757?comment_id=385619271096964&amp;reply_comment_id=641701134763026</v>
      </c>
      <c r="O584">
        <v>0</v>
      </c>
      <c r="P584">
        <v>0</v>
      </c>
      <c r="Q584">
        <v>0</v>
      </c>
      <c r="S584">
        <v>0</v>
      </c>
      <c r="T584">
        <v>0</v>
      </c>
      <c r="U584">
        <v>0</v>
      </c>
      <c r="W584" t="s">
        <v>62</v>
      </c>
    </row>
    <row r="585" spans="1:42" x14ac:dyDescent="0.35">
      <c r="A585" t="s">
        <v>45</v>
      </c>
      <c r="B585" t="s">
        <v>1345</v>
      </c>
      <c r="C585" t="s">
        <v>47</v>
      </c>
      <c r="D585" t="s">
        <v>1411</v>
      </c>
      <c r="E585" t="s">
        <v>1411</v>
      </c>
      <c r="F585" t="s">
        <v>49</v>
      </c>
      <c r="G585" t="s">
        <v>1412</v>
      </c>
      <c r="H585" t="s">
        <v>1413</v>
      </c>
      <c r="J585" t="str">
        <f>HYPERLINK("https://www.facebook.com/454965103328545/posts/792232949601757?comment_id=1831864597289160&amp;reply_comment_id=295186026947663","https://www.facebook.com/454965103328545/posts/792232949601757?comment_id=1831864597289160&amp;reply_comment_id=295186026947663")</f>
        <v>https://www.facebook.com/454965103328545/posts/792232949601757?comment_id=1831864597289160&amp;reply_comment_id=295186026947663</v>
      </c>
      <c r="O585">
        <v>0</v>
      </c>
      <c r="P585">
        <v>0</v>
      </c>
      <c r="Q585">
        <v>0</v>
      </c>
      <c r="S585">
        <v>0</v>
      </c>
      <c r="T585">
        <v>0</v>
      </c>
      <c r="U585">
        <v>0</v>
      </c>
      <c r="W585" t="s">
        <v>62</v>
      </c>
    </row>
    <row r="586" spans="1:42" x14ac:dyDescent="0.35">
      <c r="A586" t="s">
        <v>45</v>
      </c>
      <c r="B586" t="s">
        <v>1345</v>
      </c>
      <c r="C586" t="s">
        <v>102</v>
      </c>
      <c r="D586" t="s">
        <v>1414</v>
      </c>
      <c r="E586" t="s">
        <v>1414</v>
      </c>
      <c r="F586" t="s">
        <v>76</v>
      </c>
      <c r="G586" t="s">
        <v>1415</v>
      </c>
      <c r="H586" t="s">
        <v>1416</v>
      </c>
      <c r="J586" t="str">
        <f>HYPERLINK("https://www.linkedin.com/feed/update/urn:li:activity:7175432216368267265/?commentUrn=urn:li:comment:(urn:li:activity:7175432216368267265,7176900365546577920)","https://www.linkedin.com/feed/update/urn:li:activity:7175432216368267265/?commentUrn=urn:li:comment:(urn:li:activity:7175432216368267265,7176900365546577920)")</f>
        <v>https://www.linkedin.com/feed/update/urn:li:activity:7175432216368267265/?commentUrn=urn:li:comment:(urn:li:activity:7175432216368267265,7176900365546577920)</v>
      </c>
      <c r="O586">
        <v>0</v>
      </c>
      <c r="P586">
        <v>0</v>
      </c>
      <c r="Q586">
        <v>0</v>
      </c>
      <c r="S586">
        <v>0</v>
      </c>
      <c r="T586">
        <v>0</v>
      </c>
      <c r="U586">
        <v>0</v>
      </c>
      <c r="W586" t="s">
        <v>62</v>
      </c>
    </row>
    <row r="587" spans="1:42" x14ac:dyDescent="0.35">
      <c r="A587" t="s">
        <v>45</v>
      </c>
      <c r="B587" t="s">
        <v>1345</v>
      </c>
      <c r="C587" t="s">
        <v>47</v>
      </c>
      <c r="D587" t="s">
        <v>45</v>
      </c>
      <c r="E587" t="s">
        <v>45</v>
      </c>
      <c r="F587" t="s">
        <v>49</v>
      </c>
      <c r="G587" t="s">
        <v>345</v>
      </c>
      <c r="H587" t="s">
        <v>1417</v>
      </c>
      <c r="J587" t="str">
        <f>HYPERLINK("https://www.facebook.com/454965103328545/posts/792232949601757?comment_id=1394688517840641&amp;reply_comment_id=3237914659845160","https://www.facebook.com/454965103328545/posts/792232949601757?comment_id=1394688517840641&amp;reply_comment_id=3237914659845160")</f>
        <v>https://www.facebook.com/454965103328545/posts/792232949601757?comment_id=1394688517840641&amp;reply_comment_id=3237914659845160</v>
      </c>
      <c r="O587">
        <v>0</v>
      </c>
      <c r="P587">
        <v>0</v>
      </c>
      <c r="Q587">
        <v>0</v>
      </c>
      <c r="S587">
        <v>0</v>
      </c>
      <c r="T587">
        <v>0</v>
      </c>
      <c r="U587">
        <v>0</v>
      </c>
      <c r="W587" t="s">
        <v>62</v>
      </c>
    </row>
    <row r="588" spans="1:42" x14ac:dyDescent="0.35">
      <c r="A588" t="s">
        <v>45</v>
      </c>
      <c r="B588" t="s">
        <v>1345</v>
      </c>
      <c r="C588" t="s">
        <v>47</v>
      </c>
      <c r="D588" t="s">
        <v>45</v>
      </c>
      <c r="E588" t="s">
        <v>45</v>
      </c>
      <c r="F588" t="s">
        <v>49</v>
      </c>
      <c r="G588" t="s">
        <v>1418</v>
      </c>
      <c r="H588" t="s">
        <v>1419</v>
      </c>
      <c r="J588" t="str">
        <f>HYPERLINK("https://www.facebook.com/454965103328545/posts/792232949601757?comment_id=1831864597289160&amp;reply_comment_id=1368990790469612","https://www.facebook.com/454965103328545/posts/792232949601757?comment_id=1831864597289160&amp;reply_comment_id=1368990790469612")</f>
        <v>https://www.facebook.com/454965103328545/posts/792232949601757?comment_id=1831864597289160&amp;reply_comment_id=1368990790469612</v>
      </c>
      <c r="O588">
        <v>0</v>
      </c>
      <c r="P588">
        <v>0</v>
      </c>
      <c r="Q588">
        <v>0</v>
      </c>
      <c r="S588">
        <v>0</v>
      </c>
      <c r="T588">
        <v>0</v>
      </c>
      <c r="U588">
        <v>0</v>
      </c>
      <c r="W588" t="s">
        <v>62</v>
      </c>
      <c r="AP588" t="s">
        <v>101</v>
      </c>
    </row>
    <row r="589" spans="1:42" x14ac:dyDescent="0.35">
      <c r="A589" t="s">
        <v>45</v>
      </c>
      <c r="B589" t="s">
        <v>1345</v>
      </c>
      <c r="C589" t="s">
        <v>139</v>
      </c>
      <c r="D589" t="s">
        <v>190</v>
      </c>
      <c r="E589" t="s">
        <v>45</v>
      </c>
      <c r="F589" t="s">
        <v>49</v>
      </c>
      <c r="G589" t="s">
        <v>1420</v>
      </c>
      <c r="H589" t="s">
        <v>1421</v>
      </c>
      <c r="J589" t="str">
        <f>HYPERLINK("https://twitter.com/FinoPaymntsBank/status/1771134089669845313","https://twitter.com/FinoPaymntsBank/status/1771134089669845313")</f>
        <v>https://twitter.com/FinoPaymntsBank/status/1771134089669845313</v>
      </c>
      <c r="K589" t="s">
        <v>145</v>
      </c>
      <c r="O589">
        <v>0</v>
      </c>
      <c r="P589">
        <v>0</v>
      </c>
      <c r="Q589">
        <v>8465</v>
      </c>
      <c r="R589" t="s">
        <v>193</v>
      </c>
      <c r="S589">
        <v>0</v>
      </c>
      <c r="T589">
        <v>0</v>
      </c>
      <c r="U589">
        <v>0</v>
      </c>
      <c r="W589" t="s">
        <v>146</v>
      </c>
    </row>
    <row r="590" spans="1:42" x14ac:dyDescent="0.35">
      <c r="A590" t="s">
        <v>45</v>
      </c>
      <c r="B590" t="s">
        <v>1345</v>
      </c>
      <c r="C590" t="s">
        <v>58</v>
      </c>
      <c r="D590" t="s">
        <v>1240</v>
      </c>
      <c r="E590" t="s">
        <v>1240</v>
      </c>
      <c r="F590" t="s">
        <v>49</v>
      </c>
      <c r="G590" t="s">
        <v>1422</v>
      </c>
      <c r="H590" t="s">
        <v>1423</v>
      </c>
      <c r="J590" t="str">
        <f>HYPERLINK("https://www.youtube.com/watch?v=fZCLkkP9-qg","https://www.youtube.com/watch?v=fZCLkkP9-qg")</f>
        <v>https://www.youtube.com/watch?v=fZCLkkP9-qg</v>
      </c>
      <c r="O590">
        <v>0</v>
      </c>
      <c r="P590">
        <v>0</v>
      </c>
      <c r="Q590">
        <v>0</v>
      </c>
      <c r="S590">
        <v>0</v>
      </c>
      <c r="T590">
        <v>0</v>
      </c>
      <c r="U590">
        <v>0</v>
      </c>
      <c r="W590" t="s">
        <v>106</v>
      </c>
    </row>
    <row r="591" spans="1:42" x14ac:dyDescent="0.35">
      <c r="A591" t="s">
        <v>45</v>
      </c>
      <c r="B591" t="s">
        <v>1345</v>
      </c>
      <c r="C591" t="s">
        <v>58</v>
      </c>
      <c r="D591" t="s">
        <v>1099</v>
      </c>
      <c r="E591" t="s">
        <v>1099</v>
      </c>
      <c r="F591" t="s">
        <v>76</v>
      </c>
      <c r="G591" t="s">
        <v>1100</v>
      </c>
      <c r="H591" t="s">
        <v>1424</v>
      </c>
      <c r="J591" t="str">
        <f>HYPERLINK("https://www.youtube.com/watch?v=nE_aaVZlFyg&amp;lc=UgwBkd_Gg97so4Iyy9p4AaABAg","https://www.youtube.com/watch?v=nE_aaVZlFyg&amp;lc=UgwBkd_Gg97so4Iyy9p4AaABAg")</f>
        <v>https://www.youtube.com/watch?v=nE_aaVZlFyg&amp;lc=UgwBkd_Gg97so4Iyy9p4AaABAg</v>
      </c>
      <c r="O591">
        <v>0</v>
      </c>
      <c r="P591">
        <v>0</v>
      </c>
      <c r="Q591">
        <v>0</v>
      </c>
      <c r="S591">
        <v>0</v>
      </c>
      <c r="T591">
        <v>0</v>
      </c>
      <c r="U591">
        <v>0</v>
      </c>
      <c r="W591" t="s">
        <v>62</v>
      </c>
    </row>
    <row r="592" spans="1:42" x14ac:dyDescent="0.35">
      <c r="A592" t="s">
        <v>45</v>
      </c>
      <c r="B592" t="s">
        <v>1345</v>
      </c>
      <c r="C592" t="s">
        <v>58</v>
      </c>
      <c r="D592" t="s">
        <v>1099</v>
      </c>
      <c r="E592" t="s">
        <v>1099</v>
      </c>
      <c r="F592" t="s">
        <v>76</v>
      </c>
      <c r="G592" t="s">
        <v>1183</v>
      </c>
      <c r="H592" t="s">
        <v>1425</v>
      </c>
      <c r="J592" t="str">
        <f>HYPERLINK("https://www.youtube.com/watch?v=1aOO9PSRAw8&amp;lc=Ugz8CMp8XQ7ml_Jie214AaABAg","https://www.youtube.com/watch?v=1aOO9PSRAw8&amp;lc=Ugz8CMp8XQ7ml_Jie214AaABAg")</f>
        <v>https://www.youtube.com/watch?v=1aOO9PSRAw8&amp;lc=Ugz8CMp8XQ7ml_Jie214AaABAg</v>
      </c>
      <c r="O592">
        <v>0</v>
      </c>
      <c r="P592">
        <v>0</v>
      </c>
      <c r="Q592">
        <v>0</v>
      </c>
      <c r="S592">
        <v>0</v>
      </c>
      <c r="T592">
        <v>0</v>
      </c>
      <c r="U592">
        <v>0</v>
      </c>
      <c r="W592" t="s">
        <v>62</v>
      </c>
    </row>
    <row r="593" spans="1:45" x14ac:dyDescent="0.35">
      <c r="A593" t="s">
        <v>45</v>
      </c>
      <c r="B593" t="s">
        <v>1345</v>
      </c>
      <c r="C593" t="s">
        <v>58</v>
      </c>
      <c r="D593" t="s">
        <v>1099</v>
      </c>
      <c r="E593" t="s">
        <v>1099</v>
      </c>
      <c r="F593" t="s">
        <v>76</v>
      </c>
      <c r="G593" t="s">
        <v>1183</v>
      </c>
      <c r="H593" t="s">
        <v>1426</v>
      </c>
      <c r="J593" t="str">
        <f>HYPERLINK("https://www.youtube.com/watch?v=lEY5n8LH9fg&amp;lc=Ugzvdqsinuj4JG1IC2t4AaABAg","https://www.youtube.com/watch?v=lEY5n8LH9fg&amp;lc=Ugzvdqsinuj4JG1IC2t4AaABAg")</f>
        <v>https://www.youtube.com/watch?v=lEY5n8LH9fg&amp;lc=Ugzvdqsinuj4JG1IC2t4AaABAg</v>
      </c>
      <c r="O593">
        <v>0</v>
      </c>
      <c r="P593">
        <v>0</v>
      </c>
      <c r="Q593">
        <v>0</v>
      </c>
      <c r="S593">
        <v>0</v>
      </c>
      <c r="T593">
        <v>0</v>
      </c>
      <c r="U593">
        <v>0</v>
      </c>
      <c r="W593" t="s">
        <v>62</v>
      </c>
    </row>
    <row r="594" spans="1:45" x14ac:dyDescent="0.35">
      <c r="A594" t="s">
        <v>45</v>
      </c>
      <c r="B594" t="s">
        <v>1345</v>
      </c>
      <c r="C594" t="s">
        <v>58</v>
      </c>
      <c r="D594" t="s">
        <v>1099</v>
      </c>
      <c r="E594" t="s">
        <v>1099</v>
      </c>
      <c r="F594" t="s">
        <v>76</v>
      </c>
      <c r="G594" t="s">
        <v>1100</v>
      </c>
      <c r="H594" t="s">
        <v>1427</v>
      </c>
      <c r="J594" t="str">
        <f>HYPERLINK("https://www.youtube.com/watch?v=izgWXHIWFFg&amp;lc=UgzwOma7RP51NNw5Ugh4AaABAg","https://www.youtube.com/watch?v=izgWXHIWFFg&amp;lc=UgzwOma7RP51NNw5Ugh4AaABAg")</f>
        <v>https://www.youtube.com/watch?v=izgWXHIWFFg&amp;lc=UgzwOma7RP51NNw5Ugh4AaABAg</v>
      </c>
      <c r="O594">
        <v>0</v>
      </c>
      <c r="P594">
        <v>0</v>
      </c>
      <c r="Q594">
        <v>0</v>
      </c>
      <c r="S594">
        <v>0</v>
      </c>
      <c r="T594">
        <v>0</v>
      </c>
      <c r="U594">
        <v>0</v>
      </c>
      <c r="W594" t="s">
        <v>62</v>
      </c>
    </row>
    <row r="595" spans="1:45" x14ac:dyDescent="0.35">
      <c r="A595" t="s">
        <v>45</v>
      </c>
      <c r="B595" t="s">
        <v>1345</v>
      </c>
      <c r="C595" t="s">
        <v>58</v>
      </c>
      <c r="D595" t="s">
        <v>1099</v>
      </c>
      <c r="E595" t="s">
        <v>1099</v>
      </c>
      <c r="F595" t="s">
        <v>76</v>
      </c>
      <c r="G595" t="s">
        <v>1428</v>
      </c>
      <c r="H595" t="s">
        <v>1429</v>
      </c>
      <c r="J595" t="str">
        <f>HYPERLINK("https://www.youtube.com/watch?v=ga7wAGJ9iFk&amp;lc=UgyHklKv0DWWIBVTQN94AaABAg","https://www.youtube.com/watch?v=ga7wAGJ9iFk&amp;lc=UgyHklKv0DWWIBVTQN94AaABAg")</f>
        <v>https://www.youtube.com/watch?v=ga7wAGJ9iFk&amp;lc=UgyHklKv0DWWIBVTQN94AaABAg</v>
      </c>
      <c r="O595">
        <v>0</v>
      </c>
      <c r="P595">
        <v>0</v>
      </c>
      <c r="Q595">
        <v>0</v>
      </c>
      <c r="S595">
        <v>0</v>
      </c>
      <c r="T595">
        <v>0</v>
      </c>
      <c r="U595">
        <v>0</v>
      </c>
      <c r="W595" t="s">
        <v>62</v>
      </c>
    </row>
    <row r="596" spans="1:45" x14ac:dyDescent="0.35">
      <c r="A596" t="s">
        <v>45</v>
      </c>
      <c r="B596" t="s">
        <v>1345</v>
      </c>
      <c r="C596" t="s">
        <v>58</v>
      </c>
      <c r="D596" t="s">
        <v>1099</v>
      </c>
      <c r="E596" t="s">
        <v>1099</v>
      </c>
      <c r="F596" t="s">
        <v>76</v>
      </c>
      <c r="G596" t="s">
        <v>1428</v>
      </c>
      <c r="H596" t="s">
        <v>1430</v>
      </c>
      <c r="J596" t="str">
        <f>HYPERLINK("https://www.youtube.com/watch?v=1mn3dk7wuRI&amp;lc=UgyN7ijg2UZdFmgkoT14AaABAg","https://www.youtube.com/watch?v=1mn3dk7wuRI&amp;lc=UgyN7ijg2UZdFmgkoT14AaABAg")</f>
        <v>https://www.youtube.com/watch?v=1mn3dk7wuRI&amp;lc=UgyN7ijg2UZdFmgkoT14AaABAg</v>
      </c>
      <c r="O596">
        <v>0</v>
      </c>
      <c r="P596">
        <v>0</v>
      </c>
      <c r="Q596">
        <v>0</v>
      </c>
      <c r="S596">
        <v>0</v>
      </c>
      <c r="T596">
        <v>0</v>
      </c>
      <c r="U596">
        <v>0</v>
      </c>
      <c r="W596" t="s">
        <v>62</v>
      </c>
    </row>
    <row r="597" spans="1:45" x14ac:dyDescent="0.35">
      <c r="A597" t="s">
        <v>45</v>
      </c>
      <c r="B597" t="s">
        <v>1345</v>
      </c>
      <c r="C597" t="s">
        <v>58</v>
      </c>
      <c r="D597" t="s">
        <v>1099</v>
      </c>
      <c r="E597" t="s">
        <v>1099</v>
      </c>
      <c r="F597" t="s">
        <v>76</v>
      </c>
      <c r="G597" t="s">
        <v>1100</v>
      </c>
      <c r="H597" t="s">
        <v>1431</v>
      </c>
      <c r="J597" t="str">
        <f>HYPERLINK("https://www.youtube.com/watch?v=JO6-GWu7wZg&amp;lc=Ugzu8g1Qhy6PAR3YNft4AaABAg","https://www.youtube.com/watch?v=JO6-GWu7wZg&amp;lc=Ugzu8g1Qhy6PAR3YNft4AaABAg")</f>
        <v>https://www.youtube.com/watch?v=JO6-GWu7wZg&amp;lc=Ugzu8g1Qhy6PAR3YNft4AaABAg</v>
      </c>
      <c r="O597">
        <v>0</v>
      </c>
      <c r="P597">
        <v>0</v>
      </c>
      <c r="Q597">
        <v>0</v>
      </c>
      <c r="S597">
        <v>0</v>
      </c>
      <c r="T597">
        <v>0</v>
      </c>
      <c r="U597">
        <v>0</v>
      </c>
      <c r="W597" t="s">
        <v>62</v>
      </c>
    </row>
    <row r="598" spans="1:45" x14ac:dyDescent="0.35">
      <c r="A598" t="s">
        <v>45</v>
      </c>
      <c r="B598" t="s">
        <v>1345</v>
      </c>
      <c r="C598" t="s">
        <v>58</v>
      </c>
      <c r="D598" t="s">
        <v>1099</v>
      </c>
      <c r="E598" t="s">
        <v>1099</v>
      </c>
      <c r="F598" t="s">
        <v>76</v>
      </c>
      <c r="G598" t="s">
        <v>1183</v>
      </c>
      <c r="H598" t="s">
        <v>1432</v>
      </c>
      <c r="J598" t="str">
        <f>HYPERLINK("https://www.youtube.com/watch?v=WP9gdiBOJ_I&amp;lc=Ugznw_gEXydJEKvaYiN4AaABAg","https://www.youtube.com/watch?v=WP9gdiBOJ_I&amp;lc=Ugznw_gEXydJEKvaYiN4AaABAg")</f>
        <v>https://www.youtube.com/watch?v=WP9gdiBOJ_I&amp;lc=Ugznw_gEXydJEKvaYiN4AaABAg</v>
      </c>
      <c r="O598">
        <v>0</v>
      </c>
      <c r="P598">
        <v>0</v>
      </c>
      <c r="Q598">
        <v>0</v>
      </c>
      <c r="S598">
        <v>0</v>
      </c>
      <c r="T598">
        <v>0</v>
      </c>
      <c r="U598">
        <v>0</v>
      </c>
      <c r="W598" t="s">
        <v>62</v>
      </c>
    </row>
    <row r="599" spans="1:45" x14ac:dyDescent="0.35">
      <c r="A599" t="s">
        <v>45</v>
      </c>
      <c r="B599" t="s">
        <v>1345</v>
      </c>
      <c r="C599" t="s">
        <v>58</v>
      </c>
      <c r="D599" t="s">
        <v>1099</v>
      </c>
      <c r="E599" t="s">
        <v>1099</v>
      </c>
      <c r="F599" t="s">
        <v>76</v>
      </c>
      <c r="G599" t="s">
        <v>1183</v>
      </c>
      <c r="H599" t="s">
        <v>1433</v>
      </c>
      <c r="J599" t="str">
        <f>HYPERLINK("https://www.youtube.com/watch?v=VHL4pXNkX8k&amp;lc=UgzAvmkX9MKUz9lF3mR4AaABAg","https://www.youtube.com/watch?v=VHL4pXNkX8k&amp;lc=UgzAvmkX9MKUz9lF3mR4AaABAg")</f>
        <v>https://www.youtube.com/watch?v=VHL4pXNkX8k&amp;lc=UgzAvmkX9MKUz9lF3mR4AaABAg</v>
      </c>
      <c r="O599">
        <v>0</v>
      </c>
      <c r="P599">
        <v>0</v>
      </c>
      <c r="Q599">
        <v>0</v>
      </c>
      <c r="S599">
        <v>0</v>
      </c>
      <c r="T599">
        <v>0</v>
      </c>
      <c r="U599">
        <v>0</v>
      </c>
      <c r="W599" t="s">
        <v>62</v>
      </c>
    </row>
    <row r="600" spans="1:45" x14ac:dyDescent="0.35">
      <c r="A600" t="s">
        <v>45</v>
      </c>
      <c r="B600" t="s">
        <v>1345</v>
      </c>
      <c r="C600" t="s">
        <v>58</v>
      </c>
      <c r="D600" t="s">
        <v>1099</v>
      </c>
      <c r="E600" t="s">
        <v>1099</v>
      </c>
      <c r="F600" t="s">
        <v>76</v>
      </c>
      <c r="G600" t="s">
        <v>1100</v>
      </c>
      <c r="H600" t="s">
        <v>1434</v>
      </c>
      <c r="J600" t="str">
        <f>HYPERLINK("https://www.youtube.com/watch?v=09CVgEXSRZw&amp;lc=Ugy_Zi5wILUDD6Q4WBx4AaABAg","https://www.youtube.com/watch?v=09CVgEXSRZw&amp;lc=Ugy_Zi5wILUDD6Q4WBx4AaABAg")</f>
        <v>https://www.youtube.com/watch?v=09CVgEXSRZw&amp;lc=Ugy_Zi5wILUDD6Q4WBx4AaABAg</v>
      </c>
      <c r="O600">
        <v>0</v>
      </c>
      <c r="P600">
        <v>0</v>
      </c>
      <c r="Q600">
        <v>0</v>
      </c>
      <c r="S600">
        <v>0</v>
      </c>
      <c r="T600">
        <v>0</v>
      </c>
      <c r="U600">
        <v>0</v>
      </c>
      <c r="W600" t="s">
        <v>62</v>
      </c>
    </row>
    <row r="601" spans="1:45" x14ac:dyDescent="0.35">
      <c r="A601" t="s">
        <v>45</v>
      </c>
      <c r="B601" t="s">
        <v>1345</v>
      </c>
      <c r="C601" t="s">
        <v>47</v>
      </c>
      <c r="D601" t="s">
        <v>98</v>
      </c>
      <c r="E601" t="s">
        <v>98</v>
      </c>
      <c r="F601" t="s">
        <v>49</v>
      </c>
      <c r="G601" t="s">
        <v>1435</v>
      </c>
      <c r="H601" t="s">
        <v>1436</v>
      </c>
      <c r="J601" t="str">
        <f>HYPERLINK("https://www.facebook.com/454965103328545/posts/792232949601757?comment_id=2705437952965714","https://www.facebook.com/454965103328545/posts/792232949601757?comment_id=2705437952965714")</f>
        <v>https://www.facebook.com/454965103328545/posts/792232949601757?comment_id=2705437952965714</v>
      </c>
      <c r="O601">
        <v>0</v>
      </c>
      <c r="P601">
        <v>0</v>
      </c>
      <c r="Q601">
        <v>0</v>
      </c>
      <c r="S601">
        <v>0</v>
      </c>
      <c r="T601">
        <v>0</v>
      </c>
      <c r="U601">
        <v>0</v>
      </c>
      <c r="W601" t="s">
        <v>62</v>
      </c>
    </row>
    <row r="602" spans="1:45" x14ac:dyDescent="0.35">
      <c r="A602" t="s">
        <v>45</v>
      </c>
      <c r="B602" t="s">
        <v>1345</v>
      </c>
      <c r="C602" t="s">
        <v>47</v>
      </c>
      <c r="D602" t="s">
        <v>1411</v>
      </c>
      <c r="E602" t="s">
        <v>1411</v>
      </c>
      <c r="F602" t="s">
        <v>76</v>
      </c>
      <c r="G602" t="s">
        <v>1437</v>
      </c>
      <c r="H602" t="s">
        <v>1438</v>
      </c>
      <c r="J602" t="str">
        <f>HYPERLINK("https://www.facebook.com/454965103328545/posts/792232949601757?comment_id=1831864597289160","https://www.facebook.com/454965103328545/posts/792232949601757?comment_id=1831864597289160")</f>
        <v>https://www.facebook.com/454965103328545/posts/792232949601757?comment_id=1831864597289160</v>
      </c>
      <c r="O602">
        <v>0</v>
      </c>
      <c r="P602">
        <v>0</v>
      </c>
      <c r="Q602">
        <v>0</v>
      </c>
      <c r="S602">
        <v>0</v>
      </c>
      <c r="T602">
        <v>0</v>
      </c>
      <c r="U602">
        <v>0</v>
      </c>
      <c r="W602" t="s">
        <v>62</v>
      </c>
      <c r="AP602" t="s">
        <v>101</v>
      </c>
      <c r="AS602" t="s">
        <v>375</v>
      </c>
    </row>
    <row r="603" spans="1:45" x14ac:dyDescent="0.35">
      <c r="A603" t="s">
        <v>45</v>
      </c>
      <c r="B603" t="s">
        <v>1345</v>
      </c>
      <c r="C603" t="s">
        <v>47</v>
      </c>
      <c r="D603" t="s">
        <v>445</v>
      </c>
      <c r="E603" t="s">
        <v>445</v>
      </c>
      <c r="F603" t="s">
        <v>49</v>
      </c>
      <c r="G603" t="s">
        <v>477</v>
      </c>
      <c r="H603" t="s">
        <v>1439</v>
      </c>
      <c r="J603" t="str">
        <f>HYPERLINK("https://www.facebook.com/454965103328545/posts/792232949601757?comment_id=1394688517840641","https://www.facebook.com/454965103328545/posts/792232949601757?comment_id=1394688517840641")</f>
        <v>https://www.facebook.com/454965103328545/posts/792232949601757?comment_id=1394688517840641</v>
      </c>
      <c r="O603">
        <v>0</v>
      </c>
      <c r="P603">
        <v>0</v>
      </c>
      <c r="Q603">
        <v>0</v>
      </c>
      <c r="S603">
        <v>0</v>
      </c>
      <c r="T603">
        <v>0</v>
      </c>
      <c r="U603">
        <v>0</v>
      </c>
      <c r="W603" t="s">
        <v>62</v>
      </c>
      <c r="AS603" t="s">
        <v>375</v>
      </c>
    </row>
    <row r="604" spans="1:45" x14ac:dyDescent="0.35">
      <c r="A604" t="s">
        <v>45</v>
      </c>
      <c r="B604" t="s">
        <v>1345</v>
      </c>
      <c r="C604" t="s">
        <v>47</v>
      </c>
      <c r="D604" t="s">
        <v>445</v>
      </c>
      <c r="E604" t="s">
        <v>445</v>
      </c>
      <c r="F604" t="s">
        <v>49</v>
      </c>
      <c r="G604" t="s">
        <v>475</v>
      </c>
      <c r="H604" t="s">
        <v>1440</v>
      </c>
      <c r="J604" t="str">
        <f>HYPERLINK("https://www.facebook.com/454965103328545/posts/792232949601757?comment_id=385619271096964","https://www.facebook.com/454965103328545/posts/792232949601757?comment_id=385619271096964")</f>
        <v>https://www.facebook.com/454965103328545/posts/792232949601757?comment_id=385619271096964</v>
      </c>
      <c r="O604">
        <v>0</v>
      </c>
      <c r="P604">
        <v>0</v>
      </c>
      <c r="Q604">
        <v>0</v>
      </c>
      <c r="S604">
        <v>0</v>
      </c>
      <c r="T604">
        <v>0</v>
      </c>
      <c r="U604">
        <v>0</v>
      </c>
      <c r="W604" t="s">
        <v>62</v>
      </c>
      <c r="AP604" t="s">
        <v>101</v>
      </c>
      <c r="AS604" t="s">
        <v>375</v>
      </c>
    </row>
    <row r="605" spans="1:45" x14ac:dyDescent="0.35">
      <c r="A605" t="s">
        <v>45</v>
      </c>
      <c r="B605" t="s">
        <v>1345</v>
      </c>
      <c r="C605" t="s">
        <v>47</v>
      </c>
      <c r="D605" t="s">
        <v>445</v>
      </c>
      <c r="E605" t="s">
        <v>445</v>
      </c>
      <c r="F605" t="s">
        <v>49</v>
      </c>
      <c r="G605" t="s">
        <v>471</v>
      </c>
      <c r="H605" t="s">
        <v>1441</v>
      </c>
      <c r="J605" t="str">
        <f>HYPERLINK("https://www.facebook.com/454965103328545/posts/792232949601757?comment_id=3032562436881198","https://www.facebook.com/454965103328545/posts/792232949601757?comment_id=3032562436881198")</f>
        <v>https://www.facebook.com/454965103328545/posts/792232949601757?comment_id=3032562436881198</v>
      </c>
      <c r="O605">
        <v>0</v>
      </c>
      <c r="P605">
        <v>0</v>
      </c>
      <c r="Q605">
        <v>0</v>
      </c>
      <c r="S605">
        <v>0</v>
      </c>
      <c r="T605">
        <v>0</v>
      </c>
      <c r="U605">
        <v>0</v>
      </c>
      <c r="W605" t="s">
        <v>62</v>
      </c>
    </row>
    <row r="606" spans="1:45" x14ac:dyDescent="0.35">
      <c r="A606" t="s">
        <v>45</v>
      </c>
      <c r="B606" t="s">
        <v>1345</v>
      </c>
      <c r="C606" t="s">
        <v>47</v>
      </c>
      <c r="D606" t="s">
        <v>445</v>
      </c>
      <c r="E606" t="s">
        <v>445</v>
      </c>
      <c r="F606" t="s">
        <v>142</v>
      </c>
      <c r="G606" t="s">
        <v>473</v>
      </c>
      <c r="H606" t="s">
        <v>1442</v>
      </c>
      <c r="J606" t="str">
        <f>HYPERLINK("https://www.facebook.com/454965103328545/posts/792232949601757?comment_id=1385548055445976","https://www.facebook.com/454965103328545/posts/792232949601757?comment_id=1385548055445976")</f>
        <v>https://www.facebook.com/454965103328545/posts/792232949601757?comment_id=1385548055445976</v>
      </c>
      <c r="O606">
        <v>0</v>
      </c>
      <c r="P606">
        <v>0</v>
      </c>
      <c r="Q606">
        <v>0</v>
      </c>
      <c r="S606">
        <v>0</v>
      </c>
      <c r="T606">
        <v>0</v>
      </c>
      <c r="U606">
        <v>0</v>
      </c>
      <c r="W606" t="s">
        <v>62</v>
      </c>
    </row>
    <row r="607" spans="1:45" x14ac:dyDescent="0.35">
      <c r="A607" t="s">
        <v>45</v>
      </c>
      <c r="B607" t="s">
        <v>1345</v>
      </c>
      <c r="C607" t="s">
        <v>47</v>
      </c>
      <c r="D607" t="s">
        <v>445</v>
      </c>
      <c r="E607" t="s">
        <v>445</v>
      </c>
      <c r="F607" t="s">
        <v>49</v>
      </c>
      <c r="G607" t="s">
        <v>477</v>
      </c>
      <c r="H607" t="s">
        <v>1443</v>
      </c>
      <c r="J607" t="str">
        <f>HYPERLINK("https://www.facebook.com/454965103328545/posts/792232949601757?comment_id=965950505212820","https://www.facebook.com/454965103328545/posts/792232949601757?comment_id=965950505212820")</f>
        <v>https://www.facebook.com/454965103328545/posts/792232949601757?comment_id=965950505212820</v>
      </c>
      <c r="O607">
        <v>0</v>
      </c>
      <c r="P607">
        <v>0</v>
      </c>
      <c r="Q607">
        <v>0</v>
      </c>
      <c r="S607">
        <v>0</v>
      </c>
      <c r="T607">
        <v>0</v>
      </c>
      <c r="U607">
        <v>0</v>
      </c>
      <c r="W607" t="s">
        <v>62</v>
      </c>
      <c r="AS607" t="s">
        <v>375</v>
      </c>
    </row>
    <row r="608" spans="1:45" x14ac:dyDescent="0.35">
      <c r="A608" t="s">
        <v>45</v>
      </c>
      <c r="B608" t="s">
        <v>1345</v>
      </c>
      <c r="C608" t="s">
        <v>139</v>
      </c>
      <c r="D608" t="s">
        <v>1186</v>
      </c>
      <c r="E608" t="s">
        <v>1187</v>
      </c>
      <c r="F608" t="s">
        <v>142</v>
      </c>
      <c r="G608" t="s">
        <v>1444</v>
      </c>
      <c r="H608" t="s">
        <v>1445</v>
      </c>
      <c r="J608" t="str">
        <f>HYPERLINK("https://twitter.com/sufiyan_77/status/1771062922133082574","https://twitter.com/sufiyan_77/status/1771062922133082574")</f>
        <v>https://twitter.com/sufiyan_77/status/1771062922133082574</v>
      </c>
      <c r="K608" t="s">
        <v>145</v>
      </c>
      <c r="O608">
        <v>0</v>
      </c>
      <c r="P608">
        <v>0</v>
      </c>
      <c r="Q608">
        <v>56</v>
      </c>
      <c r="R608" t="s">
        <v>582</v>
      </c>
      <c r="S608">
        <v>0</v>
      </c>
      <c r="T608">
        <v>0</v>
      </c>
      <c r="U608">
        <v>0</v>
      </c>
      <c r="W608" t="s">
        <v>146</v>
      </c>
      <c r="AS608" t="s">
        <v>375</v>
      </c>
    </row>
    <row r="609" spans="1:41" x14ac:dyDescent="0.35">
      <c r="A609" t="s">
        <v>45</v>
      </c>
      <c r="B609" t="s">
        <v>1345</v>
      </c>
      <c r="C609" t="s">
        <v>47</v>
      </c>
      <c r="D609" t="s">
        <v>1446</v>
      </c>
      <c r="E609" t="s">
        <v>1446</v>
      </c>
      <c r="F609" t="s">
        <v>49</v>
      </c>
      <c r="G609" t="s">
        <v>1447</v>
      </c>
      <c r="H609" t="s">
        <v>1448</v>
      </c>
      <c r="J609" t="str">
        <f>HYPERLINK("https://www.facebook.com/357267201017935/posts/3418723634872261/?comment_id=430514412826313","https://www.facebook.com/357267201017935/posts/3418723634872261/?comment_id=430514412826313")</f>
        <v>https://www.facebook.com/357267201017935/posts/3418723634872261/?comment_id=430514412826313</v>
      </c>
      <c r="O609">
        <v>0</v>
      </c>
      <c r="P609">
        <v>0</v>
      </c>
      <c r="Q609">
        <v>0</v>
      </c>
      <c r="S609">
        <v>0</v>
      </c>
      <c r="T609">
        <v>0</v>
      </c>
      <c r="U609">
        <v>0</v>
      </c>
      <c r="W609" t="s">
        <v>62</v>
      </c>
    </row>
    <row r="610" spans="1:41" x14ac:dyDescent="0.35">
      <c r="A610" t="s">
        <v>45</v>
      </c>
      <c r="B610" t="s">
        <v>1345</v>
      </c>
      <c r="C610" t="s">
        <v>58</v>
      </c>
      <c r="D610" t="s">
        <v>1449</v>
      </c>
      <c r="E610" t="s">
        <v>1449</v>
      </c>
      <c r="F610" t="s">
        <v>49</v>
      </c>
      <c r="G610" t="s">
        <v>1450</v>
      </c>
      <c r="H610" t="s">
        <v>1451</v>
      </c>
      <c r="J610" t="str">
        <f>HYPERLINK("https://www.youtube.com/watch?v=tOlLN4hteRY","https://www.youtube.com/watch?v=tOlLN4hteRY")</f>
        <v>https://www.youtube.com/watch?v=tOlLN4hteRY</v>
      </c>
      <c r="O610">
        <v>0</v>
      </c>
      <c r="P610">
        <v>0</v>
      </c>
      <c r="Q610">
        <v>0</v>
      </c>
      <c r="S610">
        <v>0</v>
      </c>
      <c r="T610">
        <v>0</v>
      </c>
      <c r="U610">
        <v>0</v>
      </c>
      <c r="W610" t="s">
        <v>106</v>
      </c>
    </row>
    <row r="611" spans="1:41" x14ac:dyDescent="0.35">
      <c r="A611" t="s">
        <v>45</v>
      </c>
      <c r="B611" t="s">
        <v>1345</v>
      </c>
      <c r="C611" t="s">
        <v>58</v>
      </c>
      <c r="D611" t="s">
        <v>1452</v>
      </c>
      <c r="E611" t="s">
        <v>1452</v>
      </c>
      <c r="F611" t="s">
        <v>49</v>
      </c>
      <c r="G611" t="s">
        <v>1453</v>
      </c>
      <c r="H611" t="s">
        <v>1454</v>
      </c>
      <c r="J611" t="str">
        <f>HYPERLINK("https://www.youtube.com/watch?v=PL3tNdUicmo","https://www.youtube.com/watch?v=PL3tNdUicmo")</f>
        <v>https://www.youtube.com/watch?v=PL3tNdUicmo</v>
      </c>
      <c r="O611">
        <v>0</v>
      </c>
      <c r="P611">
        <v>0</v>
      </c>
      <c r="Q611">
        <v>0</v>
      </c>
      <c r="S611">
        <v>0</v>
      </c>
      <c r="T611">
        <v>0</v>
      </c>
      <c r="U611">
        <v>0</v>
      </c>
      <c r="W611" t="s">
        <v>106</v>
      </c>
    </row>
    <row r="612" spans="1:41" x14ac:dyDescent="0.35">
      <c r="A612" t="s">
        <v>45</v>
      </c>
      <c r="B612" t="s">
        <v>1345</v>
      </c>
      <c r="C612" t="s">
        <v>58</v>
      </c>
      <c r="D612" t="s">
        <v>721</v>
      </c>
      <c r="E612" t="s">
        <v>721</v>
      </c>
      <c r="F612" t="s">
        <v>49</v>
      </c>
      <c r="G612" t="s">
        <v>1455</v>
      </c>
      <c r="H612" t="s">
        <v>1456</v>
      </c>
      <c r="J612" t="str">
        <f>HYPERLINK("https://www.youtube.com/watch?v=x_edJYwCqlo","https://www.youtube.com/watch?v=x_edJYwCqlo")</f>
        <v>https://www.youtube.com/watch?v=x_edJYwCqlo</v>
      </c>
      <c r="O612">
        <v>0</v>
      </c>
      <c r="P612">
        <v>0</v>
      </c>
      <c r="Q612">
        <v>0</v>
      </c>
      <c r="S612">
        <v>0</v>
      </c>
      <c r="T612">
        <v>0</v>
      </c>
      <c r="U612">
        <v>0</v>
      </c>
      <c r="W612" t="s">
        <v>106</v>
      </c>
    </row>
    <row r="613" spans="1:41" x14ac:dyDescent="0.35">
      <c r="A613" t="s">
        <v>45</v>
      </c>
      <c r="B613" t="s">
        <v>1345</v>
      </c>
      <c r="C613" t="s">
        <v>47</v>
      </c>
      <c r="D613" t="s">
        <v>1457</v>
      </c>
      <c r="E613" t="s">
        <v>1457</v>
      </c>
      <c r="F613" t="s">
        <v>49</v>
      </c>
      <c r="G613" t="s">
        <v>1458</v>
      </c>
      <c r="H613" t="s">
        <v>1459</v>
      </c>
      <c r="J613" t="str">
        <f>HYPERLINK("https://www.facebook.com/454965103328545/posts/791556059669446?comment_id=1424972548390236&amp;reply_comment_id=724029369875500","https://www.facebook.com/454965103328545/posts/791556059669446?comment_id=1424972548390236&amp;reply_comment_id=724029369875500")</f>
        <v>https://www.facebook.com/454965103328545/posts/791556059669446?comment_id=1424972548390236&amp;reply_comment_id=724029369875500</v>
      </c>
      <c r="O613">
        <v>0</v>
      </c>
      <c r="P613">
        <v>0</v>
      </c>
      <c r="Q613">
        <v>0</v>
      </c>
      <c r="S613">
        <v>0</v>
      </c>
      <c r="T613">
        <v>0</v>
      </c>
      <c r="U613">
        <v>0</v>
      </c>
      <c r="W613" t="s">
        <v>62</v>
      </c>
    </row>
    <row r="614" spans="1:41" x14ac:dyDescent="0.35">
      <c r="A614" t="s">
        <v>45</v>
      </c>
      <c r="B614" t="s">
        <v>1345</v>
      </c>
      <c r="C614" t="s">
        <v>47</v>
      </c>
      <c r="D614" t="s">
        <v>1457</v>
      </c>
      <c r="E614" t="s">
        <v>1457</v>
      </c>
      <c r="F614" t="s">
        <v>49</v>
      </c>
      <c r="G614" t="s">
        <v>1460</v>
      </c>
      <c r="H614" t="s">
        <v>1461</v>
      </c>
      <c r="J614" t="str">
        <f>HYPERLINK("https://www.facebook.com/454965103328545/posts/791556059669446?comment_id=332218942714425&amp;reply_comment_id=312164641538499","https://www.facebook.com/454965103328545/posts/791556059669446?comment_id=332218942714425&amp;reply_comment_id=312164641538499")</f>
        <v>https://www.facebook.com/454965103328545/posts/791556059669446?comment_id=332218942714425&amp;reply_comment_id=312164641538499</v>
      </c>
      <c r="O614">
        <v>0</v>
      </c>
      <c r="P614">
        <v>0</v>
      </c>
      <c r="Q614">
        <v>0</v>
      </c>
      <c r="S614">
        <v>0</v>
      </c>
      <c r="T614">
        <v>0</v>
      </c>
      <c r="U614">
        <v>0</v>
      </c>
      <c r="W614" t="s">
        <v>62</v>
      </c>
    </row>
    <row r="615" spans="1:41" x14ac:dyDescent="0.35">
      <c r="A615" t="s">
        <v>45</v>
      </c>
      <c r="B615" t="s">
        <v>1345</v>
      </c>
      <c r="C615" t="s">
        <v>47</v>
      </c>
      <c r="D615" t="s">
        <v>1462</v>
      </c>
      <c r="E615" t="s">
        <v>1462</v>
      </c>
      <c r="F615" t="s">
        <v>142</v>
      </c>
      <c r="G615" t="s">
        <v>1463</v>
      </c>
      <c r="H615" t="s">
        <v>1464</v>
      </c>
      <c r="J615" t="str">
        <f>HYPERLINK("https://www.facebook.com/357267201017935/inbox/7185468341531086/","https://www.facebook.com/357267201017935/inbox/7185468341531086/")</f>
        <v>https://www.facebook.com/357267201017935/inbox/7185468341531086/</v>
      </c>
      <c r="O615">
        <v>0</v>
      </c>
      <c r="P615">
        <v>0</v>
      </c>
      <c r="Q615">
        <v>0</v>
      </c>
      <c r="S615">
        <v>0</v>
      </c>
      <c r="T615">
        <v>0</v>
      </c>
      <c r="U615">
        <v>0</v>
      </c>
      <c r="W615" t="s">
        <v>52</v>
      </c>
    </row>
    <row r="616" spans="1:41" x14ac:dyDescent="0.35">
      <c r="A616" t="s">
        <v>45</v>
      </c>
      <c r="B616" t="s">
        <v>1345</v>
      </c>
      <c r="C616" t="s">
        <v>63</v>
      </c>
      <c r="D616" t="s">
        <v>186</v>
      </c>
      <c r="E616" t="s">
        <v>186</v>
      </c>
      <c r="F616" t="s">
        <v>49</v>
      </c>
      <c r="G616" t="s">
        <v>1465</v>
      </c>
      <c r="H616" t="s">
        <v>1466</v>
      </c>
      <c r="J616" t="str">
        <f>HYPERLINK("https://www.instagram.com/reel/C4zMGLgL19h/","https://www.instagram.com/reel/C4zMGLgL19h/")</f>
        <v>https://www.instagram.com/reel/C4zMGLgL19h/</v>
      </c>
      <c r="O616">
        <v>0</v>
      </c>
      <c r="P616">
        <v>0</v>
      </c>
      <c r="Q616">
        <v>0</v>
      </c>
      <c r="S616">
        <v>2</v>
      </c>
      <c r="T616">
        <v>90</v>
      </c>
      <c r="U616">
        <v>0</v>
      </c>
      <c r="W616" t="s">
        <v>106</v>
      </c>
    </row>
    <row r="617" spans="1:41" x14ac:dyDescent="0.35">
      <c r="A617" t="s">
        <v>45</v>
      </c>
      <c r="B617" t="s">
        <v>1345</v>
      </c>
      <c r="C617" t="s">
        <v>47</v>
      </c>
      <c r="D617" t="s">
        <v>45</v>
      </c>
      <c r="E617" t="s">
        <v>45</v>
      </c>
      <c r="F617" t="s">
        <v>49</v>
      </c>
      <c r="G617" t="s">
        <v>1465</v>
      </c>
      <c r="H617" t="s">
        <v>1467</v>
      </c>
      <c r="J617" t="str">
        <f>HYPERLINK("https://www.facebook.com/357267201017935_792232949601757","https://www.facebook.com/357267201017935_792232949601757")</f>
        <v>https://www.facebook.com/357267201017935_792232949601757</v>
      </c>
      <c r="O617">
        <v>0</v>
      </c>
      <c r="P617">
        <v>0</v>
      </c>
      <c r="Q617">
        <v>0</v>
      </c>
      <c r="S617">
        <v>15</v>
      </c>
      <c r="T617">
        <v>104</v>
      </c>
      <c r="U617">
        <v>19</v>
      </c>
      <c r="W617" t="s">
        <v>106</v>
      </c>
    </row>
    <row r="618" spans="1:41" x14ac:dyDescent="0.35">
      <c r="A618" t="s">
        <v>45</v>
      </c>
      <c r="B618" t="s">
        <v>1345</v>
      </c>
      <c r="C618" t="s">
        <v>139</v>
      </c>
      <c r="D618" t="s">
        <v>942</v>
      </c>
      <c r="E618" t="s">
        <v>943</v>
      </c>
      <c r="F618" t="s">
        <v>49</v>
      </c>
      <c r="G618" t="s">
        <v>1468</v>
      </c>
      <c r="H618" t="s">
        <v>1469</v>
      </c>
      <c r="J618" t="str">
        <f>HYPERLINK("https://twitter.com/rajendras1819/status/1770980415895146865","https://twitter.com/rajendras1819/status/1770980415895146865")</f>
        <v>https://twitter.com/rajendras1819/status/1770980415895146865</v>
      </c>
      <c r="O618">
        <v>0</v>
      </c>
      <c r="P618">
        <v>0</v>
      </c>
      <c r="Q618">
        <v>266</v>
      </c>
      <c r="R618" t="s">
        <v>946</v>
      </c>
      <c r="S618">
        <v>0</v>
      </c>
      <c r="T618">
        <v>0</v>
      </c>
      <c r="U618">
        <v>0</v>
      </c>
      <c r="W618" t="s">
        <v>552</v>
      </c>
      <c r="AO618" t="s">
        <v>67</v>
      </c>
    </row>
    <row r="619" spans="1:41" x14ac:dyDescent="0.35">
      <c r="A619" t="s">
        <v>45</v>
      </c>
      <c r="B619" t="s">
        <v>1345</v>
      </c>
      <c r="C619" t="s">
        <v>47</v>
      </c>
      <c r="D619" t="s">
        <v>1470</v>
      </c>
      <c r="E619" t="s">
        <v>1470</v>
      </c>
      <c r="F619" t="s">
        <v>49</v>
      </c>
      <c r="G619" t="s">
        <v>1471</v>
      </c>
      <c r="H619" t="s">
        <v>1472</v>
      </c>
      <c r="J619" t="str">
        <f>HYPERLINK("https://www.facebook.com/454965103328545/videos/945854510284278?comment_id=1808962992958852","https://www.facebook.com/454965103328545/videos/945854510284278?comment_id=1808962992958852")</f>
        <v>https://www.facebook.com/454965103328545/videos/945854510284278?comment_id=1808962992958852</v>
      </c>
      <c r="O619">
        <v>0</v>
      </c>
      <c r="P619">
        <v>0</v>
      </c>
      <c r="Q619">
        <v>0</v>
      </c>
      <c r="S619">
        <v>0</v>
      </c>
      <c r="T619">
        <v>0</v>
      </c>
      <c r="U619">
        <v>0</v>
      </c>
      <c r="W619" t="s">
        <v>62</v>
      </c>
    </row>
    <row r="620" spans="1:41" x14ac:dyDescent="0.35">
      <c r="A620" t="s">
        <v>45</v>
      </c>
      <c r="B620" t="s">
        <v>1345</v>
      </c>
      <c r="C620" t="s">
        <v>47</v>
      </c>
      <c r="D620" t="s">
        <v>1473</v>
      </c>
      <c r="E620" t="s">
        <v>1473</v>
      </c>
      <c r="F620" t="s">
        <v>49</v>
      </c>
      <c r="G620" t="s">
        <v>1474</v>
      </c>
      <c r="H620" t="s">
        <v>1475</v>
      </c>
      <c r="J620" t="str">
        <f>HYPERLINK("https://www.facebook.com/454965103328545/posts/788107050014347?comment_id=2673831742774703","https://www.facebook.com/454965103328545/posts/788107050014347?comment_id=2673831742774703")</f>
        <v>https://www.facebook.com/454965103328545/posts/788107050014347?comment_id=2673831742774703</v>
      </c>
      <c r="O620">
        <v>0</v>
      </c>
      <c r="P620">
        <v>0</v>
      </c>
      <c r="Q620">
        <v>0</v>
      </c>
      <c r="S620">
        <v>0</v>
      </c>
      <c r="T620">
        <v>0</v>
      </c>
      <c r="U620">
        <v>0</v>
      </c>
      <c r="W620" t="s">
        <v>62</v>
      </c>
    </row>
    <row r="621" spans="1:41" x14ac:dyDescent="0.35">
      <c r="A621" t="s">
        <v>45</v>
      </c>
      <c r="B621" t="s">
        <v>1345</v>
      </c>
      <c r="C621" t="s">
        <v>63</v>
      </c>
      <c r="D621" t="s">
        <v>1476</v>
      </c>
      <c r="E621" t="s">
        <v>1476</v>
      </c>
      <c r="F621" t="s">
        <v>49</v>
      </c>
      <c r="G621" t="s">
        <v>1477</v>
      </c>
      <c r="H621" t="s">
        <v>1478</v>
      </c>
      <c r="J621" t="str">
        <f>HYPERLINK("https://www.instagram.com/p/C3U7TX_AUmg/","https://www.instagram.com/p/C3U7TX_AUmg/")</f>
        <v>https://www.instagram.com/p/C3U7TX_AUmg/</v>
      </c>
      <c r="O621">
        <v>0</v>
      </c>
      <c r="P621">
        <v>0</v>
      </c>
      <c r="Q621">
        <v>0</v>
      </c>
      <c r="S621">
        <v>0</v>
      </c>
      <c r="T621">
        <v>0</v>
      </c>
      <c r="U621">
        <v>0</v>
      </c>
      <c r="W621" t="s">
        <v>62</v>
      </c>
    </row>
    <row r="622" spans="1:41" x14ac:dyDescent="0.35">
      <c r="A622" t="s">
        <v>45</v>
      </c>
      <c r="B622" t="s">
        <v>1345</v>
      </c>
      <c r="C622" t="s">
        <v>63</v>
      </c>
      <c r="D622" t="s">
        <v>1476</v>
      </c>
      <c r="E622" t="s">
        <v>1476</v>
      </c>
      <c r="F622" t="s">
        <v>49</v>
      </c>
      <c r="G622" t="s">
        <v>1479</v>
      </c>
      <c r="H622" t="s">
        <v>1480</v>
      </c>
      <c r="J622" t="str">
        <f>HYPERLINK("https://www.instagram.com/p/C3U7TX_AUmg/","https://www.instagram.com/p/C3U7TX_AUmg/")</f>
        <v>https://www.instagram.com/p/C3U7TX_AUmg/</v>
      </c>
      <c r="O622">
        <v>0</v>
      </c>
      <c r="P622">
        <v>0</v>
      </c>
      <c r="Q622">
        <v>0</v>
      </c>
      <c r="S622">
        <v>0</v>
      </c>
      <c r="T622">
        <v>0</v>
      </c>
      <c r="U622">
        <v>0</v>
      </c>
      <c r="W622" t="s">
        <v>62</v>
      </c>
    </row>
    <row r="623" spans="1:41" x14ac:dyDescent="0.35">
      <c r="A623" t="s">
        <v>45</v>
      </c>
      <c r="B623" t="s">
        <v>1345</v>
      </c>
      <c r="C623" t="s">
        <v>63</v>
      </c>
      <c r="D623" t="s">
        <v>1476</v>
      </c>
      <c r="E623" t="s">
        <v>1476</v>
      </c>
      <c r="F623" t="s">
        <v>49</v>
      </c>
      <c r="G623" t="s">
        <v>1481</v>
      </c>
      <c r="H623" t="s">
        <v>1482</v>
      </c>
      <c r="J623" t="str">
        <f>HYPERLINK("https://www.instagram.com/p/C3U7TX_AUmg/","https://www.instagram.com/p/C3U7TX_AUmg/")</f>
        <v>https://www.instagram.com/p/C3U7TX_AUmg/</v>
      </c>
      <c r="O623">
        <v>0</v>
      </c>
      <c r="P623">
        <v>0</v>
      </c>
      <c r="Q623">
        <v>0</v>
      </c>
      <c r="S623">
        <v>0</v>
      </c>
      <c r="T623">
        <v>0</v>
      </c>
      <c r="U623">
        <v>0</v>
      </c>
      <c r="W623" t="s">
        <v>62</v>
      </c>
    </row>
    <row r="624" spans="1:41" x14ac:dyDescent="0.35">
      <c r="A624" t="s">
        <v>45</v>
      </c>
      <c r="B624" t="s">
        <v>1483</v>
      </c>
      <c r="C624" t="s">
        <v>102</v>
      </c>
      <c r="D624" t="s">
        <v>1296</v>
      </c>
      <c r="E624" t="s">
        <v>1296</v>
      </c>
      <c r="F624" t="s">
        <v>76</v>
      </c>
      <c r="G624" t="s">
        <v>1484</v>
      </c>
      <c r="H624" t="s">
        <v>1485</v>
      </c>
      <c r="J624" t="str">
        <f>HYPERLINK("https://www.linkedin.com/feed/update/urn:li:activity:7176637937114128384","https://www.linkedin.com/feed/update/urn:li:activity:7176637937114128384")</f>
        <v>https://www.linkedin.com/feed/update/urn:li:activity:7176637937114128384</v>
      </c>
      <c r="O624">
        <v>0</v>
      </c>
      <c r="P624">
        <v>0</v>
      </c>
      <c r="Q624">
        <v>0</v>
      </c>
      <c r="S624">
        <v>0</v>
      </c>
      <c r="T624">
        <v>0</v>
      </c>
      <c r="U624">
        <v>0</v>
      </c>
      <c r="W624" t="s">
        <v>106</v>
      </c>
      <c r="AO624" t="s">
        <v>119</v>
      </c>
    </row>
    <row r="625" spans="1:45" x14ac:dyDescent="0.35">
      <c r="A625" t="s">
        <v>45</v>
      </c>
      <c r="B625" t="s">
        <v>1483</v>
      </c>
      <c r="C625" t="s">
        <v>47</v>
      </c>
      <c r="D625" t="s">
        <v>45</v>
      </c>
      <c r="E625" t="s">
        <v>45</v>
      </c>
      <c r="F625" t="s">
        <v>49</v>
      </c>
      <c r="H625" t="s">
        <v>1486</v>
      </c>
      <c r="J625" t="str">
        <f>HYPERLINK("https://www.facebook.com/357267201017935_792366742921711","https://www.facebook.com/357267201017935_792366742921711")</f>
        <v>https://www.facebook.com/357267201017935_792366742921711</v>
      </c>
      <c r="O625">
        <v>0</v>
      </c>
      <c r="P625">
        <v>0</v>
      </c>
      <c r="Q625">
        <v>0</v>
      </c>
      <c r="S625">
        <v>0</v>
      </c>
      <c r="T625">
        <v>0</v>
      </c>
      <c r="U625">
        <v>0</v>
      </c>
      <c r="W625" t="s">
        <v>106</v>
      </c>
      <c r="AS625" t="s">
        <v>115</v>
      </c>
    </row>
    <row r="626" spans="1:45" x14ac:dyDescent="0.35">
      <c r="A626" t="s">
        <v>45</v>
      </c>
      <c r="B626" t="s">
        <v>1483</v>
      </c>
      <c r="C626" t="s">
        <v>58</v>
      </c>
      <c r="D626" t="s">
        <v>1487</v>
      </c>
      <c r="E626" t="s">
        <v>1487</v>
      </c>
      <c r="F626" t="s">
        <v>49</v>
      </c>
      <c r="G626" t="s">
        <v>1488</v>
      </c>
      <c r="H626" t="s">
        <v>1489</v>
      </c>
      <c r="J626" t="str">
        <f>HYPERLINK("https://www.youtube.com/watch?v=nNTi7GPdTsw&amp;lc=UgzymSOMWEzqmrWnK9V4AaABAg","https://www.youtube.com/watch?v=nNTi7GPdTsw&amp;lc=UgzymSOMWEzqmrWnK9V4AaABAg")</f>
        <v>https://www.youtube.com/watch?v=nNTi7GPdTsw&amp;lc=UgzymSOMWEzqmrWnK9V4AaABAg</v>
      </c>
      <c r="O626">
        <v>0</v>
      </c>
      <c r="P626">
        <v>0</v>
      </c>
      <c r="Q626">
        <v>0</v>
      </c>
      <c r="S626">
        <v>0</v>
      </c>
      <c r="T626">
        <v>0</v>
      </c>
      <c r="U626">
        <v>0</v>
      </c>
      <c r="W626" t="s">
        <v>62</v>
      </c>
    </row>
    <row r="627" spans="1:45" x14ac:dyDescent="0.35">
      <c r="A627" t="s">
        <v>45</v>
      </c>
      <c r="B627" t="s">
        <v>1483</v>
      </c>
      <c r="C627" t="s">
        <v>63</v>
      </c>
      <c r="D627" t="s">
        <v>1490</v>
      </c>
      <c r="E627" t="s">
        <v>1490</v>
      </c>
      <c r="F627" t="s">
        <v>76</v>
      </c>
      <c r="G627" t="s">
        <v>501</v>
      </c>
      <c r="H627" t="s">
        <v>1491</v>
      </c>
      <c r="J627" t="str">
        <f>HYPERLINK("https://www.instagram.com/p/C4ucfvtgGcP/","https://www.instagram.com/p/C4ucfvtgGcP/")</f>
        <v>https://www.instagram.com/p/C4ucfvtgGcP/</v>
      </c>
      <c r="O627">
        <v>0</v>
      </c>
      <c r="P627">
        <v>0</v>
      </c>
      <c r="Q627">
        <v>0</v>
      </c>
      <c r="S627">
        <v>0</v>
      </c>
      <c r="T627">
        <v>0</v>
      </c>
      <c r="U627">
        <v>0</v>
      </c>
      <c r="W627" t="s">
        <v>62</v>
      </c>
    </row>
    <row r="628" spans="1:45" x14ac:dyDescent="0.35">
      <c r="A628" t="s">
        <v>45</v>
      </c>
      <c r="B628" t="s">
        <v>1483</v>
      </c>
      <c r="C628" t="s">
        <v>58</v>
      </c>
      <c r="D628" t="s">
        <v>1492</v>
      </c>
      <c r="E628" t="s">
        <v>1492</v>
      </c>
      <c r="F628" t="s">
        <v>49</v>
      </c>
      <c r="G628" t="s">
        <v>1493</v>
      </c>
      <c r="H628" t="s">
        <v>1494</v>
      </c>
      <c r="J628" t="str">
        <f>HYPERLINK("https://www.youtube.com/watch?v=hkyccq5Iino&amp;lc=Ugztccyt6VxQ0ikOq914AaABAg","https://www.youtube.com/watch?v=hkyccq5Iino&amp;lc=Ugztccyt6VxQ0ikOq914AaABAg")</f>
        <v>https://www.youtube.com/watch?v=hkyccq5Iino&amp;lc=Ugztccyt6VxQ0ikOq914AaABAg</v>
      </c>
      <c r="O628">
        <v>0</v>
      </c>
      <c r="P628">
        <v>0</v>
      </c>
      <c r="Q628">
        <v>0</v>
      </c>
      <c r="S628">
        <v>0</v>
      </c>
      <c r="T628">
        <v>0</v>
      </c>
      <c r="U628">
        <v>0</v>
      </c>
      <c r="W628" t="s">
        <v>62</v>
      </c>
    </row>
    <row r="629" spans="1:45" x14ac:dyDescent="0.35">
      <c r="A629" t="s">
        <v>45</v>
      </c>
      <c r="B629" t="s">
        <v>1483</v>
      </c>
      <c r="C629" t="s">
        <v>63</v>
      </c>
      <c r="D629" t="s">
        <v>1495</v>
      </c>
      <c r="E629" t="s">
        <v>1495</v>
      </c>
      <c r="F629" t="s">
        <v>49</v>
      </c>
      <c r="G629" t="s">
        <v>1496</v>
      </c>
      <c r="H629" t="s">
        <v>1497</v>
      </c>
      <c r="J629" t="str">
        <f>HYPERLINK("https://www.instagram.com/p/C4ZvzXzAEyC/","https://www.instagram.com/p/C4ZvzXzAEyC/")</f>
        <v>https://www.instagram.com/p/C4ZvzXzAEyC/</v>
      </c>
      <c r="O629">
        <v>0</v>
      </c>
      <c r="P629">
        <v>0</v>
      </c>
      <c r="Q629">
        <v>0</v>
      </c>
      <c r="S629">
        <v>0</v>
      </c>
      <c r="T629">
        <v>0</v>
      </c>
      <c r="U629">
        <v>0</v>
      </c>
      <c r="W629" t="s">
        <v>62</v>
      </c>
    </row>
    <row r="630" spans="1:45" x14ac:dyDescent="0.35">
      <c r="A630" t="s">
        <v>45</v>
      </c>
      <c r="B630" t="s">
        <v>1483</v>
      </c>
      <c r="C630" t="s">
        <v>47</v>
      </c>
      <c r="D630" t="s">
        <v>1498</v>
      </c>
      <c r="E630" t="s">
        <v>1498</v>
      </c>
      <c r="F630" t="s">
        <v>49</v>
      </c>
      <c r="G630" t="s">
        <v>1499</v>
      </c>
      <c r="H630" t="s">
        <v>1500</v>
      </c>
      <c r="J630" t="str">
        <f>HYPERLINK("https://www.facebook.com/454965103328545/posts/791556059669446?comment_id=332218942714425","https://www.facebook.com/454965103328545/posts/791556059669446?comment_id=332218942714425")</f>
        <v>https://www.facebook.com/454965103328545/posts/791556059669446?comment_id=332218942714425</v>
      </c>
      <c r="O630">
        <v>0</v>
      </c>
      <c r="P630">
        <v>0</v>
      </c>
      <c r="Q630">
        <v>0</v>
      </c>
      <c r="S630">
        <v>0</v>
      </c>
      <c r="T630">
        <v>0</v>
      </c>
      <c r="U630">
        <v>0</v>
      </c>
      <c r="W630" t="s">
        <v>62</v>
      </c>
    </row>
    <row r="631" spans="1:45" x14ac:dyDescent="0.35">
      <c r="A631" t="s">
        <v>45</v>
      </c>
      <c r="B631" t="s">
        <v>1483</v>
      </c>
      <c r="C631" t="s">
        <v>47</v>
      </c>
      <c r="D631" t="s">
        <v>1501</v>
      </c>
      <c r="E631" t="s">
        <v>1501</v>
      </c>
      <c r="F631" t="s">
        <v>49</v>
      </c>
      <c r="G631" t="s">
        <v>373</v>
      </c>
      <c r="H631" t="s">
        <v>1502</v>
      </c>
      <c r="J631" t="str">
        <f>HYPERLINK("https://www.facebook.com/357267201017935/inbox/7183518335059420/","https://www.facebook.com/357267201017935/inbox/7183518335059420/")</f>
        <v>https://www.facebook.com/357267201017935/inbox/7183518335059420/</v>
      </c>
      <c r="O631">
        <v>0</v>
      </c>
      <c r="P631">
        <v>0</v>
      </c>
      <c r="Q631">
        <v>0</v>
      </c>
      <c r="S631">
        <v>0</v>
      </c>
      <c r="T631">
        <v>0</v>
      </c>
      <c r="U631">
        <v>0</v>
      </c>
      <c r="W631" t="s">
        <v>52</v>
      </c>
    </row>
    <row r="632" spans="1:45" x14ac:dyDescent="0.35">
      <c r="A632" t="s">
        <v>45</v>
      </c>
      <c r="B632" t="s">
        <v>1483</v>
      </c>
      <c r="C632" t="s">
        <v>47</v>
      </c>
      <c r="D632" t="s">
        <v>770</v>
      </c>
      <c r="E632" t="s">
        <v>770</v>
      </c>
      <c r="F632" t="s">
        <v>49</v>
      </c>
      <c r="G632" t="s">
        <v>1503</v>
      </c>
      <c r="H632" t="s">
        <v>1504</v>
      </c>
      <c r="J632" t="str">
        <f>HYPERLINK("https://www.facebook.com/photo.php?fbid=791462099678842&amp;set=a.454957326662656&amp;type=3&amp;comment_id=1134663224372896","https://www.facebook.com/photo.php?fbid=791462099678842&amp;set=a.454957326662656&amp;type=3&amp;comment_id=1134663224372896")</f>
        <v>https://www.facebook.com/photo.php?fbid=791462099678842&amp;set=a.454957326662656&amp;type=3&amp;comment_id=1134663224372896</v>
      </c>
      <c r="O632">
        <v>0</v>
      </c>
      <c r="P632">
        <v>0</v>
      </c>
      <c r="Q632">
        <v>0</v>
      </c>
      <c r="S632">
        <v>0</v>
      </c>
      <c r="T632">
        <v>0</v>
      </c>
      <c r="U632">
        <v>0</v>
      </c>
      <c r="W632" t="s">
        <v>62</v>
      </c>
    </row>
    <row r="633" spans="1:45" x14ac:dyDescent="0.35">
      <c r="A633" t="s">
        <v>45</v>
      </c>
      <c r="B633" t="s">
        <v>1483</v>
      </c>
      <c r="C633" t="s">
        <v>58</v>
      </c>
      <c r="D633" t="s">
        <v>1505</v>
      </c>
      <c r="E633" t="s">
        <v>1505</v>
      </c>
      <c r="F633" t="s">
        <v>49</v>
      </c>
      <c r="G633" t="s">
        <v>1506</v>
      </c>
      <c r="H633" t="s">
        <v>1507</v>
      </c>
      <c r="J633" t="str">
        <f>HYPERLINK("https://www.youtube.com/watch?v=gMzRRVNL0FI","https://www.youtube.com/watch?v=gMzRRVNL0FI")</f>
        <v>https://www.youtube.com/watch?v=gMzRRVNL0FI</v>
      </c>
      <c r="O633">
        <v>0</v>
      </c>
      <c r="P633">
        <v>0</v>
      </c>
      <c r="Q633">
        <v>0</v>
      </c>
      <c r="S633">
        <v>0</v>
      </c>
      <c r="T633">
        <v>0</v>
      </c>
      <c r="U633">
        <v>0</v>
      </c>
      <c r="W633" t="s">
        <v>106</v>
      </c>
    </row>
    <row r="634" spans="1:45" x14ac:dyDescent="0.35">
      <c r="A634" t="s">
        <v>45</v>
      </c>
      <c r="B634" t="s">
        <v>1483</v>
      </c>
      <c r="C634" t="s">
        <v>63</v>
      </c>
      <c r="D634" t="s">
        <v>690</v>
      </c>
      <c r="E634" t="s">
        <v>690</v>
      </c>
      <c r="F634" t="s">
        <v>76</v>
      </c>
      <c r="G634" t="s">
        <v>1508</v>
      </c>
      <c r="H634" t="s">
        <v>1509</v>
      </c>
      <c r="J634" t="str">
        <f>HYPERLINK("https://www.instagram.com/p/C4ucfvtgGcP/","https://www.instagram.com/p/C4ucfvtgGcP/")</f>
        <v>https://www.instagram.com/p/C4ucfvtgGcP/</v>
      </c>
      <c r="O634">
        <v>0</v>
      </c>
      <c r="P634">
        <v>0</v>
      </c>
      <c r="Q634">
        <v>0</v>
      </c>
      <c r="S634">
        <v>0</v>
      </c>
      <c r="T634">
        <v>0</v>
      </c>
      <c r="U634">
        <v>0</v>
      </c>
      <c r="W634" t="s">
        <v>62</v>
      </c>
    </row>
    <row r="635" spans="1:45" x14ac:dyDescent="0.35">
      <c r="A635" t="s">
        <v>45</v>
      </c>
      <c r="B635" t="s">
        <v>1483</v>
      </c>
      <c r="C635" t="s">
        <v>63</v>
      </c>
      <c r="D635" t="s">
        <v>690</v>
      </c>
      <c r="E635" t="s">
        <v>690</v>
      </c>
      <c r="F635" t="s">
        <v>76</v>
      </c>
      <c r="G635" t="s">
        <v>1510</v>
      </c>
      <c r="H635" t="s">
        <v>1511</v>
      </c>
      <c r="J635" t="str">
        <f>HYPERLINK("https://www.instagram.com/p/C4ucfvtgGcP/","https://www.instagram.com/p/C4ucfvtgGcP/")</f>
        <v>https://www.instagram.com/p/C4ucfvtgGcP/</v>
      </c>
      <c r="O635">
        <v>0</v>
      </c>
      <c r="P635">
        <v>0</v>
      </c>
      <c r="Q635">
        <v>0</v>
      </c>
      <c r="S635">
        <v>0</v>
      </c>
      <c r="T635">
        <v>0</v>
      </c>
      <c r="U635">
        <v>0</v>
      </c>
      <c r="W635" t="s">
        <v>62</v>
      </c>
    </row>
    <row r="636" spans="1:45" x14ac:dyDescent="0.35">
      <c r="A636" t="s">
        <v>45</v>
      </c>
      <c r="B636" t="s">
        <v>1483</v>
      </c>
      <c r="C636" t="s">
        <v>47</v>
      </c>
      <c r="D636" t="s">
        <v>1512</v>
      </c>
      <c r="E636" t="s">
        <v>1512</v>
      </c>
      <c r="F636" t="s">
        <v>49</v>
      </c>
      <c r="G636" t="s">
        <v>1513</v>
      </c>
      <c r="H636" t="s">
        <v>1514</v>
      </c>
      <c r="J636" t="str">
        <f>HYPERLINK("https://www.facebook.com/454965103328545/posts/791556059669446?comment_id=377421911776673","https://www.facebook.com/454965103328545/posts/791556059669446?comment_id=377421911776673")</f>
        <v>https://www.facebook.com/454965103328545/posts/791556059669446?comment_id=377421911776673</v>
      </c>
      <c r="O636">
        <v>0</v>
      </c>
      <c r="P636">
        <v>0</v>
      </c>
      <c r="Q636">
        <v>0</v>
      </c>
      <c r="S636">
        <v>0</v>
      </c>
      <c r="T636">
        <v>0</v>
      </c>
      <c r="U636">
        <v>0</v>
      </c>
      <c r="W636" t="s">
        <v>62</v>
      </c>
    </row>
    <row r="637" spans="1:45" x14ac:dyDescent="0.35">
      <c r="A637" t="s">
        <v>45</v>
      </c>
      <c r="B637" t="s">
        <v>1483</v>
      </c>
      <c r="C637" t="s">
        <v>47</v>
      </c>
      <c r="D637" t="s">
        <v>1515</v>
      </c>
      <c r="E637" t="s">
        <v>1515</v>
      </c>
      <c r="F637" t="s">
        <v>49</v>
      </c>
      <c r="G637" t="s">
        <v>1516</v>
      </c>
      <c r="H637" t="s">
        <v>1517</v>
      </c>
      <c r="J637" t="str">
        <f>HYPERLINK("https://www.facebook.com/454965103328545/posts/791556059669446?comment_id=1556605008520528&amp;reply_comment_id=798738038793287","https://www.facebook.com/454965103328545/posts/791556059669446?comment_id=1556605008520528&amp;reply_comment_id=798738038793287")</f>
        <v>https://www.facebook.com/454965103328545/posts/791556059669446?comment_id=1556605008520528&amp;reply_comment_id=798738038793287</v>
      </c>
      <c r="O637">
        <v>0</v>
      </c>
      <c r="P637">
        <v>0</v>
      </c>
      <c r="Q637">
        <v>0</v>
      </c>
      <c r="S637">
        <v>0</v>
      </c>
      <c r="T637">
        <v>0</v>
      </c>
      <c r="U637">
        <v>0</v>
      </c>
      <c r="W637" t="s">
        <v>62</v>
      </c>
    </row>
    <row r="638" spans="1:45" x14ac:dyDescent="0.35">
      <c r="A638" t="s">
        <v>45</v>
      </c>
      <c r="B638" t="s">
        <v>1483</v>
      </c>
      <c r="C638" t="s">
        <v>47</v>
      </c>
      <c r="D638" t="s">
        <v>770</v>
      </c>
      <c r="E638" t="s">
        <v>770</v>
      </c>
      <c r="F638" t="s">
        <v>49</v>
      </c>
      <c r="G638" t="s">
        <v>1518</v>
      </c>
      <c r="H638" t="s">
        <v>1519</v>
      </c>
      <c r="J638" t="str">
        <f>HYPERLINK("https://www.facebook.com/454965103328545/posts/791556059669446?comment_id=735307105413484","https://www.facebook.com/454965103328545/posts/791556059669446?comment_id=735307105413484")</f>
        <v>https://www.facebook.com/454965103328545/posts/791556059669446?comment_id=735307105413484</v>
      </c>
      <c r="O638">
        <v>0</v>
      </c>
      <c r="P638">
        <v>0</v>
      </c>
      <c r="Q638">
        <v>0</v>
      </c>
      <c r="S638">
        <v>0</v>
      </c>
      <c r="T638">
        <v>0</v>
      </c>
      <c r="U638">
        <v>0</v>
      </c>
      <c r="W638" t="s">
        <v>62</v>
      </c>
    </row>
    <row r="639" spans="1:45" x14ac:dyDescent="0.35">
      <c r="A639" t="s">
        <v>45</v>
      </c>
      <c r="B639" t="s">
        <v>1483</v>
      </c>
      <c r="C639" t="s">
        <v>47</v>
      </c>
      <c r="D639" t="s">
        <v>445</v>
      </c>
      <c r="E639" t="s">
        <v>445</v>
      </c>
      <c r="F639" t="s">
        <v>49</v>
      </c>
      <c r="G639" t="s">
        <v>1520</v>
      </c>
      <c r="H639" t="s">
        <v>1521</v>
      </c>
      <c r="J639" t="str">
        <f>HYPERLINK("https://www.facebook.com/454965103328545/posts/791556059669446?comment_id=1428272307814379","https://www.facebook.com/454965103328545/posts/791556059669446?comment_id=1428272307814379")</f>
        <v>https://www.facebook.com/454965103328545/posts/791556059669446?comment_id=1428272307814379</v>
      </c>
      <c r="O639">
        <v>0</v>
      </c>
      <c r="P639">
        <v>0</v>
      </c>
      <c r="Q639">
        <v>0</v>
      </c>
      <c r="S639">
        <v>0</v>
      </c>
      <c r="T639">
        <v>0</v>
      </c>
      <c r="U639">
        <v>0</v>
      </c>
      <c r="W639" t="s">
        <v>62</v>
      </c>
    </row>
    <row r="640" spans="1:45" x14ac:dyDescent="0.35">
      <c r="A640" t="s">
        <v>45</v>
      </c>
      <c r="B640" t="s">
        <v>1483</v>
      </c>
      <c r="C640" t="s">
        <v>47</v>
      </c>
      <c r="D640" t="s">
        <v>445</v>
      </c>
      <c r="E640" t="s">
        <v>445</v>
      </c>
      <c r="F640" t="s">
        <v>49</v>
      </c>
      <c r="G640" t="s">
        <v>477</v>
      </c>
      <c r="H640" t="s">
        <v>1522</v>
      </c>
      <c r="J640" t="str">
        <f>HYPERLINK("https://www.facebook.com/454965103328545/posts/791556059669446?comment_id=433927919088043","https://www.facebook.com/454965103328545/posts/791556059669446?comment_id=433927919088043")</f>
        <v>https://www.facebook.com/454965103328545/posts/791556059669446?comment_id=433927919088043</v>
      </c>
      <c r="O640">
        <v>0</v>
      </c>
      <c r="P640">
        <v>0</v>
      </c>
      <c r="Q640">
        <v>0</v>
      </c>
      <c r="S640">
        <v>0</v>
      </c>
      <c r="T640">
        <v>0</v>
      </c>
      <c r="U640">
        <v>0</v>
      </c>
      <c r="W640" t="s">
        <v>62</v>
      </c>
    </row>
    <row r="641" spans="1:42" x14ac:dyDescent="0.35">
      <c r="A641" t="s">
        <v>45</v>
      </c>
      <c r="B641" t="s">
        <v>1483</v>
      </c>
      <c r="C641" t="s">
        <v>47</v>
      </c>
      <c r="D641" t="s">
        <v>445</v>
      </c>
      <c r="E641" t="s">
        <v>445</v>
      </c>
      <c r="F641" t="s">
        <v>142</v>
      </c>
      <c r="G641" t="s">
        <v>473</v>
      </c>
      <c r="H641" t="s">
        <v>1523</v>
      </c>
      <c r="J641" t="str">
        <f>HYPERLINK("https://www.facebook.com/454965103328545/posts/791556059669446?comment_id=954780072911030","https://www.facebook.com/454965103328545/posts/791556059669446?comment_id=954780072911030")</f>
        <v>https://www.facebook.com/454965103328545/posts/791556059669446?comment_id=954780072911030</v>
      </c>
      <c r="O641">
        <v>0</v>
      </c>
      <c r="P641">
        <v>0</v>
      </c>
      <c r="Q641">
        <v>0</v>
      </c>
      <c r="S641">
        <v>0</v>
      </c>
      <c r="T641">
        <v>0</v>
      </c>
      <c r="U641">
        <v>0</v>
      </c>
      <c r="W641" t="s">
        <v>62</v>
      </c>
    </row>
    <row r="642" spans="1:42" x14ac:dyDescent="0.35">
      <c r="A642" t="s">
        <v>45</v>
      </c>
      <c r="B642" t="s">
        <v>1483</v>
      </c>
      <c r="C642" t="s">
        <v>47</v>
      </c>
      <c r="D642" t="s">
        <v>445</v>
      </c>
      <c r="E642" t="s">
        <v>445</v>
      </c>
      <c r="F642" t="s">
        <v>49</v>
      </c>
      <c r="G642" t="s">
        <v>475</v>
      </c>
      <c r="H642" t="s">
        <v>1524</v>
      </c>
      <c r="J642" t="str">
        <f>HYPERLINK("https://www.facebook.com/454965103328545/posts/791556059669446?comment_id=1424972548390236","https://www.facebook.com/454965103328545/posts/791556059669446?comment_id=1424972548390236")</f>
        <v>https://www.facebook.com/454965103328545/posts/791556059669446?comment_id=1424972548390236</v>
      </c>
      <c r="O642">
        <v>0</v>
      </c>
      <c r="P642">
        <v>0</v>
      </c>
      <c r="Q642">
        <v>0</v>
      </c>
      <c r="S642">
        <v>0</v>
      </c>
      <c r="T642">
        <v>0</v>
      </c>
      <c r="U642">
        <v>0</v>
      </c>
      <c r="W642" t="s">
        <v>62</v>
      </c>
      <c r="AP642" t="s">
        <v>101</v>
      </c>
    </row>
    <row r="643" spans="1:42" x14ac:dyDescent="0.35">
      <c r="A643" t="s">
        <v>45</v>
      </c>
      <c r="B643" t="s">
        <v>1483</v>
      </c>
      <c r="C643" t="s">
        <v>47</v>
      </c>
      <c r="D643" t="s">
        <v>445</v>
      </c>
      <c r="E643" t="s">
        <v>445</v>
      </c>
      <c r="F643" t="s">
        <v>49</v>
      </c>
      <c r="G643" t="s">
        <v>471</v>
      </c>
      <c r="H643" t="s">
        <v>1525</v>
      </c>
      <c r="J643" t="str">
        <f>HYPERLINK("https://www.facebook.com/454965103328545/posts/791556059669446?comment_id=1556605008520528","https://www.facebook.com/454965103328545/posts/791556059669446?comment_id=1556605008520528")</f>
        <v>https://www.facebook.com/454965103328545/posts/791556059669446?comment_id=1556605008520528</v>
      </c>
      <c r="O643">
        <v>0</v>
      </c>
      <c r="P643">
        <v>0</v>
      </c>
      <c r="Q643">
        <v>0</v>
      </c>
      <c r="S643">
        <v>0</v>
      </c>
      <c r="T643">
        <v>0</v>
      </c>
      <c r="U643">
        <v>0</v>
      </c>
      <c r="W643" t="s">
        <v>62</v>
      </c>
    </row>
    <row r="644" spans="1:42" x14ac:dyDescent="0.35">
      <c r="A644" t="s">
        <v>45</v>
      </c>
      <c r="B644" t="s">
        <v>1483</v>
      </c>
      <c r="C644" t="s">
        <v>58</v>
      </c>
      <c r="D644" t="s">
        <v>1526</v>
      </c>
      <c r="E644" t="s">
        <v>1526</v>
      </c>
      <c r="F644" t="s">
        <v>76</v>
      </c>
      <c r="G644" t="s">
        <v>1527</v>
      </c>
      <c r="H644" t="s">
        <v>1528</v>
      </c>
      <c r="J644" t="str">
        <f>HYPERLINK("https://www.youtube.com/watch?v=iZTUfm_eET0","https://www.youtube.com/watch?v=iZTUfm_eET0")</f>
        <v>https://www.youtube.com/watch?v=iZTUfm_eET0</v>
      </c>
      <c r="O644">
        <v>0</v>
      </c>
      <c r="P644">
        <v>0</v>
      </c>
      <c r="Q644">
        <v>0</v>
      </c>
      <c r="S644">
        <v>0</v>
      </c>
      <c r="T644">
        <v>0</v>
      </c>
      <c r="U644">
        <v>0</v>
      </c>
      <c r="W644" t="s">
        <v>106</v>
      </c>
    </row>
    <row r="645" spans="1:42" x14ac:dyDescent="0.35">
      <c r="A645" t="s">
        <v>45</v>
      </c>
      <c r="B645" t="s">
        <v>1483</v>
      </c>
      <c r="C645" t="s">
        <v>63</v>
      </c>
      <c r="D645" t="s">
        <v>1529</v>
      </c>
      <c r="E645" t="s">
        <v>1529</v>
      </c>
      <c r="F645" t="s">
        <v>49</v>
      </c>
      <c r="G645" t="s">
        <v>1530</v>
      </c>
      <c r="H645" t="s">
        <v>1531</v>
      </c>
      <c r="J645" t="str">
        <f>HYPERLINK("https://www.instagram.com/p/C2Rt24ZNQgs/","https://www.instagram.com/p/C2Rt24ZNQgs/")</f>
        <v>https://www.instagram.com/p/C2Rt24ZNQgs/</v>
      </c>
      <c r="O645">
        <v>0</v>
      </c>
      <c r="P645">
        <v>0</v>
      </c>
      <c r="Q645">
        <v>0</v>
      </c>
      <c r="S645">
        <v>0</v>
      </c>
      <c r="T645">
        <v>0</v>
      </c>
      <c r="U645">
        <v>0</v>
      </c>
      <c r="W645" t="s">
        <v>62</v>
      </c>
    </row>
    <row r="646" spans="1:42" x14ac:dyDescent="0.35">
      <c r="A646" t="s">
        <v>45</v>
      </c>
      <c r="B646" t="s">
        <v>1483</v>
      </c>
      <c r="C646" t="s">
        <v>63</v>
      </c>
      <c r="D646" t="s">
        <v>186</v>
      </c>
      <c r="E646" t="s">
        <v>186</v>
      </c>
      <c r="F646" t="s">
        <v>49</v>
      </c>
      <c r="G646" t="s">
        <v>1532</v>
      </c>
      <c r="H646" t="s">
        <v>1533</v>
      </c>
      <c r="J646" t="str">
        <f>HYPERLINK("https://www.instagram.com/p/C4xlEEogdzf/","https://www.instagram.com/p/C4xlEEogdzf/")</f>
        <v>https://www.instagram.com/p/C4xlEEogdzf/</v>
      </c>
      <c r="O646">
        <v>0</v>
      </c>
      <c r="P646">
        <v>0</v>
      </c>
      <c r="Q646">
        <v>0</v>
      </c>
      <c r="S646">
        <v>0</v>
      </c>
      <c r="T646">
        <v>44</v>
      </c>
      <c r="U646">
        <v>0</v>
      </c>
      <c r="W646" t="s">
        <v>106</v>
      </c>
      <c r="AO646" t="s">
        <v>67</v>
      </c>
    </row>
    <row r="647" spans="1:42" x14ac:dyDescent="0.35">
      <c r="A647" t="s">
        <v>45</v>
      </c>
      <c r="B647" t="s">
        <v>1483</v>
      </c>
      <c r="C647" t="s">
        <v>47</v>
      </c>
      <c r="D647" t="s">
        <v>45</v>
      </c>
      <c r="E647" t="s">
        <v>45</v>
      </c>
      <c r="F647" t="s">
        <v>49</v>
      </c>
      <c r="G647" t="s">
        <v>1532</v>
      </c>
      <c r="H647" t="s">
        <v>1534</v>
      </c>
      <c r="J647" t="str">
        <f>HYPERLINK("https://www.facebook.com/357267201017935_791556059669446","https://www.facebook.com/357267201017935_791556059669446")</f>
        <v>https://www.facebook.com/357267201017935_791556059669446</v>
      </c>
      <c r="O647">
        <v>0</v>
      </c>
      <c r="P647">
        <v>0</v>
      </c>
      <c r="Q647">
        <v>0</v>
      </c>
      <c r="S647">
        <v>8</v>
      </c>
      <c r="T647">
        <v>50</v>
      </c>
      <c r="U647">
        <v>5</v>
      </c>
      <c r="W647" t="s">
        <v>106</v>
      </c>
      <c r="AO647" t="s">
        <v>67</v>
      </c>
    </row>
    <row r="648" spans="1:42" x14ac:dyDescent="0.35">
      <c r="A648" t="s">
        <v>45</v>
      </c>
      <c r="B648" t="s">
        <v>1483</v>
      </c>
      <c r="C648" t="s">
        <v>139</v>
      </c>
      <c r="D648" t="s">
        <v>190</v>
      </c>
      <c r="E648" t="s">
        <v>45</v>
      </c>
      <c r="F648" t="s">
        <v>49</v>
      </c>
      <c r="G648" t="s">
        <v>1468</v>
      </c>
      <c r="H648" t="s">
        <v>1535</v>
      </c>
      <c r="J648" t="str">
        <f>HYPERLINK("https://twitter.com/FinoPaymntsBank/status/1770774861121753116","https://twitter.com/FinoPaymntsBank/status/1770774861121753116")</f>
        <v>https://twitter.com/FinoPaymntsBank/status/1770774861121753116</v>
      </c>
      <c r="K648" t="s">
        <v>145</v>
      </c>
      <c r="O648">
        <v>0</v>
      </c>
      <c r="P648">
        <v>0</v>
      </c>
      <c r="Q648">
        <v>8457</v>
      </c>
      <c r="R648" t="s">
        <v>193</v>
      </c>
      <c r="S648">
        <v>0</v>
      </c>
      <c r="T648">
        <v>0</v>
      </c>
      <c r="U648">
        <v>0</v>
      </c>
      <c r="W648" t="s">
        <v>146</v>
      </c>
      <c r="AO648" t="s">
        <v>67</v>
      </c>
    </row>
    <row r="649" spans="1:42" x14ac:dyDescent="0.35">
      <c r="A649" t="s">
        <v>45</v>
      </c>
      <c r="B649" t="s">
        <v>1483</v>
      </c>
      <c r="C649" t="s">
        <v>63</v>
      </c>
      <c r="D649" t="s">
        <v>1536</v>
      </c>
      <c r="E649" t="s">
        <v>1536</v>
      </c>
      <c r="F649" t="s">
        <v>49</v>
      </c>
      <c r="G649" t="s">
        <v>1537</v>
      </c>
      <c r="H649" t="s">
        <v>1538</v>
      </c>
      <c r="J649" t="str">
        <f>HYPERLINK("https://www.instagram.com/p/C4ucfvtgGcP/","https://www.instagram.com/p/C4ucfvtgGcP/")</f>
        <v>https://www.instagram.com/p/C4ucfvtgGcP/</v>
      </c>
      <c r="O649">
        <v>0</v>
      </c>
      <c r="P649">
        <v>0</v>
      </c>
      <c r="Q649">
        <v>0</v>
      </c>
      <c r="S649">
        <v>0</v>
      </c>
      <c r="T649">
        <v>0</v>
      </c>
      <c r="U649">
        <v>0</v>
      </c>
      <c r="W649" t="s">
        <v>62</v>
      </c>
    </row>
    <row r="650" spans="1:42" x14ac:dyDescent="0.35">
      <c r="A650" t="s">
        <v>45</v>
      </c>
      <c r="B650" t="s">
        <v>1483</v>
      </c>
      <c r="C650" t="s">
        <v>63</v>
      </c>
      <c r="D650" t="s">
        <v>1539</v>
      </c>
      <c r="E650" t="s">
        <v>1539</v>
      </c>
      <c r="F650" t="s">
        <v>49</v>
      </c>
      <c r="G650" t="s">
        <v>1540</v>
      </c>
      <c r="H650" t="s">
        <v>1541</v>
      </c>
      <c r="J650" t="str">
        <f>HYPERLINK("https://www.instagram.com/p/C4ucfvtgGcP/","https://www.instagram.com/p/C4ucfvtgGcP/")</f>
        <v>https://www.instagram.com/p/C4ucfvtgGcP/</v>
      </c>
      <c r="O650">
        <v>0</v>
      </c>
      <c r="P650">
        <v>0</v>
      </c>
      <c r="Q650">
        <v>0</v>
      </c>
      <c r="S650">
        <v>0</v>
      </c>
      <c r="T650">
        <v>0</v>
      </c>
      <c r="U650">
        <v>0</v>
      </c>
      <c r="W650" t="s">
        <v>62</v>
      </c>
    </row>
    <row r="651" spans="1:42" x14ac:dyDescent="0.35">
      <c r="A651" t="s">
        <v>45</v>
      </c>
      <c r="B651" t="s">
        <v>1483</v>
      </c>
      <c r="C651" t="s">
        <v>63</v>
      </c>
      <c r="D651" t="s">
        <v>1542</v>
      </c>
      <c r="E651" t="s">
        <v>1542</v>
      </c>
      <c r="F651" t="s">
        <v>49</v>
      </c>
      <c r="G651" t="s">
        <v>1543</v>
      </c>
      <c r="H651" t="s">
        <v>1544</v>
      </c>
      <c r="J651" t="str">
        <f>HYPERLINK("https://www.instagram.com/p/C3U7TX_AUmg/","https://www.instagram.com/p/C3U7TX_AUmg/")</f>
        <v>https://www.instagram.com/p/C3U7TX_AUmg/</v>
      </c>
      <c r="O651">
        <v>0</v>
      </c>
      <c r="P651">
        <v>0</v>
      </c>
      <c r="Q651">
        <v>0</v>
      </c>
      <c r="S651">
        <v>0</v>
      </c>
      <c r="T651">
        <v>0</v>
      </c>
      <c r="U651">
        <v>0</v>
      </c>
      <c r="W651" t="s">
        <v>62</v>
      </c>
    </row>
    <row r="652" spans="1:42" x14ac:dyDescent="0.35">
      <c r="A652" t="s">
        <v>45</v>
      </c>
      <c r="B652" t="s">
        <v>1483</v>
      </c>
      <c r="C652" t="s">
        <v>63</v>
      </c>
      <c r="D652" t="s">
        <v>1545</v>
      </c>
      <c r="E652" t="s">
        <v>1545</v>
      </c>
      <c r="F652" t="s">
        <v>76</v>
      </c>
      <c r="G652" t="s">
        <v>1546</v>
      </c>
      <c r="H652" t="s">
        <v>1547</v>
      </c>
      <c r="J652" t="str">
        <f>HYPERLINK("https://www.instagram.com/reel/C3sDoSHIOmC/","https://www.instagram.com/reel/C3sDoSHIOmC/")</f>
        <v>https://www.instagram.com/reel/C3sDoSHIOmC/</v>
      </c>
      <c r="O652">
        <v>0</v>
      </c>
      <c r="P652">
        <v>0</v>
      </c>
      <c r="Q652">
        <v>0</v>
      </c>
      <c r="S652">
        <v>0</v>
      </c>
      <c r="T652">
        <v>0</v>
      </c>
      <c r="U652">
        <v>0</v>
      </c>
      <c r="W652" t="s">
        <v>62</v>
      </c>
    </row>
    <row r="653" spans="1:42" x14ac:dyDescent="0.35">
      <c r="A653" t="s">
        <v>45</v>
      </c>
      <c r="B653" t="s">
        <v>1483</v>
      </c>
      <c r="C653" t="s">
        <v>63</v>
      </c>
      <c r="D653" t="s">
        <v>1545</v>
      </c>
      <c r="E653" t="s">
        <v>1545</v>
      </c>
      <c r="F653" t="s">
        <v>49</v>
      </c>
      <c r="G653" t="s">
        <v>1548</v>
      </c>
      <c r="H653" t="s">
        <v>1549</v>
      </c>
      <c r="J653" t="str">
        <f>HYPERLINK("https://www.instagram.com/reel/C4hKiW5BY4Q/","https://www.instagram.com/reel/C4hKiW5BY4Q/")</f>
        <v>https://www.instagram.com/reel/C4hKiW5BY4Q/</v>
      </c>
      <c r="O653">
        <v>0</v>
      </c>
      <c r="P653">
        <v>0</v>
      </c>
      <c r="Q653">
        <v>0</v>
      </c>
      <c r="S653">
        <v>0</v>
      </c>
      <c r="T653">
        <v>0</v>
      </c>
      <c r="U653">
        <v>0</v>
      </c>
      <c r="W653" t="s">
        <v>62</v>
      </c>
    </row>
    <row r="654" spans="1:42" x14ac:dyDescent="0.35">
      <c r="A654" t="s">
        <v>45</v>
      </c>
      <c r="B654" t="s">
        <v>1483</v>
      </c>
      <c r="C654" t="s">
        <v>63</v>
      </c>
      <c r="D654" t="s">
        <v>1545</v>
      </c>
      <c r="E654" t="s">
        <v>1545</v>
      </c>
      <c r="F654" t="s">
        <v>76</v>
      </c>
      <c r="G654" t="s">
        <v>1550</v>
      </c>
      <c r="H654" t="s">
        <v>1551</v>
      </c>
      <c r="J654" t="str">
        <f>HYPERLINK("https://www.instagram.com/reel/C4ujPxSBhKc/","https://www.instagram.com/reel/C4ujPxSBhKc/")</f>
        <v>https://www.instagram.com/reel/C4ujPxSBhKc/</v>
      </c>
      <c r="O654">
        <v>0</v>
      </c>
      <c r="P654">
        <v>0</v>
      </c>
      <c r="Q654">
        <v>0</v>
      </c>
      <c r="S654">
        <v>0</v>
      </c>
      <c r="T654">
        <v>0</v>
      </c>
      <c r="U654">
        <v>0</v>
      </c>
      <c r="W654" t="s">
        <v>62</v>
      </c>
    </row>
    <row r="655" spans="1:42" x14ac:dyDescent="0.35">
      <c r="A655" t="s">
        <v>45</v>
      </c>
      <c r="B655" t="s">
        <v>1483</v>
      </c>
      <c r="C655" t="s">
        <v>63</v>
      </c>
      <c r="D655" t="s">
        <v>1545</v>
      </c>
      <c r="E655" t="s">
        <v>1545</v>
      </c>
      <c r="F655" t="s">
        <v>76</v>
      </c>
      <c r="G655" t="s">
        <v>1552</v>
      </c>
      <c r="H655" t="s">
        <v>1553</v>
      </c>
      <c r="J655" t="str">
        <f>HYPERLINK("https://www.instagram.com/p/C3U7TX_AUmg/","https://www.instagram.com/p/C3U7TX_AUmg/")</f>
        <v>https://www.instagram.com/p/C3U7TX_AUmg/</v>
      </c>
      <c r="O655">
        <v>0</v>
      </c>
      <c r="P655">
        <v>0</v>
      </c>
      <c r="Q655">
        <v>0</v>
      </c>
      <c r="S655">
        <v>0</v>
      </c>
      <c r="T655">
        <v>0</v>
      </c>
      <c r="U655">
        <v>0</v>
      </c>
      <c r="W655" t="s">
        <v>62</v>
      </c>
      <c r="AP655" t="s">
        <v>147</v>
      </c>
    </row>
    <row r="656" spans="1:42" x14ac:dyDescent="0.35">
      <c r="A656" t="s">
        <v>45</v>
      </c>
      <c r="B656" t="s">
        <v>1483</v>
      </c>
      <c r="C656" t="s">
        <v>63</v>
      </c>
      <c r="D656" t="s">
        <v>1545</v>
      </c>
      <c r="E656" t="s">
        <v>1545</v>
      </c>
      <c r="F656" t="s">
        <v>49</v>
      </c>
      <c r="G656" t="s">
        <v>1554</v>
      </c>
      <c r="H656" t="s">
        <v>1555</v>
      </c>
      <c r="J656" t="str">
        <f>HYPERLINK("https://www.instagram.com/p/C3U7TX_AUmg/","https://www.instagram.com/p/C3U7TX_AUmg/")</f>
        <v>https://www.instagram.com/p/C3U7TX_AUmg/</v>
      </c>
      <c r="O656">
        <v>0</v>
      </c>
      <c r="P656">
        <v>0</v>
      </c>
      <c r="Q656">
        <v>0</v>
      </c>
      <c r="S656">
        <v>0</v>
      </c>
      <c r="T656">
        <v>0</v>
      </c>
      <c r="U656">
        <v>0</v>
      </c>
      <c r="W656" t="s">
        <v>62</v>
      </c>
    </row>
    <row r="657" spans="1:45" x14ac:dyDescent="0.35">
      <c r="A657" t="s">
        <v>45</v>
      </c>
      <c r="B657" t="s">
        <v>1483</v>
      </c>
      <c r="C657" t="s">
        <v>58</v>
      </c>
      <c r="D657" t="s">
        <v>1556</v>
      </c>
      <c r="E657" t="s">
        <v>1556</v>
      </c>
      <c r="F657" t="s">
        <v>49</v>
      </c>
      <c r="G657" t="s">
        <v>1557</v>
      </c>
      <c r="H657" t="s">
        <v>1558</v>
      </c>
      <c r="J657" t="str">
        <f>HYPERLINK("https://www.youtube.com/watch?v=JTzOmSvWTbQ","https://www.youtube.com/watch?v=JTzOmSvWTbQ")</f>
        <v>https://www.youtube.com/watch?v=JTzOmSvWTbQ</v>
      </c>
      <c r="O657">
        <v>0</v>
      </c>
      <c r="P657">
        <v>0</v>
      </c>
      <c r="Q657">
        <v>0</v>
      </c>
      <c r="S657">
        <v>0</v>
      </c>
      <c r="T657">
        <v>0</v>
      </c>
      <c r="U657">
        <v>0</v>
      </c>
      <c r="W657" t="s">
        <v>106</v>
      </c>
    </row>
    <row r="658" spans="1:45" x14ac:dyDescent="0.35">
      <c r="A658" t="s">
        <v>45</v>
      </c>
      <c r="B658" t="s">
        <v>1483</v>
      </c>
      <c r="C658" t="s">
        <v>47</v>
      </c>
      <c r="D658" t="s">
        <v>45</v>
      </c>
      <c r="E658" t="s">
        <v>45</v>
      </c>
      <c r="F658" t="s">
        <v>49</v>
      </c>
      <c r="G658" t="s">
        <v>469</v>
      </c>
      <c r="H658" t="s">
        <v>1559</v>
      </c>
      <c r="J658" t="str">
        <f>HYPERLINK("https://www.facebook.com/357267201017935_792134652944920","https://www.facebook.com/357267201017935_792134652944920")</f>
        <v>https://www.facebook.com/357267201017935_792134652944920</v>
      </c>
      <c r="O658">
        <v>0</v>
      </c>
      <c r="P658">
        <v>0</v>
      </c>
      <c r="Q658">
        <v>0</v>
      </c>
      <c r="S658">
        <v>0</v>
      </c>
      <c r="T658">
        <v>0</v>
      </c>
      <c r="U658">
        <v>0</v>
      </c>
      <c r="W658" t="s">
        <v>106</v>
      </c>
      <c r="AS658" t="s">
        <v>115</v>
      </c>
    </row>
    <row r="659" spans="1:45" x14ac:dyDescent="0.35">
      <c r="A659" t="s">
        <v>45</v>
      </c>
      <c r="B659" t="s">
        <v>1483</v>
      </c>
      <c r="C659" t="s">
        <v>47</v>
      </c>
      <c r="D659" t="s">
        <v>45</v>
      </c>
      <c r="E659" t="s">
        <v>45</v>
      </c>
      <c r="F659" t="s">
        <v>49</v>
      </c>
      <c r="G659" t="s">
        <v>586</v>
      </c>
      <c r="H659" t="s">
        <v>1559</v>
      </c>
      <c r="J659" t="str">
        <f>HYPERLINK("https://www.facebook.com/357267201017935_792134649611587","https://www.facebook.com/357267201017935_792134649611587")</f>
        <v>https://www.facebook.com/357267201017935_792134649611587</v>
      </c>
      <c r="O659">
        <v>0</v>
      </c>
      <c r="P659">
        <v>0</v>
      </c>
      <c r="Q659">
        <v>0</v>
      </c>
      <c r="S659">
        <v>0</v>
      </c>
      <c r="T659">
        <v>0</v>
      </c>
      <c r="U659">
        <v>0</v>
      </c>
      <c r="W659" t="s">
        <v>106</v>
      </c>
      <c r="AS659" t="s">
        <v>115</v>
      </c>
    </row>
    <row r="660" spans="1:45" x14ac:dyDescent="0.35">
      <c r="A660" t="s">
        <v>45</v>
      </c>
      <c r="B660" t="s">
        <v>1483</v>
      </c>
      <c r="C660" t="s">
        <v>47</v>
      </c>
      <c r="D660" t="s">
        <v>1560</v>
      </c>
      <c r="E660" t="s">
        <v>1560</v>
      </c>
      <c r="F660" t="s">
        <v>49</v>
      </c>
      <c r="G660" t="s">
        <v>253</v>
      </c>
      <c r="H660" t="s">
        <v>1561</v>
      </c>
      <c r="J660" t="str">
        <f>HYPERLINK("https://www.facebook.com/357267201017935/inbox/7182609881816932/","https://www.facebook.com/357267201017935/inbox/7182609881816932/")</f>
        <v>https://www.facebook.com/357267201017935/inbox/7182609881816932/</v>
      </c>
      <c r="O660">
        <v>0</v>
      </c>
      <c r="P660">
        <v>0</v>
      </c>
      <c r="Q660">
        <v>0</v>
      </c>
      <c r="S660">
        <v>0</v>
      </c>
      <c r="T660">
        <v>0</v>
      </c>
      <c r="U660">
        <v>0</v>
      </c>
      <c r="W660" t="s">
        <v>52</v>
      </c>
    </row>
    <row r="661" spans="1:45" x14ac:dyDescent="0.35">
      <c r="A661" t="s">
        <v>45</v>
      </c>
      <c r="B661" t="s">
        <v>1483</v>
      </c>
      <c r="C661" t="s">
        <v>47</v>
      </c>
      <c r="D661" t="s">
        <v>1560</v>
      </c>
      <c r="E661" t="s">
        <v>1560</v>
      </c>
      <c r="F661" t="s">
        <v>49</v>
      </c>
      <c r="G661" t="s">
        <v>253</v>
      </c>
      <c r="H661" t="s">
        <v>1562</v>
      </c>
      <c r="J661" t="str">
        <f>HYPERLINK("https://www.facebook.com/357267201017935/inbox/7182609881816932/","https://www.facebook.com/357267201017935/inbox/7182609881816932/")</f>
        <v>https://www.facebook.com/357267201017935/inbox/7182609881816932/</v>
      </c>
      <c r="O661">
        <v>0</v>
      </c>
      <c r="P661">
        <v>0</v>
      </c>
      <c r="Q661">
        <v>0</v>
      </c>
      <c r="S661">
        <v>0</v>
      </c>
      <c r="T661">
        <v>0</v>
      </c>
      <c r="U661">
        <v>0</v>
      </c>
      <c r="W661" t="s">
        <v>52</v>
      </c>
    </row>
    <row r="662" spans="1:45" x14ac:dyDescent="0.35">
      <c r="A662" t="s">
        <v>45</v>
      </c>
      <c r="B662" t="s">
        <v>1483</v>
      </c>
      <c r="C662" t="s">
        <v>47</v>
      </c>
      <c r="D662" t="s">
        <v>1563</v>
      </c>
      <c r="E662" t="s">
        <v>1563</v>
      </c>
      <c r="F662" t="s">
        <v>49</v>
      </c>
      <c r="G662" t="s">
        <v>1564</v>
      </c>
      <c r="H662" t="s">
        <v>1565</v>
      </c>
      <c r="J662" t="str">
        <f>HYPERLINK("https://www.facebook.com/357267201017935/inbox/7182593198485267/","https://www.facebook.com/357267201017935/inbox/7182593198485267/")</f>
        <v>https://www.facebook.com/357267201017935/inbox/7182593198485267/</v>
      </c>
      <c r="O662">
        <v>0</v>
      </c>
      <c r="P662">
        <v>0</v>
      </c>
      <c r="Q662">
        <v>0</v>
      </c>
      <c r="S662">
        <v>0</v>
      </c>
      <c r="T662">
        <v>0</v>
      </c>
      <c r="U662">
        <v>0</v>
      </c>
      <c r="W662" t="s">
        <v>52</v>
      </c>
    </row>
    <row r="663" spans="1:45" x14ac:dyDescent="0.35">
      <c r="A663" t="s">
        <v>45</v>
      </c>
      <c r="B663" t="s">
        <v>1483</v>
      </c>
      <c r="C663" t="s">
        <v>47</v>
      </c>
      <c r="D663" t="s">
        <v>1563</v>
      </c>
      <c r="E663" t="s">
        <v>1563</v>
      </c>
      <c r="F663" t="s">
        <v>76</v>
      </c>
      <c r="G663" t="s">
        <v>1566</v>
      </c>
      <c r="H663" t="s">
        <v>1567</v>
      </c>
      <c r="J663" t="str">
        <f>HYPERLINK("https://www.facebook.com/357267201017935/inbox/7182593198485267/","https://www.facebook.com/357267201017935/inbox/7182593198485267/")</f>
        <v>https://www.facebook.com/357267201017935/inbox/7182593198485267/</v>
      </c>
      <c r="O663">
        <v>0</v>
      </c>
      <c r="P663">
        <v>0</v>
      </c>
      <c r="Q663">
        <v>0</v>
      </c>
      <c r="S663">
        <v>0</v>
      </c>
      <c r="T663">
        <v>0</v>
      </c>
      <c r="U663">
        <v>0</v>
      </c>
      <c r="W663" t="s">
        <v>52</v>
      </c>
    </row>
    <row r="664" spans="1:45" x14ac:dyDescent="0.35">
      <c r="A664" t="s">
        <v>45</v>
      </c>
      <c r="B664" t="s">
        <v>1483</v>
      </c>
      <c r="C664" t="s">
        <v>47</v>
      </c>
      <c r="D664" t="s">
        <v>1563</v>
      </c>
      <c r="E664" t="s">
        <v>1563</v>
      </c>
      <c r="F664" t="s">
        <v>49</v>
      </c>
      <c r="G664" t="s">
        <v>50</v>
      </c>
      <c r="H664" t="s">
        <v>1568</v>
      </c>
      <c r="J664" t="str">
        <f>HYPERLINK("https://www.facebook.com/357267201017935/inbox/7182593198485267/","https://www.facebook.com/357267201017935/inbox/7182593198485267/")</f>
        <v>https://www.facebook.com/357267201017935/inbox/7182593198485267/</v>
      </c>
      <c r="O664">
        <v>0</v>
      </c>
      <c r="P664">
        <v>0</v>
      </c>
      <c r="Q664">
        <v>0</v>
      </c>
      <c r="S664">
        <v>0</v>
      </c>
      <c r="T664">
        <v>0</v>
      </c>
      <c r="U664">
        <v>0</v>
      </c>
      <c r="W664" t="s">
        <v>52</v>
      </c>
    </row>
    <row r="665" spans="1:45" x14ac:dyDescent="0.35">
      <c r="A665" t="s">
        <v>45</v>
      </c>
      <c r="B665" t="s">
        <v>1483</v>
      </c>
      <c r="C665" t="s">
        <v>58</v>
      </c>
      <c r="D665" t="s">
        <v>1569</v>
      </c>
      <c r="E665" t="s">
        <v>1569</v>
      </c>
      <c r="F665" t="s">
        <v>49</v>
      </c>
      <c r="G665" t="s">
        <v>1570</v>
      </c>
      <c r="H665" t="s">
        <v>1571</v>
      </c>
      <c r="J665" t="str">
        <f>HYPERLINK("https://www.youtube.com/watch?v=xqF7y1jVR_M","https://www.youtube.com/watch?v=xqF7y1jVR_M")</f>
        <v>https://www.youtube.com/watch?v=xqF7y1jVR_M</v>
      </c>
      <c r="O665">
        <v>0</v>
      </c>
      <c r="P665">
        <v>0</v>
      </c>
      <c r="Q665">
        <v>0</v>
      </c>
      <c r="S665">
        <v>0</v>
      </c>
      <c r="T665">
        <v>0</v>
      </c>
      <c r="U665">
        <v>0</v>
      </c>
      <c r="W665" t="s">
        <v>106</v>
      </c>
      <c r="AP665" t="s">
        <v>101</v>
      </c>
    </row>
    <row r="666" spans="1:45" x14ac:dyDescent="0.35">
      <c r="A666" t="s">
        <v>45</v>
      </c>
      <c r="B666" t="s">
        <v>1483</v>
      </c>
      <c r="C666" t="s">
        <v>47</v>
      </c>
      <c r="D666" t="s">
        <v>1572</v>
      </c>
      <c r="E666" t="s">
        <v>1572</v>
      </c>
      <c r="F666" t="s">
        <v>49</v>
      </c>
      <c r="G666" t="s">
        <v>50</v>
      </c>
      <c r="H666" t="s">
        <v>1573</v>
      </c>
      <c r="J666" t="str">
        <f>HYPERLINK("https://www.facebook.com/357267201017935/inbox/7182483041829616/","https://www.facebook.com/357267201017935/inbox/7182483041829616/")</f>
        <v>https://www.facebook.com/357267201017935/inbox/7182483041829616/</v>
      </c>
      <c r="O666">
        <v>0</v>
      </c>
      <c r="P666">
        <v>0</v>
      </c>
      <c r="Q666">
        <v>0</v>
      </c>
      <c r="S666">
        <v>0</v>
      </c>
      <c r="T666">
        <v>0</v>
      </c>
      <c r="U666">
        <v>0</v>
      </c>
      <c r="W666" t="s">
        <v>52</v>
      </c>
    </row>
    <row r="667" spans="1:45" x14ac:dyDescent="0.35">
      <c r="A667" t="s">
        <v>45</v>
      </c>
      <c r="B667" t="s">
        <v>1483</v>
      </c>
      <c r="C667" t="s">
        <v>58</v>
      </c>
      <c r="D667" t="s">
        <v>1574</v>
      </c>
      <c r="E667" t="s">
        <v>1574</v>
      </c>
      <c r="F667" t="s">
        <v>76</v>
      </c>
      <c r="G667" t="s">
        <v>1575</v>
      </c>
      <c r="H667" t="s">
        <v>1576</v>
      </c>
      <c r="J667" t="str">
        <f>HYPERLINK("https://www.youtube.com/watch?v=OKMVKv_89W8","https://www.youtube.com/watch?v=OKMVKv_89W8")</f>
        <v>https://www.youtube.com/watch?v=OKMVKv_89W8</v>
      </c>
      <c r="O667">
        <v>0</v>
      </c>
      <c r="P667">
        <v>0</v>
      </c>
      <c r="Q667">
        <v>0</v>
      </c>
      <c r="S667">
        <v>0</v>
      </c>
      <c r="T667">
        <v>0</v>
      </c>
      <c r="U667">
        <v>0</v>
      </c>
      <c r="W667" t="s">
        <v>106</v>
      </c>
    </row>
    <row r="668" spans="1:45" x14ac:dyDescent="0.35">
      <c r="A668" t="s">
        <v>45</v>
      </c>
      <c r="B668" t="s">
        <v>1483</v>
      </c>
      <c r="C668" t="s">
        <v>58</v>
      </c>
      <c r="D668" t="s">
        <v>1452</v>
      </c>
      <c r="E668" t="s">
        <v>1452</v>
      </c>
      <c r="F668" t="s">
        <v>49</v>
      </c>
      <c r="G668" t="s">
        <v>1577</v>
      </c>
      <c r="H668" t="s">
        <v>1578</v>
      </c>
      <c r="J668" t="str">
        <f>HYPERLINK("https://www.youtube.com/watch?v=nPAIE2q78io","https://www.youtube.com/watch?v=nPAIE2q78io")</f>
        <v>https://www.youtube.com/watch?v=nPAIE2q78io</v>
      </c>
      <c r="O668">
        <v>0</v>
      </c>
      <c r="P668">
        <v>0</v>
      </c>
      <c r="Q668">
        <v>0</v>
      </c>
      <c r="S668">
        <v>0</v>
      </c>
      <c r="T668">
        <v>0</v>
      </c>
      <c r="U668">
        <v>0</v>
      </c>
      <c r="W668" t="s">
        <v>106</v>
      </c>
    </row>
    <row r="669" spans="1:45" x14ac:dyDescent="0.35">
      <c r="A669" t="s">
        <v>45</v>
      </c>
      <c r="B669" t="s">
        <v>1483</v>
      </c>
      <c r="C669" t="s">
        <v>47</v>
      </c>
      <c r="D669" t="s">
        <v>1560</v>
      </c>
      <c r="E669" t="s">
        <v>1560</v>
      </c>
      <c r="F669" t="s">
        <v>49</v>
      </c>
      <c r="G669" t="s">
        <v>1579</v>
      </c>
      <c r="H669" t="s">
        <v>1580</v>
      </c>
      <c r="J669" t="str">
        <f>HYPERLINK("https://www.facebook.com/photo.php?fbid=791462099678842&amp;set=a.454957326662656&amp;type=3&amp;comment_id=798192359024390","https://www.facebook.com/photo.php?fbid=791462099678842&amp;set=a.454957326662656&amp;type=3&amp;comment_id=798192359024390")</f>
        <v>https://www.facebook.com/photo.php?fbid=791462099678842&amp;set=a.454957326662656&amp;type=3&amp;comment_id=798192359024390</v>
      </c>
      <c r="O669">
        <v>0</v>
      </c>
      <c r="P669">
        <v>0</v>
      </c>
      <c r="Q669">
        <v>0</v>
      </c>
      <c r="S669">
        <v>0</v>
      </c>
      <c r="T669">
        <v>0</v>
      </c>
      <c r="U669">
        <v>0</v>
      </c>
      <c r="W669" t="s">
        <v>62</v>
      </c>
    </row>
    <row r="670" spans="1:45" x14ac:dyDescent="0.35">
      <c r="A670" t="s">
        <v>45</v>
      </c>
      <c r="B670" t="s">
        <v>1483</v>
      </c>
      <c r="C670" t="s">
        <v>47</v>
      </c>
      <c r="D670" t="s">
        <v>1560</v>
      </c>
      <c r="E670" t="s">
        <v>1560</v>
      </c>
      <c r="F670" t="s">
        <v>49</v>
      </c>
      <c r="G670" t="s">
        <v>1581</v>
      </c>
      <c r="H670" t="s">
        <v>1582</v>
      </c>
      <c r="J670" t="str">
        <f>HYPERLINK("https://www.facebook.com/photo.php?fbid=791462099678842&amp;set=a.454957326662656&amp;type=3&amp;comment_id=778102724419649","https://www.facebook.com/photo.php?fbid=791462099678842&amp;set=a.454957326662656&amp;type=3&amp;comment_id=778102724419649")</f>
        <v>https://www.facebook.com/photo.php?fbid=791462099678842&amp;set=a.454957326662656&amp;type=3&amp;comment_id=778102724419649</v>
      </c>
      <c r="O670">
        <v>0</v>
      </c>
      <c r="P670">
        <v>0</v>
      </c>
      <c r="Q670">
        <v>0</v>
      </c>
      <c r="S670">
        <v>0</v>
      </c>
      <c r="T670">
        <v>0</v>
      </c>
      <c r="U670">
        <v>0</v>
      </c>
      <c r="W670" t="s">
        <v>62</v>
      </c>
    </row>
    <row r="671" spans="1:45" x14ac:dyDescent="0.35">
      <c r="A671" t="s">
        <v>45</v>
      </c>
      <c r="B671" t="s">
        <v>1483</v>
      </c>
      <c r="C671" t="s">
        <v>58</v>
      </c>
      <c r="D671" t="s">
        <v>1583</v>
      </c>
      <c r="E671" t="s">
        <v>1583</v>
      </c>
      <c r="F671" t="s">
        <v>76</v>
      </c>
      <c r="G671" t="s">
        <v>1584</v>
      </c>
      <c r="H671" t="s">
        <v>1585</v>
      </c>
      <c r="J671" t="str">
        <f>HYPERLINK("https://www.youtube.com/watch?v=09CVgEXSRZw&amp;lc=UgxrMeLBcmmTfkwpqW14AaABAg","https://www.youtube.com/watch?v=09CVgEXSRZw&amp;lc=UgxrMeLBcmmTfkwpqW14AaABAg")</f>
        <v>https://www.youtube.com/watch?v=09CVgEXSRZw&amp;lc=UgxrMeLBcmmTfkwpqW14AaABAg</v>
      </c>
      <c r="O671">
        <v>0</v>
      </c>
      <c r="P671">
        <v>0</v>
      </c>
      <c r="Q671">
        <v>0</v>
      </c>
      <c r="S671">
        <v>0</v>
      </c>
      <c r="T671">
        <v>0</v>
      </c>
      <c r="U671">
        <v>0</v>
      </c>
      <c r="W671" t="s">
        <v>62</v>
      </c>
    </row>
    <row r="672" spans="1:45" x14ac:dyDescent="0.35">
      <c r="A672" t="s">
        <v>45</v>
      </c>
      <c r="B672" t="s">
        <v>1483</v>
      </c>
      <c r="C672" t="s">
        <v>139</v>
      </c>
      <c r="D672" t="s">
        <v>1199</v>
      </c>
      <c r="E672" t="s">
        <v>1200</v>
      </c>
      <c r="F672" t="s">
        <v>49</v>
      </c>
      <c r="G672" t="s">
        <v>1586</v>
      </c>
      <c r="H672" t="s">
        <v>1587</v>
      </c>
      <c r="J672" t="str">
        <f>HYPERLINK("https://twitter.com/Krishnatripat14/status/1770633753653875140","https://twitter.com/Krishnatripat14/status/1770633753653875140")</f>
        <v>https://twitter.com/Krishnatripat14/status/1770633753653875140</v>
      </c>
      <c r="K672" t="s">
        <v>145</v>
      </c>
      <c r="O672">
        <v>0</v>
      </c>
      <c r="P672">
        <v>0</v>
      </c>
      <c r="Q672">
        <v>105</v>
      </c>
      <c r="R672" t="s">
        <v>1203</v>
      </c>
      <c r="S672">
        <v>0</v>
      </c>
      <c r="T672">
        <v>0</v>
      </c>
      <c r="U672">
        <v>0</v>
      </c>
      <c r="W672" t="s">
        <v>146</v>
      </c>
    </row>
    <row r="673" spans="1:42" x14ac:dyDescent="0.35">
      <c r="A673" t="s">
        <v>45</v>
      </c>
      <c r="B673" t="s">
        <v>1483</v>
      </c>
      <c r="C673" t="s">
        <v>139</v>
      </c>
      <c r="D673" t="s">
        <v>1199</v>
      </c>
      <c r="E673" t="s">
        <v>1200</v>
      </c>
      <c r="F673" t="s">
        <v>142</v>
      </c>
      <c r="G673" t="s">
        <v>1588</v>
      </c>
      <c r="H673" t="s">
        <v>1589</v>
      </c>
      <c r="J673" t="str">
        <f>HYPERLINK("https://twitter.com/Krishnatripat14/status/1770633467854000498","https://twitter.com/Krishnatripat14/status/1770633467854000498")</f>
        <v>https://twitter.com/Krishnatripat14/status/1770633467854000498</v>
      </c>
      <c r="K673" t="s">
        <v>145</v>
      </c>
      <c r="O673">
        <v>0</v>
      </c>
      <c r="P673">
        <v>0</v>
      </c>
      <c r="Q673">
        <v>105</v>
      </c>
      <c r="R673" t="s">
        <v>1203</v>
      </c>
      <c r="S673">
        <v>0</v>
      </c>
      <c r="T673">
        <v>0</v>
      </c>
      <c r="U673">
        <v>0</v>
      </c>
      <c r="W673" t="s">
        <v>146</v>
      </c>
    </row>
    <row r="674" spans="1:42" x14ac:dyDescent="0.35">
      <c r="A674" t="s">
        <v>45</v>
      </c>
      <c r="B674" t="s">
        <v>1483</v>
      </c>
      <c r="C674" t="s">
        <v>139</v>
      </c>
      <c r="D674" t="s">
        <v>1199</v>
      </c>
      <c r="E674" t="s">
        <v>1200</v>
      </c>
      <c r="F674" t="s">
        <v>142</v>
      </c>
      <c r="G674" t="s">
        <v>1588</v>
      </c>
      <c r="H674" t="s">
        <v>1590</v>
      </c>
      <c r="J674" t="str">
        <f>HYPERLINK("https://twitter.com/Krishnatripat14/status/1770633400199913752","https://twitter.com/Krishnatripat14/status/1770633400199913752")</f>
        <v>https://twitter.com/Krishnatripat14/status/1770633400199913752</v>
      </c>
      <c r="K674" t="s">
        <v>145</v>
      </c>
      <c r="O674">
        <v>0</v>
      </c>
      <c r="P674">
        <v>0</v>
      </c>
      <c r="Q674">
        <v>105</v>
      </c>
      <c r="R674" t="s">
        <v>1203</v>
      </c>
      <c r="S674">
        <v>0</v>
      </c>
      <c r="T674">
        <v>0</v>
      </c>
      <c r="U674">
        <v>0</v>
      </c>
      <c r="W674" t="s">
        <v>146</v>
      </c>
      <c r="AP674" t="s">
        <v>147</v>
      </c>
    </row>
    <row r="675" spans="1:42" x14ac:dyDescent="0.35">
      <c r="A675" t="s">
        <v>45</v>
      </c>
      <c r="B675" t="s">
        <v>1483</v>
      </c>
      <c r="C675" t="s">
        <v>139</v>
      </c>
      <c r="D675" t="s">
        <v>1199</v>
      </c>
      <c r="E675" t="s">
        <v>1200</v>
      </c>
      <c r="F675" t="s">
        <v>142</v>
      </c>
      <c r="G675" t="s">
        <v>1588</v>
      </c>
      <c r="H675" t="s">
        <v>1591</v>
      </c>
      <c r="J675" t="str">
        <f>HYPERLINK("https://twitter.com/Krishnatripat14/status/1770633340238082442","https://twitter.com/Krishnatripat14/status/1770633340238082442")</f>
        <v>https://twitter.com/Krishnatripat14/status/1770633340238082442</v>
      </c>
      <c r="K675" t="s">
        <v>145</v>
      </c>
      <c r="O675">
        <v>0</v>
      </c>
      <c r="P675">
        <v>0</v>
      </c>
      <c r="Q675">
        <v>105</v>
      </c>
      <c r="R675" t="s">
        <v>1203</v>
      </c>
      <c r="S675">
        <v>0</v>
      </c>
      <c r="T675">
        <v>0</v>
      </c>
      <c r="U675">
        <v>0</v>
      </c>
      <c r="W675" t="s">
        <v>146</v>
      </c>
      <c r="AP675" t="s">
        <v>147</v>
      </c>
    </row>
    <row r="676" spans="1:42" x14ac:dyDescent="0.35">
      <c r="A676" t="s">
        <v>45</v>
      </c>
      <c r="B676" t="s">
        <v>1483</v>
      </c>
      <c r="C676" t="s">
        <v>139</v>
      </c>
      <c r="D676" t="s">
        <v>1199</v>
      </c>
      <c r="E676" t="s">
        <v>1200</v>
      </c>
      <c r="F676" t="s">
        <v>142</v>
      </c>
      <c r="G676" t="s">
        <v>1588</v>
      </c>
      <c r="H676" t="s">
        <v>1592</v>
      </c>
      <c r="J676" t="str">
        <f>HYPERLINK("https://twitter.com/Krishnatripat14/status/1770633289273086057","https://twitter.com/Krishnatripat14/status/1770633289273086057")</f>
        <v>https://twitter.com/Krishnatripat14/status/1770633289273086057</v>
      </c>
      <c r="K676" t="s">
        <v>145</v>
      </c>
      <c r="O676">
        <v>0</v>
      </c>
      <c r="P676">
        <v>0</v>
      </c>
      <c r="Q676">
        <v>105</v>
      </c>
      <c r="R676" t="s">
        <v>1203</v>
      </c>
      <c r="S676">
        <v>0</v>
      </c>
      <c r="T676">
        <v>0</v>
      </c>
      <c r="U676">
        <v>0</v>
      </c>
      <c r="W676" t="s">
        <v>146</v>
      </c>
      <c r="AP676" t="s">
        <v>147</v>
      </c>
    </row>
    <row r="677" spans="1:42" x14ac:dyDescent="0.35">
      <c r="A677" t="s">
        <v>45</v>
      </c>
      <c r="B677" t="s">
        <v>1483</v>
      </c>
      <c r="C677" t="s">
        <v>139</v>
      </c>
      <c r="D677" t="s">
        <v>1199</v>
      </c>
      <c r="E677" t="s">
        <v>1200</v>
      </c>
      <c r="F677" t="s">
        <v>142</v>
      </c>
      <c r="G677" t="s">
        <v>1588</v>
      </c>
      <c r="H677" t="s">
        <v>1593</v>
      </c>
      <c r="J677" t="str">
        <f>HYPERLINK("https://twitter.com/Krishnatripat14/status/1770633007902368075","https://twitter.com/Krishnatripat14/status/1770633007902368075")</f>
        <v>https://twitter.com/Krishnatripat14/status/1770633007902368075</v>
      </c>
      <c r="K677" t="s">
        <v>145</v>
      </c>
      <c r="O677">
        <v>0</v>
      </c>
      <c r="P677">
        <v>0</v>
      </c>
      <c r="Q677">
        <v>105</v>
      </c>
      <c r="R677" t="s">
        <v>1203</v>
      </c>
      <c r="S677">
        <v>0</v>
      </c>
      <c r="T677">
        <v>0</v>
      </c>
      <c r="U677">
        <v>0</v>
      </c>
      <c r="W677" t="s">
        <v>146</v>
      </c>
      <c r="AP677" t="s">
        <v>147</v>
      </c>
    </row>
    <row r="678" spans="1:42" x14ac:dyDescent="0.35">
      <c r="A678" t="s">
        <v>45</v>
      </c>
      <c r="B678" t="s">
        <v>1483</v>
      </c>
      <c r="C678" t="s">
        <v>63</v>
      </c>
      <c r="D678" t="s">
        <v>1594</v>
      </c>
      <c r="E678" t="s">
        <v>1594</v>
      </c>
      <c r="F678" t="s">
        <v>49</v>
      </c>
      <c r="G678" t="s">
        <v>761</v>
      </c>
      <c r="H678" t="s">
        <v>1595</v>
      </c>
      <c r="J678" t="str">
        <f>HYPERLINK("https://www.instagram.com/p/C4ucfvtgGcP/","https://www.instagram.com/p/C4ucfvtgGcP/")</f>
        <v>https://www.instagram.com/p/C4ucfvtgGcP/</v>
      </c>
      <c r="O678">
        <v>0</v>
      </c>
      <c r="P678">
        <v>0</v>
      </c>
      <c r="Q678">
        <v>0</v>
      </c>
      <c r="S678">
        <v>0</v>
      </c>
      <c r="T678">
        <v>0</v>
      </c>
      <c r="U678">
        <v>0</v>
      </c>
      <c r="W678" t="s">
        <v>62</v>
      </c>
    </row>
    <row r="679" spans="1:42" x14ac:dyDescent="0.35">
      <c r="A679" t="s">
        <v>45</v>
      </c>
      <c r="B679" t="s">
        <v>1483</v>
      </c>
      <c r="C679" t="s">
        <v>139</v>
      </c>
      <c r="D679" t="s">
        <v>1186</v>
      </c>
      <c r="E679" t="s">
        <v>1187</v>
      </c>
      <c r="F679" t="s">
        <v>142</v>
      </c>
      <c r="G679" t="s">
        <v>1596</v>
      </c>
      <c r="H679" t="s">
        <v>1597</v>
      </c>
      <c r="J679" t="str">
        <f>HYPERLINK("https://twitter.com/sufiyan_77/status/1770615827404132740","https://twitter.com/sufiyan_77/status/1770615827404132740")</f>
        <v>https://twitter.com/sufiyan_77/status/1770615827404132740</v>
      </c>
      <c r="K679" t="s">
        <v>145</v>
      </c>
      <c r="O679">
        <v>0</v>
      </c>
      <c r="P679">
        <v>0</v>
      </c>
      <c r="Q679">
        <v>56</v>
      </c>
      <c r="R679" t="s">
        <v>582</v>
      </c>
      <c r="S679">
        <v>0</v>
      </c>
      <c r="T679">
        <v>0</v>
      </c>
      <c r="U679">
        <v>0</v>
      </c>
      <c r="W679" t="s">
        <v>146</v>
      </c>
    </row>
    <row r="680" spans="1:42" x14ac:dyDescent="0.35">
      <c r="A680" t="s">
        <v>45</v>
      </c>
      <c r="B680" t="s">
        <v>1483</v>
      </c>
      <c r="C680" t="s">
        <v>47</v>
      </c>
      <c r="D680" t="s">
        <v>1598</v>
      </c>
      <c r="E680" t="s">
        <v>1598</v>
      </c>
      <c r="F680" t="s">
        <v>49</v>
      </c>
      <c r="G680" t="s">
        <v>1599</v>
      </c>
      <c r="H680" t="s">
        <v>1600</v>
      </c>
      <c r="J680" t="str">
        <f>HYPERLINK("https://www.facebook.com/454965103328545/posts/787618486729870?comment_id=1913151212452098","https://www.facebook.com/454965103328545/posts/787618486729870?comment_id=1913151212452098")</f>
        <v>https://www.facebook.com/454965103328545/posts/787618486729870?comment_id=1913151212452098</v>
      </c>
      <c r="O680">
        <v>0</v>
      </c>
      <c r="P680">
        <v>0</v>
      </c>
      <c r="Q680">
        <v>0</v>
      </c>
      <c r="S680">
        <v>0</v>
      </c>
      <c r="T680">
        <v>0</v>
      </c>
      <c r="U680">
        <v>0</v>
      </c>
      <c r="W680" t="s">
        <v>62</v>
      </c>
    </row>
    <row r="681" spans="1:42" x14ac:dyDescent="0.35">
      <c r="A681" t="s">
        <v>45</v>
      </c>
      <c r="B681" t="s">
        <v>1483</v>
      </c>
      <c r="C681" t="s">
        <v>58</v>
      </c>
      <c r="D681" t="s">
        <v>1601</v>
      </c>
      <c r="E681" t="s">
        <v>1601</v>
      </c>
      <c r="F681" t="s">
        <v>49</v>
      </c>
      <c r="G681" t="s">
        <v>1602</v>
      </c>
      <c r="H681" t="s">
        <v>1603</v>
      </c>
      <c r="J681" t="str">
        <f>HYPERLINK("https://www.youtube.com/watch?v=09CVgEXSRZw&amp;lc=Ugw4_xA0Wu51Ll69av14AaABAg.A1DDya5Uf5LA1DlpZGi4Pv","https://www.youtube.com/watch?v=09CVgEXSRZw&amp;lc=Ugw4_xA0Wu51Ll69av14AaABAg.A1DDya5Uf5LA1DlpZGi4Pv")</f>
        <v>https://www.youtube.com/watch?v=09CVgEXSRZw&amp;lc=Ugw4_xA0Wu51Ll69av14AaABAg.A1DDya5Uf5LA1DlpZGi4Pv</v>
      </c>
      <c r="O681">
        <v>0</v>
      </c>
      <c r="P681">
        <v>0</v>
      </c>
      <c r="Q681">
        <v>0</v>
      </c>
      <c r="S681">
        <v>0</v>
      </c>
      <c r="T681">
        <v>0</v>
      </c>
      <c r="U681">
        <v>0</v>
      </c>
      <c r="W681" t="s">
        <v>62</v>
      </c>
    </row>
    <row r="682" spans="1:42" x14ac:dyDescent="0.35">
      <c r="A682" t="s">
        <v>45</v>
      </c>
      <c r="B682" t="s">
        <v>1604</v>
      </c>
      <c r="C682" t="s">
        <v>58</v>
      </c>
      <c r="D682" t="s">
        <v>752</v>
      </c>
      <c r="E682" t="s">
        <v>752</v>
      </c>
      <c r="F682" t="s">
        <v>49</v>
      </c>
      <c r="G682" t="s">
        <v>1605</v>
      </c>
      <c r="H682" t="s">
        <v>1606</v>
      </c>
      <c r="J682" t="str">
        <f>HYPERLINK("https://www.youtube.com/watch?v=ZhnubNNzNvI","https://www.youtube.com/watch?v=ZhnubNNzNvI")</f>
        <v>https://www.youtube.com/watch?v=ZhnubNNzNvI</v>
      </c>
      <c r="O682">
        <v>0</v>
      </c>
      <c r="P682">
        <v>0</v>
      </c>
      <c r="Q682">
        <v>0</v>
      </c>
      <c r="S682">
        <v>0</v>
      </c>
      <c r="T682">
        <v>0</v>
      </c>
      <c r="U682">
        <v>0</v>
      </c>
      <c r="W682" t="s">
        <v>106</v>
      </c>
      <c r="AP682" t="s">
        <v>101</v>
      </c>
    </row>
    <row r="683" spans="1:42" x14ac:dyDescent="0.35">
      <c r="A683" t="s">
        <v>45</v>
      </c>
      <c r="B683" t="s">
        <v>1604</v>
      </c>
      <c r="C683" t="s">
        <v>58</v>
      </c>
      <c r="D683" t="s">
        <v>1607</v>
      </c>
      <c r="E683" t="s">
        <v>1607</v>
      </c>
      <c r="F683" t="s">
        <v>142</v>
      </c>
      <c r="G683" t="s">
        <v>1608</v>
      </c>
      <c r="H683" t="s">
        <v>1609</v>
      </c>
      <c r="J683" t="str">
        <f>HYPERLINK("https://www.youtube.com/watch?v=09CVgEXSRZw&amp;lc=Ugw4_xA0Wu51Ll69av14AaABAg","https://www.youtube.com/watch?v=09CVgEXSRZw&amp;lc=Ugw4_xA0Wu51Ll69av14AaABAg")</f>
        <v>https://www.youtube.com/watch?v=09CVgEXSRZw&amp;lc=Ugw4_xA0Wu51Ll69av14AaABAg</v>
      </c>
      <c r="O683">
        <v>0</v>
      </c>
      <c r="P683">
        <v>0</v>
      </c>
      <c r="Q683">
        <v>0</v>
      </c>
      <c r="S683">
        <v>0</v>
      </c>
      <c r="T683">
        <v>0</v>
      </c>
      <c r="U683">
        <v>0</v>
      </c>
      <c r="W683" t="s">
        <v>62</v>
      </c>
      <c r="AP683" t="s">
        <v>147</v>
      </c>
    </row>
    <row r="684" spans="1:42" x14ac:dyDescent="0.35">
      <c r="A684" t="s">
        <v>45</v>
      </c>
      <c r="B684" t="s">
        <v>1604</v>
      </c>
      <c r="C684" t="s">
        <v>47</v>
      </c>
      <c r="D684" t="s">
        <v>1610</v>
      </c>
      <c r="E684" t="s">
        <v>1610</v>
      </c>
      <c r="F684" t="s">
        <v>49</v>
      </c>
      <c r="G684" t="s">
        <v>1611</v>
      </c>
      <c r="H684" t="s">
        <v>1612</v>
      </c>
      <c r="J684" t="str">
        <f>HYPERLINK("https://www.facebook.com/454965103328545/posts/771906841634368?comment_id=784488143109551","https://www.facebook.com/454965103328545/posts/771906841634368?comment_id=784488143109551")</f>
        <v>https://www.facebook.com/454965103328545/posts/771906841634368?comment_id=784488143109551</v>
      </c>
      <c r="O684">
        <v>0</v>
      </c>
      <c r="P684">
        <v>0</v>
      </c>
      <c r="Q684">
        <v>0</v>
      </c>
      <c r="S684">
        <v>0</v>
      </c>
      <c r="T684">
        <v>0</v>
      </c>
      <c r="U684">
        <v>0</v>
      </c>
      <c r="W684" t="s">
        <v>62</v>
      </c>
    </row>
    <row r="685" spans="1:42" x14ac:dyDescent="0.35">
      <c r="A685" t="s">
        <v>45</v>
      </c>
      <c r="B685" t="s">
        <v>1604</v>
      </c>
      <c r="C685" t="s">
        <v>139</v>
      </c>
      <c r="D685" t="s">
        <v>1613</v>
      </c>
      <c r="E685" t="s">
        <v>1614</v>
      </c>
      <c r="F685" t="s">
        <v>49</v>
      </c>
      <c r="G685" t="s">
        <v>1615</v>
      </c>
      <c r="H685" t="s">
        <v>1616</v>
      </c>
      <c r="J685" t="str">
        <f>HYPERLINK("https://twitter.com/vikas6918/status/1770492456850612699","https://twitter.com/vikas6918/status/1770492456850612699")</f>
        <v>https://twitter.com/vikas6918/status/1770492456850612699</v>
      </c>
      <c r="K685" t="s">
        <v>145</v>
      </c>
      <c r="O685">
        <v>0</v>
      </c>
      <c r="P685">
        <v>0</v>
      </c>
      <c r="Q685">
        <v>965</v>
      </c>
      <c r="R685" t="s">
        <v>1617</v>
      </c>
      <c r="S685">
        <v>0</v>
      </c>
      <c r="T685">
        <v>0</v>
      </c>
      <c r="U685">
        <v>0</v>
      </c>
      <c r="W685" t="s">
        <v>146</v>
      </c>
      <c r="AP685" t="s">
        <v>101</v>
      </c>
    </row>
    <row r="686" spans="1:42" x14ac:dyDescent="0.35">
      <c r="A686" t="s">
        <v>45</v>
      </c>
      <c r="B686" t="s">
        <v>1604</v>
      </c>
      <c r="C686" t="s">
        <v>47</v>
      </c>
      <c r="D686" t="s">
        <v>445</v>
      </c>
      <c r="E686" t="s">
        <v>445</v>
      </c>
      <c r="F686" t="s">
        <v>49</v>
      </c>
      <c r="G686" t="s">
        <v>1618</v>
      </c>
      <c r="H686" t="s">
        <v>1619</v>
      </c>
      <c r="J686" t="str">
        <f>HYPERLINK("https://www.facebook.com/454965103328545/posts/791462166345502?comment_id=3651005685175019","https://www.facebook.com/454965103328545/posts/791462166345502?comment_id=3651005685175019")</f>
        <v>https://www.facebook.com/454965103328545/posts/791462166345502?comment_id=3651005685175019</v>
      </c>
      <c r="O686">
        <v>0</v>
      </c>
      <c r="P686">
        <v>0</v>
      </c>
      <c r="Q686">
        <v>0</v>
      </c>
      <c r="S686">
        <v>0</v>
      </c>
      <c r="T686">
        <v>0</v>
      </c>
      <c r="U686">
        <v>0</v>
      </c>
      <c r="W686" t="s">
        <v>62</v>
      </c>
    </row>
    <row r="687" spans="1:42" x14ac:dyDescent="0.35">
      <c r="A687" t="s">
        <v>45</v>
      </c>
      <c r="B687" t="s">
        <v>1604</v>
      </c>
      <c r="C687" t="s">
        <v>58</v>
      </c>
      <c r="D687" t="s">
        <v>1620</v>
      </c>
      <c r="E687" t="s">
        <v>1620</v>
      </c>
      <c r="F687" t="s">
        <v>49</v>
      </c>
      <c r="G687" t="s">
        <v>1621</v>
      </c>
      <c r="H687" t="s">
        <v>1622</v>
      </c>
      <c r="J687" t="str">
        <f>HYPERLINK("https://www.youtube.com/watch?v=nNTi7GPdTsw&amp;lc=UgwtF9SIBq7WeBzsmg94AaABAg","https://www.youtube.com/watch?v=nNTi7GPdTsw&amp;lc=UgwtF9SIBq7WeBzsmg94AaABAg")</f>
        <v>https://www.youtube.com/watch?v=nNTi7GPdTsw&amp;lc=UgwtF9SIBq7WeBzsmg94AaABAg</v>
      </c>
      <c r="O687">
        <v>0</v>
      </c>
      <c r="P687">
        <v>0</v>
      </c>
      <c r="Q687">
        <v>0</v>
      </c>
      <c r="S687">
        <v>0</v>
      </c>
      <c r="T687">
        <v>0</v>
      </c>
      <c r="U687">
        <v>0</v>
      </c>
      <c r="W687" t="s">
        <v>62</v>
      </c>
      <c r="AP687" t="s">
        <v>101</v>
      </c>
    </row>
    <row r="688" spans="1:42" x14ac:dyDescent="0.35">
      <c r="A688" t="s">
        <v>45</v>
      </c>
      <c r="B688" t="s">
        <v>1604</v>
      </c>
      <c r="C688" t="s">
        <v>58</v>
      </c>
      <c r="D688" t="s">
        <v>1623</v>
      </c>
      <c r="E688" t="s">
        <v>1623</v>
      </c>
      <c r="F688" t="s">
        <v>49</v>
      </c>
      <c r="G688" t="s">
        <v>1624</v>
      </c>
      <c r="H688" t="s">
        <v>1625</v>
      </c>
      <c r="J688" t="str">
        <f>HYPERLINK("https://www.youtube.com/watch?v=09CVgEXSRZw&amp;lc=UgyRaY0N9El5IiIXiuJ4AaABAg","https://www.youtube.com/watch?v=09CVgEXSRZw&amp;lc=UgyRaY0N9El5IiIXiuJ4AaABAg")</f>
        <v>https://www.youtube.com/watch?v=09CVgEXSRZw&amp;lc=UgyRaY0N9El5IiIXiuJ4AaABAg</v>
      </c>
      <c r="O688">
        <v>0</v>
      </c>
      <c r="P688">
        <v>0</v>
      </c>
      <c r="Q688">
        <v>0</v>
      </c>
      <c r="S688">
        <v>0</v>
      </c>
      <c r="T688">
        <v>0</v>
      </c>
      <c r="U688">
        <v>0</v>
      </c>
      <c r="W688" t="s">
        <v>62</v>
      </c>
    </row>
    <row r="689" spans="1:42" x14ac:dyDescent="0.35">
      <c r="A689" t="s">
        <v>45</v>
      </c>
      <c r="B689" t="s">
        <v>1604</v>
      </c>
      <c r="C689" t="s">
        <v>47</v>
      </c>
      <c r="D689" t="s">
        <v>1626</v>
      </c>
      <c r="E689" t="s">
        <v>1626</v>
      </c>
      <c r="F689" t="s">
        <v>49</v>
      </c>
      <c r="G689" t="s">
        <v>1627</v>
      </c>
      <c r="H689" t="s">
        <v>1628</v>
      </c>
      <c r="J689" t="str">
        <f>HYPERLINK("https://www.facebook.com/454965103328545/posts/788107050014347?comment_id=1459645844973355","https://www.facebook.com/454965103328545/posts/788107050014347?comment_id=1459645844973355")</f>
        <v>https://www.facebook.com/454965103328545/posts/788107050014347?comment_id=1459645844973355</v>
      </c>
      <c r="O689">
        <v>0</v>
      </c>
      <c r="P689">
        <v>0</v>
      </c>
      <c r="Q689">
        <v>0</v>
      </c>
      <c r="S689">
        <v>0</v>
      </c>
      <c r="T689">
        <v>0</v>
      </c>
      <c r="U689">
        <v>0</v>
      </c>
      <c r="W689" t="s">
        <v>62</v>
      </c>
      <c r="AP689" t="s">
        <v>94</v>
      </c>
    </row>
    <row r="690" spans="1:42" x14ac:dyDescent="0.35">
      <c r="A690" t="s">
        <v>45</v>
      </c>
      <c r="B690" t="s">
        <v>1604</v>
      </c>
      <c r="C690" t="s">
        <v>47</v>
      </c>
      <c r="D690" t="s">
        <v>1626</v>
      </c>
      <c r="E690" t="s">
        <v>1626</v>
      </c>
      <c r="F690" t="s">
        <v>49</v>
      </c>
      <c r="G690" t="s">
        <v>1629</v>
      </c>
      <c r="H690" t="s">
        <v>1630</v>
      </c>
      <c r="J690" t="str">
        <f>HYPERLINK("https://www.facebook.com/357267201017935/inbox/7179930972084823/","https://www.facebook.com/357267201017935/inbox/7179930972084823/")</f>
        <v>https://www.facebook.com/357267201017935/inbox/7179930972084823/</v>
      </c>
      <c r="O690">
        <v>0</v>
      </c>
      <c r="P690">
        <v>0</v>
      </c>
      <c r="Q690">
        <v>0</v>
      </c>
      <c r="S690">
        <v>0</v>
      </c>
      <c r="T690">
        <v>0</v>
      </c>
      <c r="U690">
        <v>0</v>
      </c>
      <c r="W690" t="s">
        <v>52</v>
      </c>
      <c r="AP690" t="s">
        <v>94</v>
      </c>
    </row>
    <row r="691" spans="1:42" x14ac:dyDescent="0.35">
      <c r="A691" t="s">
        <v>45</v>
      </c>
      <c r="B691" t="s">
        <v>1604</v>
      </c>
      <c r="C691" t="s">
        <v>47</v>
      </c>
      <c r="D691" t="s">
        <v>1626</v>
      </c>
      <c r="E691" t="s">
        <v>1626</v>
      </c>
      <c r="F691" t="s">
        <v>49</v>
      </c>
      <c r="G691" t="s">
        <v>56</v>
      </c>
      <c r="H691" t="s">
        <v>1631</v>
      </c>
      <c r="J691" t="str">
        <f>HYPERLINK("https://www.facebook.com/357267201017935/inbox/7179930972084823/","https://www.facebook.com/357267201017935/inbox/7179930972084823/")</f>
        <v>https://www.facebook.com/357267201017935/inbox/7179930972084823/</v>
      </c>
      <c r="O691">
        <v>0</v>
      </c>
      <c r="P691">
        <v>0</v>
      </c>
      <c r="Q691">
        <v>0</v>
      </c>
      <c r="S691">
        <v>0</v>
      </c>
      <c r="T691">
        <v>0</v>
      </c>
      <c r="U691">
        <v>0</v>
      </c>
      <c r="W691" t="s">
        <v>52</v>
      </c>
    </row>
    <row r="692" spans="1:42" x14ac:dyDescent="0.35">
      <c r="A692" t="s">
        <v>45</v>
      </c>
      <c r="B692" t="s">
        <v>1604</v>
      </c>
      <c r="C692" t="s">
        <v>63</v>
      </c>
      <c r="D692" t="s">
        <v>1234</v>
      </c>
      <c r="E692" t="s">
        <v>1234</v>
      </c>
      <c r="F692" t="s">
        <v>49</v>
      </c>
      <c r="G692" t="s">
        <v>1235</v>
      </c>
      <c r="H692" t="s">
        <v>1632</v>
      </c>
      <c r="J692" t="str">
        <f>HYPERLINK("https://www.instagram.com/reel/C4iIT3yIyID/","https://www.instagram.com/reel/C4iIT3yIyID/")</f>
        <v>https://www.instagram.com/reel/C4iIT3yIyID/</v>
      </c>
      <c r="O692">
        <v>0</v>
      </c>
      <c r="P692">
        <v>0</v>
      </c>
      <c r="Q692">
        <v>0</v>
      </c>
      <c r="S692">
        <v>0</v>
      </c>
      <c r="T692">
        <v>0</v>
      </c>
      <c r="U692">
        <v>0</v>
      </c>
      <c r="W692" t="s">
        <v>62</v>
      </c>
    </row>
    <row r="693" spans="1:42" x14ac:dyDescent="0.35">
      <c r="A693" t="s">
        <v>45</v>
      </c>
      <c r="B693" t="s">
        <v>1604</v>
      </c>
      <c r="C693" t="s">
        <v>63</v>
      </c>
      <c r="D693" t="s">
        <v>1234</v>
      </c>
      <c r="E693" t="s">
        <v>1234</v>
      </c>
      <c r="F693" t="s">
        <v>142</v>
      </c>
      <c r="G693" t="s">
        <v>1633</v>
      </c>
      <c r="H693" t="s">
        <v>1634</v>
      </c>
      <c r="J693" t="str">
        <f>HYPERLINK("https://www.instagram.com/reel/C4p8KhXCRWe/","https://www.instagram.com/reel/C4p8KhXCRWe/")</f>
        <v>https://www.instagram.com/reel/C4p8KhXCRWe/</v>
      </c>
      <c r="O693">
        <v>0</v>
      </c>
      <c r="P693">
        <v>0</v>
      </c>
      <c r="Q693">
        <v>0</v>
      </c>
      <c r="S693">
        <v>0</v>
      </c>
      <c r="T693">
        <v>0</v>
      </c>
      <c r="U693">
        <v>0</v>
      </c>
      <c r="W693" t="s">
        <v>62</v>
      </c>
    </row>
    <row r="694" spans="1:42" x14ac:dyDescent="0.35">
      <c r="A694" t="s">
        <v>45</v>
      </c>
      <c r="B694" t="s">
        <v>1604</v>
      </c>
      <c r="C694" t="s">
        <v>63</v>
      </c>
      <c r="D694" t="s">
        <v>1234</v>
      </c>
      <c r="E694" t="s">
        <v>1234</v>
      </c>
      <c r="F694" t="s">
        <v>49</v>
      </c>
      <c r="G694" t="s">
        <v>1635</v>
      </c>
      <c r="H694" t="s">
        <v>1636</v>
      </c>
      <c r="J694" t="str">
        <f>HYPERLINK("https://www.instagram.com/reel/C4p8KhXCRWe/","https://www.instagram.com/reel/C4p8KhXCRWe/")</f>
        <v>https://www.instagram.com/reel/C4p8KhXCRWe/</v>
      </c>
      <c r="O694">
        <v>0</v>
      </c>
      <c r="P694">
        <v>0</v>
      </c>
      <c r="Q694">
        <v>0</v>
      </c>
      <c r="S694">
        <v>0</v>
      </c>
      <c r="T694">
        <v>0</v>
      </c>
      <c r="U694">
        <v>0</v>
      </c>
      <c r="W694" t="s">
        <v>62</v>
      </c>
    </row>
    <row r="695" spans="1:42" x14ac:dyDescent="0.35">
      <c r="A695" t="s">
        <v>45</v>
      </c>
      <c r="B695" t="s">
        <v>1604</v>
      </c>
      <c r="C695" t="s">
        <v>63</v>
      </c>
      <c r="D695" t="s">
        <v>1234</v>
      </c>
      <c r="E695" t="s">
        <v>1234</v>
      </c>
      <c r="F695" t="s">
        <v>142</v>
      </c>
      <c r="G695" t="s">
        <v>1637</v>
      </c>
      <c r="H695" t="s">
        <v>1638</v>
      </c>
      <c r="J695" t="str">
        <f>HYPERLINK("https://www.instagram.com/reel/C4ujPxSBhKc/","https://www.instagram.com/reel/C4ujPxSBhKc/")</f>
        <v>https://www.instagram.com/reel/C4ujPxSBhKc/</v>
      </c>
      <c r="O695">
        <v>0</v>
      </c>
      <c r="P695">
        <v>0</v>
      </c>
      <c r="Q695">
        <v>0</v>
      </c>
      <c r="S695">
        <v>0</v>
      </c>
      <c r="T695">
        <v>0</v>
      </c>
      <c r="U695">
        <v>0</v>
      </c>
      <c r="W695" t="s">
        <v>62</v>
      </c>
    </row>
    <row r="696" spans="1:42" x14ac:dyDescent="0.35">
      <c r="A696" t="s">
        <v>45</v>
      </c>
      <c r="B696" t="s">
        <v>1604</v>
      </c>
      <c r="C696" t="s">
        <v>63</v>
      </c>
      <c r="D696" t="s">
        <v>1234</v>
      </c>
      <c r="E696" t="s">
        <v>1234</v>
      </c>
      <c r="F696" t="s">
        <v>49</v>
      </c>
      <c r="G696" t="s">
        <v>506</v>
      </c>
      <c r="H696" t="s">
        <v>1639</v>
      </c>
      <c r="J696" t="str">
        <f>HYPERLINK("https://www.instagram.com/reel/C4ujPxSBhKc/","https://www.instagram.com/reel/C4ujPxSBhKc/")</f>
        <v>https://www.instagram.com/reel/C4ujPxSBhKc/</v>
      </c>
      <c r="O696">
        <v>0</v>
      </c>
      <c r="P696">
        <v>0</v>
      </c>
      <c r="Q696">
        <v>0</v>
      </c>
      <c r="S696">
        <v>0</v>
      </c>
      <c r="T696">
        <v>0</v>
      </c>
      <c r="U696">
        <v>0</v>
      </c>
      <c r="W696" t="s">
        <v>62</v>
      </c>
    </row>
    <row r="697" spans="1:42" x14ac:dyDescent="0.35">
      <c r="A697" t="s">
        <v>45</v>
      </c>
      <c r="B697" t="s">
        <v>1604</v>
      </c>
      <c r="C697" t="s">
        <v>63</v>
      </c>
      <c r="D697" t="s">
        <v>1234</v>
      </c>
      <c r="E697" t="s">
        <v>1234</v>
      </c>
      <c r="F697" t="s">
        <v>49</v>
      </c>
      <c r="G697" t="s">
        <v>1640</v>
      </c>
      <c r="H697" t="s">
        <v>1641</v>
      </c>
      <c r="J697" t="str">
        <f>HYPERLINK("https://www.instagram.com/reel/C4p8KhXCRWe/","https://www.instagram.com/reel/C4p8KhXCRWe/")</f>
        <v>https://www.instagram.com/reel/C4p8KhXCRWe/</v>
      </c>
      <c r="O697">
        <v>0</v>
      </c>
      <c r="P697">
        <v>0</v>
      </c>
      <c r="Q697">
        <v>0</v>
      </c>
      <c r="S697">
        <v>0</v>
      </c>
      <c r="T697">
        <v>0</v>
      </c>
      <c r="U697">
        <v>0</v>
      </c>
      <c r="W697" t="s">
        <v>62</v>
      </c>
    </row>
    <row r="698" spans="1:42" x14ac:dyDescent="0.35">
      <c r="A698" t="s">
        <v>45</v>
      </c>
      <c r="B698" t="s">
        <v>1604</v>
      </c>
      <c r="C698" t="s">
        <v>63</v>
      </c>
      <c r="D698" t="s">
        <v>1234</v>
      </c>
      <c r="E698" t="s">
        <v>1234</v>
      </c>
      <c r="F698" t="s">
        <v>49</v>
      </c>
      <c r="G698" t="s">
        <v>1235</v>
      </c>
      <c r="H698" t="s">
        <v>1642</v>
      </c>
      <c r="J698" t="str">
        <f>HYPERLINK("https://www.instagram.com/reel/C4p8KhXCRWe/","https://www.instagram.com/reel/C4p8KhXCRWe/")</f>
        <v>https://www.instagram.com/reel/C4p8KhXCRWe/</v>
      </c>
      <c r="O698">
        <v>0</v>
      </c>
      <c r="P698">
        <v>0</v>
      </c>
      <c r="Q698">
        <v>0</v>
      </c>
      <c r="S698">
        <v>0</v>
      </c>
      <c r="T698">
        <v>0</v>
      </c>
      <c r="U698">
        <v>0</v>
      </c>
      <c r="W698" t="s">
        <v>62</v>
      </c>
    </row>
    <row r="699" spans="1:42" x14ac:dyDescent="0.35">
      <c r="A699" t="s">
        <v>45</v>
      </c>
      <c r="B699" t="s">
        <v>1604</v>
      </c>
      <c r="C699" t="s">
        <v>58</v>
      </c>
      <c r="D699" t="s">
        <v>1217</v>
      </c>
      <c r="E699" t="s">
        <v>1217</v>
      </c>
      <c r="F699" t="s">
        <v>49</v>
      </c>
      <c r="G699" t="s">
        <v>1643</v>
      </c>
      <c r="H699" t="s">
        <v>1644</v>
      </c>
      <c r="J699" t="str">
        <f>HYPERLINK("https://www.youtube.com/watch?v=LZqPL_CU7o0","https://www.youtube.com/watch?v=LZqPL_CU7o0")</f>
        <v>https://www.youtube.com/watch?v=LZqPL_CU7o0</v>
      </c>
      <c r="O699">
        <v>0</v>
      </c>
      <c r="P699">
        <v>0</v>
      </c>
      <c r="Q699">
        <v>0</v>
      </c>
      <c r="S699">
        <v>0</v>
      </c>
      <c r="T699">
        <v>0</v>
      </c>
      <c r="U699">
        <v>0</v>
      </c>
      <c r="W699" t="s">
        <v>106</v>
      </c>
      <c r="AP699" t="s">
        <v>101</v>
      </c>
    </row>
    <row r="700" spans="1:42" x14ac:dyDescent="0.35">
      <c r="A700" t="s">
        <v>45</v>
      </c>
      <c r="B700" t="s">
        <v>1604</v>
      </c>
      <c r="C700" t="s">
        <v>47</v>
      </c>
      <c r="D700" t="s">
        <v>1645</v>
      </c>
      <c r="E700" t="s">
        <v>1645</v>
      </c>
      <c r="F700" t="s">
        <v>49</v>
      </c>
      <c r="G700" t="s">
        <v>1646</v>
      </c>
      <c r="H700" t="s">
        <v>1647</v>
      </c>
      <c r="J700" t="str">
        <f>HYPERLINK("https://www.facebook.com/454965103328545/videos/1792369101228633?comment_id=1159193518828875","https://www.facebook.com/454965103328545/videos/1792369101228633?comment_id=1159193518828875")</f>
        <v>https://www.facebook.com/454965103328545/videos/1792369101228633?comment_id=1159193518828875</v>
      </c>
      <c r="O700">
        <v>0</v>
      </c>
      <c r="P700">
        <v>0</v>
      </c>
      <c r="Q700">
        <v>0</v>
      </c>
      <c r="S700">
        <v>0</v>
      </c>
      <c r="T700">
        <v>0</v>
      </c>
      <c r="U700">
        <v>0</v>
      </c>
      <c r="W700" t="s">
        <v>62</v>
      </c>
    </row>
    <row r="701" spans="1:42" x14ac:dyDescent="0.35">
      <c r="A701" t="s">
        <v>45</v>
      </c>
      <c r="B701" t="s">
        <v>1604</v>
      </c>
      <c r="C701" t="s">
        <v>58</v>
      </c>
      <c r="D701" t="s">
        <v>1142</v>
      </c>
      <c r="E701" t="s">
        <v>1142</v>
      </c>
      <c r="F701" t="s">
        <v>49</v>
      </c>
      <c r="G701" t="s">
        <v>1648</v>
      </c>
      <c r="H701" t="s">
        <v>1649</v>
      </c>
      <c r="J701" t="str">
        <f>HYPERLINK("https://www.youtube.com/watch?v=WHPit7Cf3j0","https://www.youtube.com/watch?v=WHPit7Cf3j0")</f>
        <v>https://www.youtube.com/watch?v=WHPit7Cf3j0</v>
      </c>
      <c r="O701">
        <v>0</v>
      </c>
      <c r="P701">
        <v>0</v>
      </c>
      <c r="Q701">
        <v>0</v>
      </c>
      <c r="S701">
        <v>0</v>
      </c>
      <c r="T701">
        <v>0</v>
      </c>
      <c r="U701">
        <v>0</v>
      </c>
      <c r="W701" t="s">
        <v>106</v>
      </c>
      <c r="AP701" t="s">
        <v>101</v>
      </c>
    </row>
    <row r="702" spans="1:42" x14ac:dyDescent="0.35">
      <c r="A702" t="s">
        <v>45</v>
      </c>
      <c r="B702" t="s">
        <v>1604</v>
      </c>
      <c r="C702" t="s">
        <v>58</v>
      </c>
      <c r="D702" t="s">
        <v>1650</v>
      </c>
      <c r="E702" t="s">
        <v>1650</v>
      </c>
      <c r="F702" t="s">
        <v>49</v>
      </c>
      <c r="G702" t="s">
        <v>1651</v>
      </c>
      <c r="H702" t="s">
        <v>1652</v>
      </c>
      <c r="J702" t="str">
        <f>HYPERLINK("https://www.youtube.com/watch?v=09CVgEXSRZw&amp;lc=UgyHLgpVqd-7LsgiCZ14AaABAg","https://www.youtube.com/watch?v=09CVgEXSRZw&amp;lc=UgyHLgpVqd-7LsgiCZ14AaABAg")</f>
        <v>https://www.youtube.com/watch?v=09CVgEXSRZw&amp;lc=UgyHLgpVqd-7LsgiCZ14AaABAg</v>
      </c>
      <c r="O702">
        <v>0</v>
      </c>
      <c r="P702">
        <v>0</v>
      </c>
      <c r="Q702">
        <v>0</v>
      </c>
      <c r="S702">
        <v>0</v>
      </c>
      <c r="T702">
        <v>0</v>
      </c>
      <c r="U702">
        <v>0</v>
      </c>
      <c r="W702" t="s">
        <v>62</v>
      </c>
    </row>
    <row r="703" spans="1:42" x14ac:dyDescent="0.35">
      <c r="A703" t="s">
        <v>45</v>
      </c>
      <c r="B703" t="s">
        <v>1604</v>
      </c>
      <c r="C703" t="s">
        <v>58</v>
      </c>
      <c r="D703" t="s">
        <v>1650</v>
      </c>
      <c r="E703" t="s">
        <v>1650</v>
      </c>
      <c r="F703" t="s">
        <v>49</v>
      </c>
      <c r="G703" t="s">
        <v>1653</v>
      </c>
      <c r="H703" t="s">
        <v>1654</v>
      </c>
      <c r="J703" t="str">
        <f>HYPERLINK("https://www.youtube.com/watch?v=09CVgEXSRZw&amp;lc=Ugy5l2vaJwEFkDsJKJl4AaABAg","https://www.youtube.com/watch?v=09CVgEXSRZw&amp;lc=Ugy5l2vaJwEFkDsJKJl4AaABAg")</f>
        <v>https://www.youtube.com/watch?v=09CVgEXSRZw&amp;lc=Ugy5l2vaJwEFkDsJKJl4AaABAg</v>
      </c>
      <c r="O703">
        <v>0</v>
      </c>
      <c r="P703">
        <v>0</v>
      </c>
      <c r="Q703">
        <v>0</v>
      </c>
      <c r="S703">
        <v>0</v>
      </c>
      <c r="T703">
        <v>0</v>
      </c>
      <c r="U703">
        <v>0</v>
      </c>
      <c r="W703" t="s">
        <v>62</v>
      </c>
    </row>
    <row r="704" spans="1:42" x14ac:dyDescent="0.35">
      <c r="A704" t="s">
        <v>45</v>
      </c>
      <c r="B704" t="s">
        <v>1604</v>
      </c>
      <c r="C704" t="s">
        <v>63</v>
      </c>
      <c r="D704" t="s">
        <v>1655</v>
      </c>
      <c r="E704" t="s">
        <v>1655</v>
      </c>
      <c r="F704" t="s">
        <v>49</v>
      </c>
      <c r="G704" t="s">
        <v>1656</v>
      </c>
      <c r="H704" t="s">
        <v>1657</v>
      </c>
      <c r="J704" t="str">
        <f>HYPERLINK("https://www.instagram.com/p/C4uEAzXoQwB/","https://www.instagram.com/p/C4uEAzXoQwB/")</f>
        <v>https://www.instagram.com/p/C4uEAzXoQwB/</v>
      </c>
      <c r="O704">
        <v>0</v>
      </c>
      <c r="P704">
        <v>0</v>
      </c>
      <c r="Q704">
        <v>0</v>
      </c>
      <c r="S704">
        <v>0</v>
      </c>
      <c r="T704">
        <v>0</v>
      </c>
      <c r="U704">
        <v>0</v>
      </c>
      <c r="W704" t="s">
        <v>62</v>
      </c>
    </row>
    <row r="705" spans="1:45" x14ac:dyDescent="0.35">
      <c r="A705" t="s">
        <v>45</v>
      </c>
      <c r="B705" t="s">
        <v>1604</v>
      </c>
      <c r="C705" t="s">
        <v>58</v>
      </c>
      <c r="D705" t="s">
        <v>1658</v>
      </c>
      <c r="E705" t="s">
        <v>1658</v>
      </c>
      <c r="F705" t="s">
        <v>76</v>
      </c>
      <c r="G705" t="s">
        <v>1659</v>
      </c>
      <c r="H705" t="s">
        <v>1660</v>
      </c>
      <c r="J705" t="str">
        <f>HYPERLINK("https://www.youtube.com/watch?v=09CVgEXSRZw&amp;lc=UgzB_pqQ9OJJ-AT1Hbt4AaABAg.A1CnpzAsDzpA1CpuKn6p2I","https://www.youtube.com/watch?v=09CVgEXSRZw&amp;lc=UgzB_pqQ9OJJ-AT1Hbt4AaABAg.A1CnpzAsDzpA1CpuKn6p2I")</f>
        <v>https://www.youtube.com/watch?v=09CVgEXSRZw&amp;lc=UgzB_pqQ9OJJ-AT1Hbt4AaABAg.A1CnpzAsDzpA1CpuKn6p2I</v>
      </c>
      <c r="O705">
        <v>0</v>
      </c>
      <c r="P705">
        <v>0</v>
      </c>
      <c r="Q705">
        <v>0</v>
      </c>
      <c r="S705">
        <v>0</v>
      </c>
      <c r="T705">
        <v>0</v>
      </c>
      <c r="U705">
        <v>0</v>
      </c>
      <c r="W705" t="s">
        <v>62</v>
      </c>
    </row>
    <row r="706" spans="1:45" x14ac:dyDescent="0.35">
      <c r="A706" t="s">
        <v>45</v>
      </c>
      <c r="B706" t="s">
        <v>1604</v>
      </c>
      <c r="C706" t="s">
        <v>58</v>
      </c>
      <c r="D706" t="s">
        <v>1658</v>
      </c>
      <c r="E706" t="s">
        <v>1658</v>
      </c>
      <c r="F706" t="s">
        <v>76</v>
      </c>
      <c r="G706" t="s">
        <v>1661</v>
      </c>
      <c r="H706" t="s">
        <v>1662</v>
      </c>
      <c r="J706" t="str">
        <f>HYPERLINK("https://www.youtube.com/watch?v=09CVgEXSRZw&amp;lc=UgzB_pqQ9OJJ-AT1Hbt4AaABAg.A1CnpzAsDzpA1CpqtxEcQT","https://www.youtube.com/watch?v=09CVgEXSRZw&amp;lc=UgzB_pqQ9OJJ-AT1Hbt4AaABAg.A1CnpzAsDzpA1CpqtxEcQT")</f>
        <v>https://www.youtube.com/watch?v=09CVgEXSRZw&amp;lc=UgzB_pqQ9OJJ-AT1Hbt4AaABAg.A1CnpzAsDzpA1CpqtxEcQT</v>
      </c>
      <c r="O706">
        <v>0</v>
      </c>
      <c r="P706">
        <v>0</v>
      </c>
      <c r="Q706">
        <v>0</v>
      </c>
      <c r="S706">
        <v>0</v>
      </c>
      <c r="T706">
        <v>0</v>
      </c>
      <c r="U706">
        <v>0</v>
      </c>
      <c r="W706" t="s">
        <v>62</v>
      </c>
    </row>
    <row r="707" spans="1:45" x14ac:dyDescent="0.35">
      <c r="A707" t="s">
        <v>45</v>
      </c>
      <c r="B707" t="s">
        <v>1604</v>
      </c>
      <c r="C707" t="s">
        <v>58</v>
      </c>
      <c r="D707" t="s">
        <v>1663</v>
      </c>
      <c r="E707" t="s">
        <v>1663</v>
      </c>
      <c r="F707" t="s">
        <v>49</v>
      </c>
      <c r="G707" t="s">
        <v>1664</v>
      </c>
      <c r="H707" t="s">
        <v>1665</v>
      </c>
      <c r="J707" t="str">
        <f>HYPERLINK("https://www.youtube.com/watch?v=09CVgEXSRZw&amp;lc=UgzB_pqQ9OJJ-AT1Hbt4AaABAg.A1CnpzAsDzpA1CpH_0g7LZ","https://www.youtube.com/watch?v=09CVgEXSRZw&amp;lc=UgzB_pqQ9OJJ-AT1Hbt4AaABAg.A1CnpzAsDzpA1CpH_0g7LZ")</f>
        <v>https://www.youtube.com/watch?v=09CVgEXSRZw&amp;lc=UgzB_pqQ9OJJ-AT1Hbt4AaABAg.A1CnpzAsDzpA1CpH_0g7LZ</v>
      </c>
      <c r="O707">
        <v>0</v>
      </c>
      <c r="P707">
        <v>0</v>
      </c>
      <c r="Q707">
        <v>0</v>
      </c>
      <c r="S707">
        <v>0</v>
      </c>
      <c r="T707">
        <v>0</v>
      </c>
      <c r="U707">
        <v>0</v>
      </c>
      <c r="W707" t="s">
        <v>62</v>
      </c>
    </row>
    <row r="708" spans="1:45" x14ac:dyDescent="0.35">
      <c r="A708" t="s">
        <v>45</v>
      </c>
      <c r="B708" t="s">
        <v>1604</v>
      </c>
      <c r="C708" t="s">
        <v>58</v>
      </c>
      <c r="D708" t="s">
        <v>1666</v>
      </c>
      <c r="E708" t="s">
        <v>1666</v>
      </c>
      <c r="F708" t="s">
        <v>49</v>
      </c>
      <c r="G708" t="s">
        <v>1667</v>
      </c>
      <c r="H708" t="s">
        <v>1668</v>
      </c>
      <c r="J708" t="str">
        <f>HYPERLINK("https://www.youtube.com/watch?v=LA4cZ184WuU","https://www.youtube.com/watch?v=LA4cZ184WuU")</f>
        <v>https://www.youtube.com/watch?v=LA4cZ184WuU</v>
      </c>
      <c r="O708">
        <v>0</v>
      </c>
      <c r="P708">
        <v>0</v>
      </c>
      <c r="Q708">
        <v>0</v>
      </c>
      <c r="S708">
        <v>0</v>
      </c>
      <c r="T708">
        <v>0</v>
      </c>
      <c r="U708">
        <v>0</v>
      </c>
      <c r="W708" t="s">
        <v>106</v>
      </c>
    </row>
    <row r="709" spans="1:45" x14ac:dyDescent="0.35">
      <c r="A709" t="s">
        <v>45</v>
      </c>
      <c r="B709" t="s">
        <v>1604</v>
      </c>
      <c r="C709" t="s">
        <v>58</v>
      </c>
      <c r="D709" t="s">
        <v>1669</v>
      </c>
      <c r="E709" t="s">
        <v>1669</v>
      </c>
      <c r="F709" t="s">
        <v>142</v>
      </c>
      <c r="G709" t="s">
        <v>1670</v>
      </c>
      <c r="H709" t="s">
        <v>1671</v>
      </c>
      <c r="J709" t="str">
        <f>HYPERLINK("https://www.youtube.com/watch?v=09CVgEXSRZw&amp;lc=UgzB_pqQ9OJJ-AT1Hbt4AaABAg.A1CnpzAsDzpA1CoPSl5UrV","https://www.youtube.com/watch?v=09CVgEXSRZw&amp;lc=UgzB_pqQ9OJJ-AT1Hbt4AaABAg.A1CnpzAsDzpA1CoPSl5UrV")</f>
        <v>https://www.youtube.com/watch?v=09CVgEXSRZw&amp;lc=UgzB_pqQ9OJJ-AT1Hbt4AaABAg.A1CnpzAsDzpA1CoPSl5UrV</v>
      </c>
      <c r="O709">
        <v>0</v>
      </c>
      <c r="P709">
        <v>0</v>
      </c>
      <c r="Q709">
        <v>0</v>
      </c>
      <c r="S709">
        <v>0</v>
      </c>
      <c r="T709">
        <v>0</v>
      </c>
      <c r="U709">
        <v>0</v>
      </c>
      <c r="W709" t="s">
        <v>62</v>
      </c>
      <c r="AP709" t="s">
        <v>147</v>
      </c>
    </row>
    <row r="710" spans="1:45" x14ac:dyDescent="0.35">
      <c r="A710" t="s">
        <v>45</v>
      </c>
      <c r="B710" t="s">
        <v>1604</v>
      </c>
      <c r="C710" t="s">
        <v>47</v>
      </c>
      <c r="D710" t="s">
        <v>1672</v>
      </c>
      <c r="E710" t="s">
        <v>1672</v>
      </c>
      <c r="F710" t="s">
        <v>49</v>
      </c>
      <c r="G710" t="s">
        <v>1673</v>
      </c>
      <c r="H710" t="s">
        <v>1674</v>
      </c>
      <c r="J710" t="str">
        <f>HYPERLINK("https://www.facebook.com/454965103328545/posts/790436683114717?comment_id=318028384620630","https://www.facebook.com/454965103328545/posts/790436683114717?comment_id=318028384620630")</f>
        <v>https://www.facebook.com/454965103328545/posts/790436683114717?comment_id=318028384620630</v>
      </c>
      <c r="O710">
        <v>0</v>
      </c>
      <c r="P710">
        <v>0</v>
      </c>
      <c r="Q710">
        <v>0</v>
      </c>
      <c r="S710">
        <v>0</v>
      </c>
      <c r="T710">
        <v>0</v>
      </c>
      <c r="U710">
        <v>0</v>
      </c>
      <c r="W710" t="s">
        <v>62</v>
      </c>
    </row>
    <row r="711" spans="1:45" x14ac:dyDescent="0.35">
      <c r="A711" t="s">
        <v>45</v>
      </c>
      <c r="B711" t="s">
        <v>1604</v>
      </c>
      <c r="C711" t="s">
        <v>58</v>
      </c>
      <c r="D711" t="s">
        <v>1663</v>
      </c>
      <c r="E711" t="s">
        <v>1663</v>
      </c>
      <c r="F711" t="s">
        <v>142</v>
      </c>
      <c r="G711" t="s">
        <v>1675</v>
      </c>
      <c r="H711" t="s">
        <v>1676</v>
      </c>
      <c r="J711" t="str">
        <f>HYPERLINK("https://www.youtube.com/watch?v=09CVgEXSRZw&amp;lc=UgzB_pqQ9OJJ-AT1Hbt4AaABAg","https://www.youtube.com/watch?v=09CVgEXSRZw&amp;lc=UgzB_pqQ9OJJ-AT1Hbt4AaABAg")</f>
        <v>https://www.youtube.com/watch?v=09CVgEXSRZw&amp;lc=UgzB_pqQ9OJJ-AT1Hbt4AaABAg</v>
      </c>
      <c r="O711">
        <v>0</v>
      </c>
      <c r="P711">
        <v>0</v>
      </c>
      <c r="Q711">
        <v>0</v>
      </c>
      <c r="S711">
        <v>0</v>
      </c>
      <c r="T711">
        <v>0</v>
      </c>
      <c r="U711">
        <v>0</v>
      </c>
      <c r="W711" t="s">
        <v>62</v>
      </c>
      <c r="AP711" t="s">
        <v>147</v>
      </c>
    </row>
    <row r="712" spans="1:45" x14ac:dyDescent="0.35">
      <c r="A712" t="s">
        <v>45</v>
      </c>
      <c r="B712" t="s">
        <v>1604</v>
      </c>
      <c r="C712" t="s">
        <v>58</v>
      </c>
      <c r="D712" t="s">
        <v>45</v>
      </c>
      <c r="E712" t="s">
        <v>45</v>
      </c>
      <c r="F712" t="s">
        <v>49</v>
      </c>
      <c r="G712" t="s">
        <v>1677</v>
      </c>
      <c r="H712" t="s">
        <v>1678</v>
      </c>
      <c r="J712" t="str">
        <f>HYPERLINK("https://www.youtube.com/watch?v=09CVgEXSRZw","https://www.youtube.com/watch?v=09CVgEXSRZw")</f>
        <v>https://www.youtube.com/watch?v=09CVgEXSRZw</v>
      </c>
      <c r="O712">
        <v>0</v>
      </c>
      <c r="P712">
        <v>0</v>
      </c>
      <c r="Q712">
        <v>0</v>
      </c>
      <c r="S712">
        <v>0</v>
      </c>
      <c r="T712">
        <v>0</v>
      </c>
      <c r="U712">
        <v>0</v>
      </c>
      <c r="W712" t="s">
        <v>106</v>
      </c>
    </row>
    <row r="713" spans="1:45" x14ac:dyDescent="0.35">
      <c r="A713" t="s">
        <v>45</v>
      </c>
      <c r="B713" t="s">
        <v>1604</v>
      </c>
      <c r="C713" t="s">
        <v>58</v>
      </c>
      <c r="D713" t="s">
        <v>1679</v>
      </c>
      <c r="E713" t="s">
        <v>1679</v>
      </c>
      <c r="F713" t="s">
        <v>76</v>
      </c>
      <c r="G713" t="s">
        <v>1680</v>
      </c>
      <c r="H713" t="s">
        <v>1681</v>
      </c>
      <c r="J713" t="str">
        <f>HYPERLINK("https://www.youtube.com/watch?v=H5C22mDrsNo","https://www.youtube.com/watch?v=H5C22mDrsNo")</f>
        <v>https://www.youtube.com/watch?v=H5C22mDrsNo</v>
      </c>
      <c r="O713">
        <v>0</v>
      </c>
      <c r="P713">
        <v>0</v>
      </c>
      <c r="Q713">
        <v>0</v>
      </c>
      <c r="S713">
        <v>0</v>
      </c>
      <c r="T713">
        <v>0</v>
      </c>
      <c r="U713">
        <v>0</v>
      </c>
      <c r="W713" t="s">
        <v>106</v>
      </c>
      <c r="AP713" t="s">
        <v>101</v>
      </c>
    </row>
    <row r="714" spans="1:45" x14ac:dyDescent="0.35">
      <c r="A714" t="s">
        <v>45</v>
      </c>
      <c r="B714" t="s">
        <v>1604</v>
      </c>
      <c r="C714" t="s">
        <v>58</v>
      </c>
      <c r="D714" t="s">
        <v>1682</v>
      </c>
      <c r="E714" t="s">
        <v>1682</v>
      </c>
      <c r="F714" t="s">
        <v>49</v>
      </c>
      <c r="G714" t="s">
        <v>1683</v>
      </c>
      <c r="H714" t="s">
        <v>1684</v>
      </c>
      <c r="J714" t="str">
        <f>HYPERLINK("https://www.youtube.com/watch?v=nNTi7GPdTsw&amp;lc=Ugx7aOr8jnFMbcg4fCR4AaABAg","https://www.youtube.com/watch?v=nNTi7GPdTsw&amp;lc=Ugx7aOr8jnFMbcg4fCR4AaABAg")</f>
        <v>https://www.youtube.com/watch?v=nNTi7GPdTsw&amp;lc=Ugx7aOr8jnFMbcg4fCR4AaABAg</v>
      </c>
      <c r="O714">
        <v>0</v>
      </c>
      <c r="P714">
        <v>0</v>
      </c>
      <c r="Q714">
        <v>0</v>
      </c>
      <c r="S714">
        <v>0</v>
      </c>
      <c r="T714">
        <v>0</v>
      </c>
      <c r="U714">
        <v>0</v>
      </c>
      <c r="W714" t="s">
        <v>62</v>
      </c>
    </row>
    <row r="715" spans="1:45" x14ac:dyDescent="0.35">
      <c r="A715" t="s">
        <v>45</v>
      </c>
      <c r="B715" t="s">
        <v>1604</v>
      </c>
      <c r="C715" t="s">
        <v>58</v>
      </c>
      <c r="D715" t="s">
        <v>1685</v>
      </c>
      <c r="E715" t="s">
        <v>1685</v>
      </c>
      <c r="F715" t="s">
        <v>49</v>
      </c>
      <c r="G715" t="s">
        <v>1686</v>
      </c>
      <c r="H715" t="s">
        <v>1687</v>
      </c>
      <c r="J715" t="str">
        <f>HYPERLINK("https://www.youtube.com/watch?v=nNTi7GPdTsw&amp;lc=UgwK3crIcniZuNxiInZ4AaABAg","https://www.youtube.com/watch?v=nNTi7GPdTsw&amp;lc=UgwK3crIcniZuNxiInZ4AaABAg")</f>
        <v>https://www.youtube.com/watch?v=nNTi7GPdTsw&amp;lc=UgwK3crIcniZuNxiInZ4AaABAg</v>
      </c>
      <c r="O715">
        <v>0</v>
      </c>
      <c r="P715">
        <v>0</v>
      </c>
      <c r="Q715">
        <v>0</v>
      </c>
      <c r="S715">
        <v>0</v>
      </c>
      <c r="T715">
        <v>0</v>
      </c>
      <c r="U715">
        <v>0</v>
      </c>
      <c r="W715" t="s">
        <v>62</v>
      </c>
      <c r="AP715" t="s">
        <v>101</v>
      </c>
    </row>
    <row r="716" spans="1:45" x14ac:dyDescent="0.35">
      <c r="A716" t="s">
        <v>45</v>
      </c>
      <c r="B716" t="s">
        <v>1604</v>
      </c>
      <c r="C716" t="s">
        <v>58</v>
      </c>
      <c r="D716" t="s">
        <v>1688</v>
      </c>
      <c r="E716" t="s">
        <v>1688</v>
      </c>
      <c r="F716" t="s">
        <v>49</v>
      </c>
      <c r="G716" t="s">
        <v>1689</v>
      </c>
      <c r="H716" t="s">
        <v>1690</v>
      </c>
      <c r="J716" t="str">
        <f>HYPERLINK("https://www.youtube.com/watch?v=nNTi7GPdTsw&amp;lc=Ugw2NilTlM2ShL4rkox4AaABAg","https://www.youtube.com/watch?v=nNTi7GPdTsw&amp;lc=Ugw2NilTlM2ShL4rkox4AaABAg")</f>
        <v>https://www.youtube.com/watch?v=nNTi7GPdTsw&amp;lc=Ugw2NilTlM2ShL4rkox4AaABAg</v>
      </c>
      <c r="O716">
        <v>0</v>
      </c>
      <c r="P716">
        <v>0</v>
      </c>
      <c r="Q716">
        <v>0</v>
      </c>
      <c r="S716">
        <v>0</v>
      </c>
      <c r="T716">
        <v>0</v>
      </c>
      <c r="U716">
        <v>0</v>
      </c>
      <c r="W716" t="s">
        <v>62</v>
      </c>
    </row>
    <row r="717" spans="1:45" x14ac:dyDescent="0.35">
      <c r="A717" t="s">
        <v>45</v>
      </c>
      <c r="B717" t="s">
        <v>1604</v>
      </c>
      <c r="C717" t="s">
        <v>58</v>
      </c>
      <c r="D717" t="s">
        <v>1691</v>
      </c>
      <c r="E717" t="s">
        <v>1691</v>
      </c>
      <c r="F717" t="s">
        <v>49</v>
      </c>
      <c r="G717" t="s">
        <v>1692</v>
      </c>
      <c r="H717" t="s">
        <v>1693</v>
      </c>
      <c r="J717" t="str">
        <f>HYPERLINK("https://www.youtube.com/watch?v=nNTi7GPdTsw&amp;lc=UgxX-tkpa9EkNJNZqFx4AaABAg","https://www.youtube.com/watch?v=nNTi7GPdTsw&amp;lc=UgxX-tkpa9EkNJNZqFx4AaABAg")</f>
        <v>https://www.youtube.com/watch?v=nNTi7GPdTsw&amp;lc=UgxX-tkpa9EkNJNZqFx4AaABAg</v>
      </c>
      <c r="O717">
        <v>0</v>
      </c>
      <c r="P717">
        <v>0</v>
      </c>
      <c r="Q717">
        <v>0</v>
      </c>
      <c r="S717">
        <v>0</v>
      </c>
      <c r="T717">
        <v>0</v>
      </c>
      <c r="U717">
        <v>0</v>
      </c>
      <c r="W717" t="s">
        <v>62</v>
      </c>
    </row>
    <row r="718" spans="1:45" x14ac:dyDescent="0.35">
      <c r="A718" t="s">
        <v>45</v>
      </c>
      <c r="B718" t="s">
        <v>1604</v>
      </c>
      <c r="C718" t="s">
        <v>58</v>
      </c>
      <c r="D718" t="s">
        <v>1694</v>
      </c>
      <c r="E718" t="s">
        <v>1694</v>
      </c>
      <c r="F718" t="s">
        <v>49</v>
      </c>
      <c r="G718" t="s">
        <v>1695</v>
      </c>
      <c r="H718" t="s">
        <v>1696</v>
      </c>
      <c r="J718" t="str">
        <f>HYPERLINK("https://www.youtube.com/watch?v=pqlTLUuq8rA","https://www.youtube.com/watch?v=pqlTLUuq8rA")</f>
        <v>https://www.youtube.com/watch?v=pqlTLUuq8rA</v>
      </c>
      <c r="O718">
        <v>0</v>
      </c>
      <c r="P718">
        <v>0</v>
      </c>
      <c r="Q718">
        <v>0</v>
      </c>
      <c r="S718">
        <v>0</v>
      </c>
      <c r="T718">
        <v>0</v>
      </c>
      <c r="U718">
        <v>0</v>
      </c>
      <c r="W718" t="s">
        <v>106</v>
      </c>
      <c r="AP718" t="s">
        <v>94</v>
      </c>
    </row>
    <row r="719" spans="1:45" x14ac:dyDescent="0.35">
      <c r="A719" t="s">
        <v>45</v>
      </c>
      <c r="B719" t="s">
        <v>1604</v>
      </c>
      <c r="C719" t="s">
        <v>63</v>
      </c>
      <c r="D719" t="s">
        <v>1697</v>
      </c>
      <c r="E719" t="s">
        <v>1697</v>
      </c>
      <c r="F719" t="s">
        <v>49</v>
      </c>
      <c r="G719" t="s">
        <v>459</v>
      </c>
      <c r="H719" t="s">
        <v>1698</v>
      </c>
      <c r="J719" t="str">
        <f>HYPERLINK("https://www.instagram.com/p/C3VES0FgrdQ/","https://www.instagram.com/p/C3VES0FgrdQ/")</f>
        <v>https://www.instagram.com/p/C3VES0FgrdQ/</v>
      </c>
      <c r="O719">
        <v>0</v>
      </c>
      <c r="P719">
        <v>0</v>
      </c>
      <c r="Q719">
        <v>0</v>
      </c>
      <c r="S719">
        <v>0</v>
      </c>
      <c r="T719">
        <v>0</v>
      </c>
      <c r="U719">
        <v>0</v>
      </c>
      <c r="W719" t="s">
        <v>62</v>
      </c>
    </row>
    <row r="720" spans="1:45" x14ac:dyDescent="0.35">
      <c r="A720" t="s">
        <v>45</v>
      </c>
      <c r="B720" t="s">
        <v>1604</v>
      </c>
      <c r="C720" t="s">
        <v>47</v>
      </c>
      <c r="D720" t="s">
        <v>45</v>
      </c>
      <c r="E720" t="s">
        <v>45</v>
      </c>
      <c r="F720" t="s">
        <v>49</v>
      </c>
      <c r="G720" t="s">
        <v>1699</v>
      </c>
      <c r="H720" t="s">
        <v>1700</v>
      </c>
      <c r="J720" t="str">
        <f>HYPERLINK("https://www.facebook.com/454965103328545/posts/791649272993458","https://www.facebook.com/454965103328545/posts/791649272993458")</f>
        <v>https://www.facebook.com/454965103328545/posts/791649272993458</v>
      </c>
      <c r="O720">
        <v>0</v>
      </c>
      <c r="P720">
        <v>0</v>
      </c>
      <c r="Q720">
        <v>0</v>
      </c>
      <c r="S720">
        <v>9</v>
      </c>
      <c r="T720">
        <v>340</v>
      </c>
      <c r="U720">
        <v>4</v>
      </c>
      <c r="W720" t="s">
        <v>106</v>
      </c>
      <c r="AS720" t="s">
        <v>115</v>
      </c>
    </row>
    <row r="721" spans="1:42" x14ac:dyDescent="0.35">
      <c r="A721" t="s">
        <v>45</v>
      </c>
      <c r="B721" t="s">
        <v>1604</v>
      </c>
      <c r="C721" t="s">
        <v>47</v>
      </c>
      <c r="D721" t="s">
        <v>445</v>
      </c>
      <c r="E721" t="s">
        <v>445</v>
      </c>
      <c r="F721" t="s">
        <v>49</v>
      </c>
      <c r="G721" t="s">
        <v>1701</v>
      </c>
      <c r="H721" t="s">
        <v>1702</v>
      </c>
      <c r="J721" t="str">
        <f>HYPERLINK("https://www.facebook.com/454965103328545/posts/791462166345502?comment_id=7431630000208684","https://www.facebook.com/454965103328545/posts/791462166345502?comment_id=7431630000208684")</f>
        <v>https://www.facebook.com/454965103328545/posts/791462166345502?comment_id=7431630000208684</v>
      </c>
      <c r="O721">
        <v>0</v>
      </c>
      <c r="P721">
        <v>0</v>
      </c>
      <c r="Q721">
        <v>0</v>
      </c>
      <c r="S721">
        <v>0</v>
      </c>
      <c r="T721">
        <v>0</v>
      </c>
      <c r="U721">
        <v>0</v>
      </c>
      <c r="W721" t="s">
        <v>62</v>
      </c>
    </row>
    <row r="722" spans="1:42" x14ac:dyDescent="0.35">
      <c r="A722" t="s">
        <v>45</v>
      </c>
      <c r="B722" t="s">
        <v>1604</v>
      </c>
      <c r="C722" t="s">
        <v>102</v>
      </c>
      <c r="D722" t="s">
        <v>1703</v>
      </c>
      <c r="E722" t="s">
        <v>1703</v>
      </c>
      <c r="F722" t="s">
        <v>76</v>
      </c>
      <c r="G722" t="s">
        <v>1704</v>
      </c>
      <c r="H722" t="s">
        <v>1705</v>
      </c>
      <c r="J722" t="str">
        <f>HYPERLINK("https://www.linkedin.com/feed/update/urn:li:activity:7175432216368267265/?commentUrn=urn:li:comment:(urn:li:activity:7175432216368267265,7176175894766510081)","https://www.linkedin.com/feed/update/urn:li:activity:7175432216368267265/?commentUrn=urn:li:comment:(urn:li:activity:7175432216368267265,7176175894766510081)")</f>
        <v>https://www.linkedin.com/feed/update/urn:li:activity:7175432216368267265/?commentUrn=urn:li:comment:(urn:li:activity:7175432216368267265,7176175894766510081)</v>
      </c>
      <c r="O722">
        <v>0</v>
      </c>
      <c r="P722">
        <v>0</v>
      </c>
      <c r="Q722">
        <v>0</v>
      </c>
      <c r="S722">
        <v>0</v>
      </c>
      <c r="T722">
        <v>0</v>
      </c>
      <c r="U722">
        <v>0</v>
      </c>
      <c r="W722" t="s">
        <v>62</v>
      </c>
    </row>
    <row r="723" spans="1:42" x14ac:dyDescent="0.35">
      <c r="A723" t="s">
        <v>45</v>
      </c>
      <c r="B723" t="s">
        <v>1604</v>
      </c>
      <c r="C723" t="s">
        <v>58</v>
      </c>
      <c r="D723" t="s">
        <v>1706</v>
      </c>
      <c r="E723" t="s">
        <v>1706</v>
      </c>
      <c r="F723" t="s">
        <v>142</v>
      </c>
      <c r="G723" t="s">
        <v>1707</v>
      </c>
      <c r="H723" t="s">
        <v>1708</v>
      </c>
      <c r="J723" t="str">
        <f>HYPERLINK("https://www.youtube.com/watch?v=jzO6qvlun64","https://www.youtube.com/watch?v=jzO6qvlun64")</f>
        <v>https://www.youtube.com/watch?v=jzO6qvlun64</v>
      </c>
      <c r="O723">
        <v>0</v>
      </c>
      <c r="P723">
        <v>0</v>
      </c>
      <c r="Q723">
        <v>0</v>
      </c>
      <c r="S723">
        <v>0</v>
      </c>
      <c r="T723">
        <v>0</v>
      </c>
      <c r="U723">
        <v>0</v>
      </c>
      <c r="W723" t="s">
        <v>106</v>
      </c>
      <c r="AP723" t="s">
        <v>147</v>
      </c>
    </row>
    <row r="724" spans="1:42" x14ac:dyDescent="0.35">
      <c r="A724" t="s">
        <v>45</v>
      </c>
      <c r="B724" t="s">
        <v>1604</v>
      </c>
      <c r="C724" t="s">
        <v>58</v>
      </c>
      <c r="D724" t="s">
        <v>1709</v>
      </c>
      <c r="E724" t="s">
        <v>1709</v>
      </c>
      <c r="F724" t="s">
        <v>49</v>
      </c>
      <c r="G724" t="s">
        <v>1710</v>
      </c>
      <c r="H724" t="s">
        <v>1711</v>
      </c>
      <c r="J724" t="str">
        <f>HYPERLINK("https://www.youtube.com/watch?v=gsTBL-mVfoU","https://www.youtube.com/watch?v=gsTBL-mVfoU")</f>
        <v>https://www.youtube.com/watch?v=gsTBL-mVfoU</v>
      </c>
      <c r="O724">
        <v>0</v>
      </c>
      <c r="P724">
        <v>0</v>
      </c>
      <c r="Q724">
        <v>0</v>
      </c>
      <c r="S724">
        <v>0</v>
      </c>
      <c r="T724">
        <v>0</v>
      </c>
      <c r="U724">
        <v>0</v>
      </c>
      <c r="W724" t="s">
        <v>106</v>
      </c>
    </row>
    <row r="725" spans="1:42" x14ac:dyDescent="0.35">
      <c r="A725" t="s">
        <v>45</v>
      </c>
      <c r="B725" t="s">
        <v>1604</v>
      </c>
      <c r="C725" t="s">
        <v>47</v>
      </c>
      <c r="D725" t="s">
        <v>1712</v>
      </c>
      <c r="E725" t="s">
        <v>1712</v>
      </c>
      <c r="F725" t="s">
        <v>49</v>
      </c>
      <c r="G725" t="s">
        <v>1713</v>
      </c>
      <c r="H725" t="s">
        <v>1714</v>
      </c>
      <c r="J725" t="str">
        <f>HYPERLINK("https://www.facebook.com/357267201017935/inbox/7179063235504930/","https://www.facebook.com/357267201017935/inbox/7179063235504930/")</f>
        <v>https://www.facebook.com/357267201017935/inbox/7179063235504930/</v>
      </c>
      <c r="O725">
        <v>0</v>
      </c>
      <c r="P725">
        <v>0</v>
      </c>
      <c r="Q725">
        <v>0</v>
      </c>
      <c r="S725">
        <v>0</v>
      </c>
      <c r="T725">
        <v>0</v>
      </c>
      <c r="U725">
        <v>0</v>
      </c>
      <c r="W725" t="s">
        <v>52</v>
      </c>
    </row>
    <row r="726" spans="1:42" x14ac:dyDescent="0.35">
      <c r="A726" t="s">
        <v>45</v>
      </c>
      <c r="B726" t="s">
        <v>1604</v>
      </c>
      <c r="C726" t="s">
        <v>47</v>
      </c>
      <c r="D726" t="s">
        <v>1712</v>
      </c>
      <c r="E726" t="s">
        <v>1712</v>
      </c>
      <c r="F726" t="s">
        <v>49</v>
      </c>
      <c r="G726" t="s">
        <v>1715</v>
      </c>
      <c r="H726" t="s">
        <v>1716</v>
      </c>
      <c r="J726" t="str">
        <f>HYPERLINK("https://www.facebook.com/357267201017935/inbox/7179063235504930/","https://www.facebook.com/357267201017935/inbox/7179063235504930/")</f>
        <v>https://www.facebook.com/357267201017935/inbox/7179063235504930/</v>
      </c>
      <c r="O726">
        <v>0</v>
      </c>
      <c r="P726">
        <v>0</v>
      </c>
      <c r="Q726">
        <v>0</v>
      </c>
      <c r="S726">
        <v>0</v>
      </c>
      <c r="T726">
        <v>0</v>
      </c>
      <c r="U726">
        <v>0</v>
      </c>
      <c r="W726" t="s">
        <v>52</v>
      </c>
    </row>
    <row r="727" spans="1:42" x14ac:dyDescent="0.35">
      <c r="A727" t="s">
        <v>45</v>
      </c>
      <c r="B727" t="s">
        <v>1604</v>
      </c>
      <c r="C727" t="s">
        <v>47</v>
      </c>
      <c r="D727" t="s">
        <v>1712</v>
      </c>
      <c r="E727" t="s">
        <v>1712</v>
      </c>
      <c r="F727" t="s">
        <v>49</v>
      </c>
      <c r="G727" t="s">
        <v>373</v>
      </c>
      <c r="H727" t="s">
        <v>1717</v>
      </c>
      <c r="J727" t="str">
        <f>HYPERLINK("https://www.facebook.com/357267201017935/inbox/7179063235504930/","https://www.facebook.com/357267201017935/inbox/7179063235504930/")</f>
        <v>https://www.facebook.com/357267201017935/inbox/7179063235504930/</v>
      </c>
      <c r="O727">
        <v>0</v>
      </c>
      <c r="P727">
        <v>0</v>
      </c>
      <c r="Q727">
        <v>0</v>
      </c>
      <c r="S727">
        <v>0</v>
      </c>
      <c r="T727">
        <v>0</v>
      </c>
      <c r="U727">
        <v>0</v>
      </c>
      <c r="W727" t="s">
        <v>52</v>
      </c>
    </row>
    <row r="728" spans="1:42" x14ac:dyDescent="0.35">
      <c r="A728" t="s">
        <v>45</v>
      </c>
      <c r="B728" t="s">
        <v>1604</v>
      </c>
      <c r="C728" t="s">
        <v>47</v>
      </c>
      <c r="D728" t="s">
        <v>1718</v>
      </c>
      <c r="E728" t="s">
        <v>1718</v>
      </c>
      <c r="F728" t="s">
        <v>49</v>
      </c>
      <c r="G728" t="s">
        <v>128</v>
      </c>
      <c r="H728" t="s">
        <v>1719</v>
      </c>
      <c r="J728" t="str">
        <f>HYPERLINK("https://www.facebook.com/454965103328545/videos/1792369101228633?comment_id=393866053369082","https://www.facebook.com/454965103328545/videos/1792369101228633?comment_id=393866053369082")</f>
        <v>https://www.facebook.com/454965103328545/videos/1792369101228633?comment_id=393866053369082</v>
      </c>
      <c r="O728">
        <v>0</v>
      </c>
      <c r="P728">
        <v>0</v>
      </c>
      <c r="Q728">
        <v>0</v>
      </c>
      <c r="S728">
        <v>0</v>
      </c>
      <c r="T728">
        <v>0</v>
      </c>
      <c r="U728">
        <v>0</v>
      </c>
      <c r="W728" t="s">
        <v>62</v>
      </c>
    </row>
    <row r="729" spans="1:42" x14ac:dyDescent="0.35">
      <c r="A729" t="s">
        <v>45</v>
      </c>
      <c r="B729" t="s">
        <v>1604</v>
      </c>
      <c r="C729" t="s">
        <v>63</v>
      </c>
      <c r="D729" t="s">
        <v>1720</v>
      </c>
      <c r="E729" t="s">
        <v>1720</v>
      </c>
      <c r="F729" t="s">
        <v>76</v>
      </c>
      <c r="G729" t="s">
        <v>1721</v>
      </c>
      <c r="H729" t="s">
        <v>1722</v>
      </c>
      <c r="J729" t="str">
        <f>HYPERLINK("https://www.instagram.com/reel/C4ujPxSBhKc/","https://www.instagram.com/reel/C4ujPxSBhKc/")</f>
        <v>https://www.instagram.com/reel/C4ujPxSBhKc/</v>
      </c>
      <c r="O729">
        <v>0</v>
      </c>
      <c r="P729">
        <v>0</v>
      </c>
      <c r="Q729">
        <v>0</v>
      </c>
      <c r="S729">
        <v>0</v>
      </c>
      <c r="T729">
        <v>0</v>
      </c>
      <c r="U729">
        <v>0</v>
      </c>
      <c r="W729" t="s">
        <v>62</v>
      </c>
    </row>
    <row r="730" spans="1:42" x14ac:dyDescent="0.35">
      <c r="A730" t="s">
        <v>45</v>
      </c>
      <c r="B730" t="s">
        <v>1604</v>
      </c>
      <c r="C730" t="s">
        <v>47</v>
      </c>
      <c r="D730" t="s">
        <v>1723</v>
      </c>
      <c r="E730" t="s">
        <v>1723</v>
      </c>
      <c r="F730" t="s">
        <v>49</v>
      </c>
      <c r="G730" t="s">
        <v>1724</v>
      </c>
      <c r="H730" t="s">
        <v>1725</v>
      </c>
      <c r="J730" t="str">
        <f>HYPERLINK("https://www.facebook.com/454965103328545/posts/791462166345502?comment_id=279002088591196","https://www.facebook.com/454965103328545/posts/791462166345502?comment_id=279002088591196")</f>
        <v>https://www.facebook.com/454965103328545/posts/791462166345502?comment_id=279002088591196</v>
      </c>
      <c r="O730">
        <v>0</v>
      </c>
      <c r="P730">
        <v>0</v>
      </c>
      <c r="Q730">
        <v>0</v>
      </c>
      <c r="S730">
        <v>0</v>
      </c>
      <c r="T730">
        <v>0</v>
      </c>
      <c r="U730">
        <v>0</v>
      </c>
      <c r="W730" t="s">
        <v>62</v>
      </c>
    </row>
    <row r="731" spans="1:42" x14ac:dyDescent="0.35">
      <c r="A731" t="s">
        <v>45</v>
      </c>
      <c r="B731" t="s">
        <v>1604</v>
      </c>
      <c r="C731" t="s">
        <v>58</v>
      </c>
      <c r="D731" t="s">
        <v>798</v>
      </c>
      <c r="E731" t="s">
        <v>798</v>
      </c>
      <c r="F731" t="s">
        <v>76</v>
      </c>
      <c r="G731" t="s">
        <v>1726</v>
      </c>
      <c r="H731" t="s">
        <v>1727</v>
      </c>
      <c r="J731" t="str">
        <f>HYPERLINK("https://www.youtube.com/watch?v=VHL4pXNkX8k&amp;lc=Ugy7CFcFhldmAIPs5hh4AaABAg","https://www.youtube.com/watch?v=VHL4pXNkX8k&amp;lc=Ugy7CFcFhldmAIPs5hh4AaABAg")</f>
        <v>https://www.youtube.com/watch?v=VHL4pXNkX8k&amp;lc=Ugy7CFcFhldmAIPs5hh4AaABAg</v>
      </c>
      <c r="O731">
        <v>0</v>
      </c>
      <c r="P731">
        <v>0</v>
      </c>
      <c r="Q731">
        <v>0</v>
      </c>
      <c r="S731">
        <v>0</v>
      </c>
      <c r="T731">
        <v>0</v>
      </c>
      <c r="U731">
        <v>0</v>
      </c>
      <c r="W731" t="s">
        <v>62</v>
      </c>
    </row>
    <row r="732" spans="1:42" x14ac:dyDescent="0.35">
      <c r="A732" t="s">
        <v>45</v>
      </c>
      <c r="B732" t="s">
        <v>1604</v>
      </c>
      <c r="C732" t="s">
        <v>47</v>
      </c>
      <c r="D732" t="s">
        <v>133</v>
      </c>
      <c r="E732" t="s">
        <v>133</v>
      </c>
      <c r="F732" t="s">
        <v>49</v>
      </c>
      <c r="G732" t="s">
        <v>1728</v>
      </c>
      <c r="H732" t="s">
        <v>1729</v>
      </c>
      <c r="J732" t="str">
        <f>HYPERLINK("https://www.facebook.com/357267201017935/inbox/7178829288861658/","https://www.facebook.com/357267201017935/inbox/7178829288861658/")</f>
        <v>https://www.facebook.com/357267201017935/inbox/7178829288861658/</v>
      </c>
      <c r="O732">
        <v>0</v>
      </c>
      <c r="P732">
        <v>0</v>
      </c>
      <c r="Q732">
        <v>0</v>
      </c>
      <c r="S732">
        <v>0</v>
      </c>
      <c r="T732">
        <v>0</v>
      </c>
      <c r="U732">
        <v>0</v>
      </c>
      <c r="W732" t="s">
        <v>52</v>
      </c>
    </row>
    <row r="733" spans="1:42" x14ac:dyDescent="0.35">
      <c r="A733" t="s">
        <v>45</v>
      </c>
      <c r="B733" t="s">
        <v>1604</v>
      </c>
      <c r="C733" t="s">
        <v>47</v>
      </c>
      <c r="D733" t="s">
        <v>1730</v>
      </c>
      <c r="E733" t="s">
        <v>1730</v>
      </c>
      <c r="F733" t="s">
        <v>49</v>
      </c>
      <c r="G733" t="s">
        <v>1731</v>
      </c>
      <c r="H733" t="s">
        <v>1732</v>
      </c>
      <c r="J733" t="str">
        <f>HYPERLINK("https://www.facebook.com/454965103328545/posts/771906841634368?comment_id=1342521349780521&amp;reply_comment_id=460987319586597","https://www.facebook.com/454965103328545/posts/771906841634368?comment_id=1342521349780521&amp;reply_comment_id=460987319586597")</f>
        <v>https://www.facebook.com/454965103328545/posts/771906841634368?comment_id=1342521349780521&amp;reply_comment_id=460987319586597</v>
      </c>
      <c r="O733">
        <v>0</v>
      </c>
      <c r="P733">
        <v>0</v>
      </c>
      <c r="Q733">
        <v>0</v>
      </c>
      <c r="S733">
        <v>0</v>
      </c>
      <c r="T733">
        <v>0</v>
      </c>
      <c r="U733">
        <v>0</v>
      </c>
      <c r="W733" t="s">
        <v>62</v>
      </c>
    </row>
    <row r="734" spans="1:42" x14ac:dyDescent="0.35">
      <c r="A734" t="s">
        <v>45</v>
      </c>
      <c r="B734" t="s">
        <v>1604</v>
      </c>
      <c r="C734" t="s">
        <v>58</v>
      </c>
      <c r="D734" t="s">
        <v>1733</v>
      </c>
      <c r="E734" t="s">
        <v>1733</v>
      </c>
      <c r="F734" t="s">
        <v>76</v>
      </c>
      <c r="G734" t="s">
        <v>1726</v>
      </c>
      <c r="H734" t="s">
        <v>1734</v>
      </c>
      <c r="J734" t="str">
        <f>HYPERLINK("https://www.youtube.com/watch?v=VHL4pXNkX8k&amp;lc=Ugyr4zYykPI0bh8UXtx4AaABAg","https://www.youtube.com/watch?v=VHL4pXNkX8k&amp;lc=Ugyr4zYykPI0bh8UXtx4AaABAg")</f>
        <v>https://www.youtube.com/watch?v=VHL4pXNkX8k&amp;lc=Ugyr4zYykPI0bh8UXtx4AaABAg</v>
      </c>
      <c r="O734">
        <v>0</v>
      </c>
      <c r="P734">
        <v>0</v>
      </c>
      <c r="Q734">
        <v>0</v>
      </c>
      <c r="S734">
        <v>0</v>
      </c>
      <c r="T734">
        <v>0</v>
      </c>
      <c r="U734">
        <v>0</v>
      </c>
      <c r="W734" t="s">
        <v>62</v>
      </c>
    </row>
    <row r="735" spans="1:42" x14ac:dyDescent="0.35">
      <c r="A735" t="s">
        <v>45</v>
      </c>
      <c r="B735" t="s">
        <v>1604</v>
      </c>
      <c r="C735" t="s">
        <v>47</v>
      </c>
      <c r="D735" t="s">
        <v>1735</v>
      </c>
      <c r="E735" t="s">
        <v>1735</v>
      </c>
      <c r="F735" t="s">
        <v>49</v>
      </c>
      <c r="G735" t="s">
        <v>1736</v>
      </c>
      <c r="H735" t="s">
        <v>1737</v>
      </c>
      <c r="J735" t="str">
        <f>HYPERLINK("https://www.facebook.com/454965103328545/posts/791462166345502?comment_id=760162536085206","https://www.facebook.com/454965103328545/posts/791462166345502?comment_id=760162536085206")</f>
        <v>https://www.facebook.com/454965103328545/posts/791462166345502?comment_id=760162536085206</v>
      </c>
      <c r="O735">
        <v>0</v>
      </c>
      <c r="P735">
        <v>0</v>
      </c>
      <c r="Q735">
        <v>0</v>
      </c>
      <c r="S735">
        <v>0</v>
      </c>
      <c r="T735">
        <v>0</v>
      </c>
      <c r="U735">
        <v>0</v>
      </c>
      <c r="W735" t="s">
        <v>62</v>
      </c>
      <c r="AP735" t="s">
        <v>101</v>
      </c>
    </row>
    <row r="736" spans="1:42" x14ac:dyDescent="0.35">
      <c r="A736" t="s">
        <v>45</v>
      </c>
      <c r="B736" t="s">
        <v>1604</v>
      </c>
      <c r="C736" t="s">
        <v>102</v>
      </c>
      <c r="D736" t="s">
        <v>1738</v>
      </c>
      <c r="E736" t="s">
        <v>1738</v>
      </c>
      <c r="F736" t="s">
        <v>76</v>
      </c>
      <c r="G736" t="s">
        <v>1739</v>
      </c>
      <c r="H736" t="s">
        <v>1740</v>
      </c>
      <c r="J736" t="str">
        <f>HYPERLINK("https://www.linkedin.com/feed/update/urn:li:ugcPost:7175690825752858625","https://www.linkedin.com/feed/update/urn:li:ugcPost:7175690825752858625")</f>
        <v>https://www.linkedin.com/feed/update/urn:li:ugcPost:7175690825752858625</v>
      </c>
      <c r="O736">
        <v>0</v>
      </c>
      <c r="P736">
        <v>0</v>
      </c>
      <c r="Q736">
        <v>0</v>
      </c>
      <c r="S736">
        <v>0</v>
      </c>
      <c r="T736">
        <v>0</v>
      </c>
      <c r="U736">
        <v>0</v>
      </c>
      <c r="W736" t="s">
        <v>106</v>
      </c>
      <c r="AO736" t="s">
        <v>119</v>
      </c>
    </row>
    <row r="737" spans="1:45" x14ac:dyDescent="0.35">
      <c r="A737" t="s">
        <v>45</v>
      </c>
      <c r="B737" t="s">
        <v>1604</v>
      </c>
      <c r="C737" t="s">
        <v>47</v>
      </c>
      <c r="D737" t="s">
        <v>860</v>
      </c>
      <c r="E737" t="s">
        <v>860</v>
      </c>
      <c r="F737" t="s">
        <v>49</v>
      </c>
      <c r="G737" t="s">
        <v>373</v>
      </c>
      <c r="H737" t="s">
        <v>1741</v>
      </c>
      <c r="J737" t="str">
        <f>HYPERLINK("https://www.facebook.com/357267201017935/inbox/7178637942214126/","https://www.facebook.com/357267201017935/inbox/7178637942214126/")</f>
        <v>https://www.facebook.com/357267201017935/inbox/7178637942214126/</v>
      </c>
      <c r="O737">
        <v>0</v>
      </c>
      <c r="P737">
        <v>0</v>
      </c>
      <c r="Q737">
        <v>0</v>
      </c>
      <c r="S737">
        <v>0</v>
      </c>
      <c r="T737">
        <v>0</v>
      </c>
      <c r="U737">
        <v>0</v>
      </c>
      <c r="W737" t="s">
        <v>52</v>
      </c>
    </row>
    <row r="738" spans="1:45" x14ac:dyDescent="0.35">
      <c r="A738" t="s">
        <v>45</v>
      </c>
      <c r="B738" t="s">
        <v>1604</v>
      </c>
      <c r="C738" t="s">
        <v>47</v>
      </c>
      <c r="D738" t="s">
        <v>1742</v>
      </c>
      <c r="E738" t="s">
        <v>1742</v>
      </c>
      <c r="F738" t="s">
        <v>49</v>
      </c>
      <c r="G738" t="s">
        <v>131</v>
      </c>
      <c r="H738" t="s">
        <v>1743</v>
      </c>
      <c r="J738" t="str">
        <f>HYPERLINK("https://www.facebook.com/454965103328545/posts/490024586489263?comment_id=1124552258978771","https://www.facebook.com/454965103328545/posts/490024586489263?comment_id=1124552258978771")</f>
        <v>https://www.facebook.com/454965103328545/posts/490024586489263?comment_id=1124552258978771</v>
      </c>
      <c r="O738">
        <v>0</v>
      </c>
      <c r="P738">
        <v>0</v>
      </c>
      <c r="Q738">
        <v>0</v>
      </c>
      <c r="S738">
        <v>0</v>
      </c>
      <c r="T738">
        <v>0</v>
      </c>
      <c r="U738">
        <v>0</v>
      </c>
      <c r="W738" t="s">
        <v>62</v>
      </c>
    </row>
    <row r="739" spans="1:45" x14ac:dyDescent="0.35">
      <c r="A739" t="s">
        <v>45</v>
      </c>
      <c r="B739" t="s">
        <v>1604</v>
      </c>
      <c r="C739" t="s">
        <v>58</v>
      </c>
      <c r="D739" t="s">
        <v>45</v>
      </c>
      <c r="E739" t="s">
        <v>45</v>
      </c>
      <c r="F739" t="s">
        <v>49</v>
      </c>
      <c r="G739" t="s">
        <v>1744</v>
      </c>
      <c r="H739" t="s">
        <v>1745</v>
      </c>
      <c r="J739" t="str">
        <f>HYPERLINK("https://www.youtube.com/watch?v=VHL4pXNkX8k","https://www.youtube.com/watch?v=VHL4pXNkX8k")</f>
        <v>https://www.youtube.com/watch?v=VHL4pXNkX8k</v>
      </c>
      <c r="O739">
        <v>0</v>
      </c>
      <c r="P739">
        <v>0</v>
      </c>
      <c r="Q739">
        <v>0</v>
      </c>
      <c r="S739">
        <v>0</v>
      </c>
      <c r="T739">
        <v>0</v>
      </c>
      <c r="U739">
        <v>0</v>
      </c>
      <c r="W739" t="s">
        <v>106</v>
      </c>
    </row>
    <row r="740" spans="1:45" x14ac:dyDescent="0.35">
      <c r="A740" t="s">
        <v>45</v>
      </c>
      <c r="B740" t="s">
        <v>1604</v>
      </c>
      <c r="C740" t="s">
        <v>63</v>
      </c>
      <c r="D740" t="s">
        <v>186</v>
      </c>
      <c r="E740" t="s">
        <v>186</v>
      </c>
      <c r="F740" t="s">
        <v>49</v>
      </c>
      <c r="G740" t="s">
        <v>1746</v>
      </c>
      <c r="H740" t="s">
        <v>1747</v>
      </c>
      <c r="J740" t="str">
        <f>HYPERLINK("https://www.instagram.com/reel/C4ujPxSBhKc/","https://www.instagram.com/reel/C4ujPxSBhKc/")</f>
        <v>https://www.instagram.com/reel/C4ujPxSBhKc/</v>
      </c>
      <c r="O740">
        <v>0</v>
      </c>
      <c r="P740">
        <v>0</v>
      </c>
      <c r="Q740">
        <v>0</v>
      </c>
      <c r="S740">
        <v>4</v>
      </c>
      <c r="T740">
        <v>209</v>
      </c>
      <c r="U740">
        <v>0</v>
      </c>
      <c r="W740" t="s">
        <v>106</v>
      </c>
    </row>
    <row r="741" spans="1:45" x14ac:dyDescent="0.35">
      <c r="A741" t="s">
        <v>45</v>
      </c>
      <c r="B741" t="s">
        <v>1604</v>
      </c>
      <c r="C741" t="s">
        <v>102</v>
      </c>
      <c r="D741" t="s">
        <v>1748</v>
      </c>
      <c r="E741" t="s">
        <v>1748</v>
      </c>
      <c r="F741" t="s">
        <v>76</v>
      </c>
      <c r="G741" t="s">
        <v>1749</v>
      </c>
      <c r="H741" t="s">
        <v>1750</v>
      </c>
      <c r="J741" t="str">
        <f>HYPERLINK("https://www.linkedin.com/feed/update/urn:li:activity:7176107852934111232","https://www.linkedin.com/feed/update/urn:li:activity:7176107852934111232")</f>
        <v>https://www.linkedin.com/feed/update/urn:li:activity:7176107852934111232</v>
      </c>
      <c r="O741">
        <v>0</v>
      </c>
      <c r="P741">
        <v>0</v>
      </c>
      <c r="Q741">
        <v>0</v>
      </c>
      <c r="S741">
        <v>0</v>
      </c>
      <c r="T741">
        <v>0</v>
      </c>
      <c r="U741">
        <v>0</v>
      </c>
      <c r="W741" t="s">
        <v>106</v>
      </c>
    </row>
    <row r="742" spans="1:45" x14ac:dyDescent="0.35">
      <c r="A742" t="s">
        <v>45</v>
      </c>
      <c r="B742" t="s">
        <v>1604</v>
      </c>
      <c r="C742" t="s">
        <v>58</v>
      </c>
      <c r="D742" t="s">
        <v>1452</v>
      </c>
      <c r="E742" t="s">
        <v>1452</v>
      </c>
      <c r="F742" t="s">
        <v>49</v>
      </c>
      <c r="G742" t="s">
        <v>1751</v>
      </c>
      <c r="H742" t="s">
        <v>1752</v>
      </c>
      <c r="J742" t="str">
        <f>HYPERLINK("https://www.youtube.com/watch?v=oN10Hz3umh0","https://www.youtube.com/watch?v=oN10Hz3umh0")</f>
        <v>https://www.youtube.com/watch?v=oN10Hz3umh0</v>
      </c>
      <c r="O742">
        <v>0</v>
      </c>
      <c r="P742">
        <v>0</v>
      </c>
      <c r="Q742">
        <v>0</v>
      </c>
      <c r="S742">
        <v>0</v>
      </c>
      <c r="T742">
        <v>0</v>
      </c>
      <c r="U742">
        <v>0</v>
      </c>
      <c r="W742" t="s">
        <v>106</v>
      </c>
      <c r="AO742" t="s">
        <v>67</v>
      </c>
    </row>
    <row r="743" spans="1:45" x14ac:dyDescent="0.35">
      <c r="A743" t="s">
        <v>45</v>
      </c>
      <c r="B743" t="s">
        <v>1604</v>
      </c>
      <c r="C743" t="s">
        <v>139</v>
      </c>
      <c r="D743" t="s">
        <v>1753</v>
      </c>
      <c r="E743" t="s">
        <v>1754</v>
      </c>
      <c r="F743" t="s">
        <v>142</v>
      </c>
      <c r="G743" t="s">
        <v>1755</v>
      </c>
      <c r="H743" t="s">
        <v>1756</v>
      </c>
      <c r="J743" t="str">
        <f>HYPERLINK("https://twitter.com/AravindBhanu4/status/1770337355469107535","https://twitter.com/AravindBhanu4/status/1770337355469107535")</f>
        <v>https://twitter.com/AravindBhanu4/status/1770337355469107535</v>
      </c>
      <c r="K743" t="s">
        <v>145</v>
      </c>
      <c r="O743">
        <v>0</v>
      </c>
      <c r="P743">
        <v>0</v>
      </c>
      <c r="Q743">
        <v>18</v>
      </c>
      <c r="S743">
        <v>0</v>
      </c>
      <c r="T743">
        <v>0</v>
      </c>
      <c r="U743">
        <v>0</v>
      </c>
      <c r="W743" t="s">
        <v>146</v>
      </c>
      <c r="AP743" t="s">
        <v>147</v>
      </c>
    </row>
    <row r="744" spans="1:45" x14ac:dyDescent="0.35">
      <c r="A744" t="s">
        <v>45</v>
      </c>
      <c r="B744" t="s">
        <v>1604</v>
      </c>
      <c r="C744" t="s">
        <v>47</v>
      </c>
      <c r="D744" t="s">
        <v>45</v>
      </c>
      <c r="E744" t="s">
        <v>45</v>
      </c>
      <c r="F744" t="s">
        <v>49</v>
      </c>
      <c r="G744" t="s">
        <v>1757</v>
      </c>
      <c r="H744" t="s">
        <v>1758</v>
      </c>
      <c r="J744" t="str">
        <f>HYPERLINK("https://www.facebook.com/454965103328545/posts/791533523005033","https://www.facebook.com/454965103328545/posts/791533523005033")</f>
        <v>https://www.facebook.com/454965103328545/posts/791533523005033</v>
      </c>
      <c r="O744">
        <v>0</v>
      </c>
      <c r="P744">
        <v>0</v>
      </c>
      <c r="Q744">
        <v>0</v>
      </c>
      <c r="S744">
        <v>1</v>
      </c>
      <c r="T744">
        <v>38</v>
      </c>
      <c r="U744">
        <v>0</v>
      </c>
      <c r="W744" t="s">
        <v>106</v>
      </c>
      <c r="AS744" t="s">
        <v>115</v>
      </c>
    </row>
    <row r="745" spans="1:45" x14ac:dyDescent="0.35">
      <c r="A745" t="s">
        <v>45</v>
      </c>
      <c r="B745" t="s">
        <v>1604</v>
      </c>
      <c r="C745" t="s">
        <v>47</v>
      </c>
      <c r="D745" t="s">
        <v>45</v>
      </c>
      <c r="E745" t="s">
        <v>45</v>
      </c>
      <c r="F745" t="s">
        <v>49</v>
      </c>
      <c r="G745" t="s">
        <v>1759</v>
      </c>
      <c r="H745" t="s">
        <v>1760</v>
      </c>
      <c r="J745" t="str">
        <f>HYPERLINK("https://www.facebook.com/454965103328545/videos/945854510284278","https://www.facebook.com/454965103328545/videos/945854510284278")</f>
        <v>https://www.facebook.com/454965103328545/videos/945854510284278</v>
      </c>
      <c r="O745">
        <v>0</v>
      </c>
      <c r="P745">
        <v>0</v>
      </c>
      <c r="Q745">
        <v>0</v>
      </c>
      <c r="S745">
        <v>4</v>
      </c>
      <c r="T745">
        <v>83</v>
      </c>
      <c r="U745">
        <v>0</v>
      </c>
      <c r="W745" t="s">
        <v>106</v>
      </c>
      <c r="AS745" t="s">
        <v>115</v>
      </c>
    </row>
    <row r="746" spans="1:45" x14ac:dyDescent="0.35">
      <c r="A746" t="s">
        <v>45</v>
      </c>
      <c r="B746" t="s">
        <v>1604</v>
      </c>
      <c r="C746" t="s">
        <v>47</v>
      </c>
      <c r="D746" t="s">
        <v>45</v>
      </c>
      <c r="E746" t="s">
        <v>45</v>
      </c>
      <c r="F746" t="s">
        <v>49</v>
      </c>
      <c r="G746" t="s">
        <v>1761</v>
      </c>
      <c r="H746" t="s">
        <v>1762</v>
      </c>
      <c r="J746" t="str">
        <f>HYPERLINK("https://www.facebook.com/454965103328545/posts/791533389671713","https://www.facebook.com/454965103328545/posts/791533389671713")</f>
        <v>https://www.facebook.com/454965103328545/posts/791533389671713</v>
      </c>
      <c r="O746">
        <v>0</v>
      </c>
      <c r="P746">
        <v>0</v>
      </c>
      <c r="Q746">
        <v>0</v>
      </c>
      <c r="S746">
        <v>1</v>
      </c>
      <c r="T746">
        <v>6</v>
      </c>
      <c r="U746">
        <v>0</v>
      </c>
      <c r="W746" t="s">
        <v>106</v>
      </c>
      <c r="AS746" t="s">
        <v>115</v>
      </c>
    </row>
    <row r="747" spans="1:45" x14ac:dyDescent="0.35">
      <c r="A747" t="s">
        <v>45</v>
      </c>
      <c r="B747" t="s">
        <v>1604</v>
      </c>
      <c r="C747" t="s">
        <v>139</v>
      </c>
      <c r="D747" t="s">
        <v>1186</v>
      </c>
      <c r="E747" t="s">
        <v>1187</v>
      </c>
      <c r="F747" t="s">
        <v>142</v>
      </c>
      <c r="G747" t="s">
        <v>1763</v>
      </c>
      <c r="H747" t="s">
        <v>1764</v>
      </c>
      <c r="J747" t="str">
        <f>HYPERLINK("https://twitter.com/sufiyan_77/status/1770327239780933891","https://twitter.com/sufiyan_77/status/1770327239780933891")</f>
        <v>https://twitter.com/sufiyan_77/status/1770327239780933891</v>
      </c>
      <c r="K747" t="s">
        <v>145</v>
      </c>
      <c r="O747">
        <v>0</v>
      </c>
      <c r="P747">
        <v>0</v>
      </c>
      <c r="Q747">
        <v>56</v>
      </c>
      <c r="R747" t="s">
        <v>582</v>
      </c>
      <c r="S747">
        <v>0</v>
      </c>
      <c r="T747">
        <v>0</v>
      </c>
      <c r="U747">
        <v>0</v>
      </c>
      <c r="W747" t="s">
        <v>146</v>
      </c>
    </row>
    <row r="748" spans="1:45" x14ac:dyDescent="0.35">
      <c r="A748" t="s">
        <v>45</v>
      </c>
      <c r="B748" t="s">
        <v>1604</v>
      </c>
      <c r="C748" t="s">
        <v>139</v>
      </c>
      <c r="D748" t="s">
        <v>1765</v>
      </c>
      <c r="E748" t="s">
        <v>1766</v>
      </c>
      <c r="F748" t="s">
        <v>49</v>
      </c>
      <c r="G748" t="s">
        <v>1767</v>
      </c>
      <c r="H748" t="s">
        <v>1768</v>
      </c>
      <c r="J748" t="str">
        <f>HYPERLINK("https://twitter.com/PrincyG39657148/status/1770322077007978769","https://twitter.com/PrincyG39657148/status/1770322077007978769")</f>
        <v>https://twitter.com/PrincyG39657148/status/1770322077007978769</v>
      </c>
      <c r="K748" t="s">
        <v>1769</v>
      </c>
      <c r="O748">
        <v>0</v>
      </c>
      <c r="P748">
        <v>0</v>
      </c>
      <c r="Q748">
        <v>0</v>
      </c>
      <c r="S748">
        <v>0</v>
      </c>
      <c r="T748">
        <v>0</v>
      </c>
      <c r="U748">
        <v>0</v>
      </c>
      <c r="W748" t="s">
        <v>146</v>
      </c>
    </row>
    <row r="749" spans="1:45" x14ac:dyDescent="0.35">
      <c r="A749" t="s">
        <v>45</v>
      </c>
      <c r="B749" t="s">
        <v>1604</v>
      </c>
      <c r="C749" t="s">
        <v>139</v>
      </c>
      <c r="D749" t="s">
        <v>1765</v>
      </c>
      <c r="E749" t="s">
        <v>1766</v>
      </c>
      <c r="F749" t="s">
        <v>49</v>
      </c>
      <c r="G749" t="s">
        <v>1770</v>
      </c>
      <c r="H749" t="s">
        <v>1771</v>
      </c>
      <c r="J749" t="str">
        <f>HYPERLINK("https://twitter.com/PrincyG39657148/status/1770320003981517303","https://twitter.com/PrincyG39657148/status/1770320003981517303")</f>
        <v>https://twitter.com/PrincyG39657148/status/1770320003981517303</v>
      </c>
      <c r="K749" t="s">
        <v>1769</v>
      </c>
      <c r="O749">
        <v>0</v>
      </c>
      <c r="P749">
        <v>0</v>
      </c>
      <c r="Q749">
        <v>0</v>
      </c>
      <c r="S749">
        <v>0</v>
      </c>
      <c r="T749">
        <v>0</v>
      </c>
      <c r="U749">
        <v>0</v>
      </c>
      <c r="W749" t="s">
        <v>146</v>
      </c>
    </row>
    <row r="750" spans="1:45" x14ac:dyDescent="0.35">
      <c r="A750" t="s">
        <v>45</v>
      </c>
      <c r="B750" t="s">
        <v>1604</v>
      </c>
      <c r="C750" t="s">
        <v>47</v>
      </c>
      <c r="D750" t="s">
        <v>1281</v>
      </c>
      <c r="E750" t="s">
        <v>1281</v>
      </c>
      <c r="F750" t="s">
        <v>49</v>
      </c>
      <c r="G750" t="s">
        <v>1772</v>
      </c>
      <c r="H750" t="s">
        <v>1773</v>
      </c>
      <c r="J750" t="str">
        <f>HYPERLINK("https://www.facebook.com/photo.php?fbid=791462099678842&amp;set=a.454957326662656&amp;type=3&amp;comment_id=390007750473839","https://www.facebook.com/photo.php?fbid=791462099678842&amp;set=a.454957326662656&amp;type=3&amp;comment_id=390007750473839")</f>
        <v>https://www.facebook.com/photo.php?fbid=791462099678842&amp;set=a.454957326662656&amp;type=3&amp;comment_id=390007750473839</v>
      </c>
      <c r="O750">
        <v>0</v>
      </c>
      <c r="P750">
        <v>0</v>
      </c>
      <c r="Q750">
        <v>0</v>
      </c>
      <c r="S750">
        <v>0</v>
      </c>
      <c r="T750">
        <v>0</v>
      </c>
      <c r="U750">
        <v>0</v>
      </c>
      <c r="W750" t="s">
        <v>62</v>
      </c>
    </row>
    <row r="751" spans="1:45" x14ac:dyDescent="0.35">
      <c r="A751" t="s">
        <v>45</v>
      </c>
      <c r="B751" t="s">
        <v>1604</v>
      </c>
      <c r="C751" t="s">
        <v>47</v>
      </c>
      <c r="D751" t="s">
        <v>1774</v>
      </c>
      <c r="E751" t="s">
        <v>1774</v>
      </c>
      <c r="F751" t="s">
        <v>49</v>
      </c>
      <c r="G751" t="s">
        <v>253</v>
      </c>
      <c r="H751" t="s">
        <v>1775</v>
      </c>
      <c r="J751" t="str">
        <f>HYPERLINK("https://www.facebook.com/357267201017935/inbox/7178220712255849/","https://www.facebook.com/357267201017935/inbox/7178220712255849/")</f>
        <v>https://www.facebook.com/357267201017935/inbox/7178220712255849/</v>
      </c>
      <c r="O751">
        <v>0</v>
      </c>
      <c r="P751">
        <v>0</v>
      </c>
      <c r="Q751">
        <v>0</v>
      </c>
      <c r="S751">
        <v>0</v>
      </c>
      <c r="T751">
        <v>0</v>
      </c>
      <c r="U751">
        <v>0</v>
      </c>
      <c r="W751" t="s">
        <v>52</v>
      </c>
    </row>
    <row r="752" spans="1:45" x14ac:dyDescent="0.35">
      <c r="A752" t="s">
        <v>45</v>
      </c>
      <c r="B752" t="s">
        <v>1604</v>
      </c>
      <c r="C752" t="s">
        <v>102</v>
      </c>
      <c r="D752" t="s">
        <v>1776</v>
      </c>
      <c r="E752" t="s">
        <v>1776</v>
      </c>
      <c r="F752" t="s">
        <v>76</v>
      </c>
      <c r="G752" t="s">
        <v>1777</v>
      </c>
      <c r="H752" t="s">
        <v>1778</v>
      </c>
      <c r="J752" t="str">
        <f>HYPERLINK("https://www.linkedin.com/feed/update/urn:li:ugcPost:7176074207598895104","https://www.linkedin.com/feed/update/urn:li:ugcPost:7176074207598895104")</f>
        <v>https://www.linkedin.com/feed/update/urn:li:ugcPost:7176074207598895104</v>
      </c>
      <c r="O752">
        <v>0</v>
      </c>
      <c r="P752">
        <v>0</v>
      </c>
      <c r="Q752">
        <v>0</v>
      </c>
      <c r="S752">
        <v>0</v>
      </c>
      <c r="T752">
        <v>0</v>
      </c>
      <c r="U752">
        <v>0</v>
      </c>
      <c r="W752" t="s">
        <v>106</v>
      </c>
    </row>
    <row r="753" spans="1:42" x14ac:dyDescent="0.35">
      <c r="A753" t="s">
        <v>45</v>
      </c>
      <c r="B753" t="s">
        <v>1604</v>
      </c>
      <c r="C753" t="s">
        <v>47</v>
      </c>
      <c r="D753" t="s">
        <v>1779</v>
      </c>
      <c r="E753" t="s">
        <v>1779</v>
      </c>
      <c r="F753" t="s">
        <v>49</v>
      </c>
      <c r="G753" t="s">
        <v>1780</v>
      </c>
      <c r="H753" t="s">
        <v>1781</v>
      </c>
      <c r="J753" t="str">
        <f>HYPERLINK("https://www.facebook.com/454965103328545/posts/791462166345502?comment_id=1390265171657327","https://www.facebook.com/454965103328545/posts/791462166345502?comment_id=1390265171657327")</f>
        <v>https://www.facebook.com/454965103328545/posts/791462166345502?comment_id=1390265171657327</v>
      </c>
      <c r="O753">
        <v>0</v>
      </c>
      <c r="P753">
        <v>0</v>
      </c>
      <c r="Q753">
        <v>0</v>
      </c>
      <c r="S753">
        <v>0</v>
      </c>
      <c r="T753">
        <v>0</v>
      </c>
      <c r="U753">
        <v>0</v>
      </c>
      <c r="W753" t="s">
        <v>62</v>
      </c>
    </row>
    <row r="754" spans="1:42" x14ac:dyDescent="0.35">
      <c r="A754" t="s">
        <v>45</v>
      </c>
      <c r="B754" t="s">
        <v>1604</v>
      </c>
      <c r="C754" t="s">
        <v>47</v>
      </c>
      <c r="D754" t="s">
        <v>911</v>
      </c>
      <c r="E754" t="s">
        <v>911</v>
      </c>
      <c r="F754" t="s">
        <v>49</v>
      </c>
      <c r="G754" t="s">
        <v>253</v>
      </c>
      <c r="H754" t="s">
        <v>1782</v>
      </c>
      <c r="J754" t="str">
        <f>HYPERLINK("https://www.facebook.com/357267201017935/inbox/2457047874373180/","https://www.facebook.com/357267201017935/inbox/2457047874373180/")</f>
        <v>https://www.facebook.com/357267201017935/inbox/2457047874373180/</v>
      </c>
      <c r="O754">
        <v>0</v>
      </c>
      <c r="P754">
        <v>0</v>
      </c>
      <c r="Q754">
        <v>0</v>
      </c>
      <c r="S754">
        <v>0</v>
      </c>
      <c r="T754">
        <v>0</v>
      </c>
      <c r="U754">
        <v>0</v>
      </c>
      <c r="W754" t="s">
        <v>52</v>
      </c>
    </row>
    <row r="755" spans="1:42" x14ac:dyDescent="0.35">
      <c r="A755" t="s">
        <v>45</v>
      </c>
      <c r="B755" t="s">
        <v>1604</v>
      </c>
      <c r="C755" t="s">
        <v>47</v>
      </c>
      <c r="D755" t="s">
        <v>911</v>
      </c>
      <c r="E755" t="s">
        <v>911</v>
      </c>
      <c r="F755" t="s">
        <v>49</v>
      </c>
      <c r="G755" t="s">
        <v>1783</v>
      </c>
      <c r="H755" t="s">
        <v>1784</v>
      </c>
      <c r="J755" t="str">
        <f>HYPERLINK("https://www.facebook.com/357267201017935/inbox/2457047874373180/","https://www.facebook.com/357267201017935/inbox/2457047874373180/")</f>
        <v>https://www.facebook.com/357267201017935/inbox/2457047874373180/</v>
      </c>
      <c r="O755">
        <v>0</v>
      </c>
      <c r="P755">
        <v>0</v>
      </c>
      <c r="Q755">
        <v>0</v>
      </c>
      <c r="S755">
        <v>0</v>
      </c>
      <c r="T755">
        <v>0</v>
      </c>
      <c r="U755">
        <v>0</v>
      </c>
      <c r="W755" t="s">
        <v>52</v>
      </c>
    </row>
    <row r="756" spans="1:42" x14ac:dyDescent="0.35">
      <c r="A756" t="s">
        <v>45</v>
      </c>
      <c r="B756" t="s">
        <v>1604</v>
      </c>
      <c r="C756" t="s">
        <v>47</v>
      </c>
      <c r="D756" t="s">
        <v>1785</v>
      </c>
      <c r="E756" t="s">
        <v>1785</v>
      </c>
      <c r="F756" t="s">
        <v>49</v>
      </c>
      <c r="G756" t="s">
        <v>1786</v>
      </c>
      <c r="H756" t="s">
        <v>1787</v>
      </c>
      <c r="J756" t="str">
        <f>HYPERLINK("https://www.facebook.com/357267201017935/inbox/7178093655601888/","https://www.facebook.com/357267201017935/inbox/7178093655601888/")</f>
        <v>https://www.facebook.com/357267201017935/inbox/7178093655601888/</v>
      </c>
      <c r="O756">
        <v>0</v>
      </c>
      <c r="P756">
        <v>0</v>
      </c>
      <c r="Q756">
        <v>0</v>
      </c>
      <c r="S756">
        <v>0</v>
      </c>
      <c r="T756">
        <v>0</v>
      </c>
      <c r="U756">
        <v>0</v>
      </c>
      <c r="W756" t="s">
        <v>52</v>
      </c>
    </row>
    <row r="757" spans="1:42" x14ac:dyDescent="0.35">
      <c r="A757" t="s">
        <v>45</v>
      </c>
      <c r="B757" t="s">
        <v>1604</v>
      </c>
      <c r="C757" t="s">
        <v>47</v>
      </c>
      <c r="D757" t="s">
        <v>1785</v>
      </c>
      <c r="E757" t="s">
        <v>1785</v>
      </c>
      <c r="F757" t="s">
        <v>49</v>
      </c>
      <c r="G757" t="s">
        <v>1788</v>
      </c>
      <c r="H757" t="s">
        <v>1789</v>
      </c>
      <c r="J757" t="str">
        <f>HYPERLINK("https://www.facebook.com/357267201017935/inbox/7178093655601888/","https://www.facebook.com/357267201017935/inbox/7178093655601888/")</f>
        <v>https://www.facebook.com/357267201017935/inbox/7178093655601888/</v>
      </c>
      <c r="O757">
        <v>0</v>
      </c>
      <c r="P757">
        <v>0</v>
      </c>
      <c r="Q757">
        <v>0</v>
      </c>
      <c r="S757">
        <v>0</v>
      </c>
      <c r="T757">
        <v>0</v>
      </c>
      <c r="U757">
        <v>0</v>
      </c>
      <c r="W757" t="s">
        <v>52</v>
      </c>
    </row>
    <row r="758" spans="1:42" x14ac:dyDescent="0.35">
      <c r="A758" t="s">
        <v>45</v>
      </c>
      <c r="B758" t="s">
        <v>1604</v>
      </c>
      <c r="C758" t="s">
        <v>47</v>
      </c>
      <c r="D758" t="s">
        <v>1785</v>
      </c>
      <c r="E758" t="s">
        <v>1785</v>
      </c>
      <c r="F758" t="s">
        <v>49</v>
      </c>
      <c r="G758" t="s">
        <v>373</v>
      </c>
      <c r="H758" t="s">
        <v>1790</v>
      </c>
      <c r="J758" t="str">
        <f>HYPERLINK("https://www.facebook.com/357267201017935/inbox/7178093655601888/","https://www.facebook.com/357267201017935/inbox/7178093655601888/")</f>
        <v>https://www.facebook.com/357267201017935/inbox/7178093655601888/</v>
      </c>
      <c r="O758">
        <v>0</v>
      </c>
      <c r="P758">
        <v>0</v>
      </c>
      <c r="Q758">
        <v>0</v>
      </c>
      <c r="S758">
        <v>0</v>
      </c>
      <c r="T758">
        <v>0</v>
      </c>
      <c r="U758">
        <v>0</v>
      </c>
      <c r="W758" t="s">
        <v>52</v>
      </c>
    </row>
    <row r="759" spans="1:42" x14ac:dyDescent="0.35">
      <c r="A759" t="s">
        <v>45</v>
      </c>
      <c r="B759" t="s">
        <v>1604</v>
      </c>
      <c r="C759" t="s">
        <v>63</v>
      </c>
      <c r="D759" t="s">
        <v>1791</v>
      </c>
      <c r="E759" t="s">
        <v>1791</v>
      </c>
      <c r="F759" t="s">
        <v>49</v>
      </c>
      <c r="G759" t="s">
        <v>1656</v>
      </c>
      <c r="H759" t="s">
        <v>1792</v>
      </c>
      <c r="J759" t="str">
        <f>HYPERLINK("https://www.instagram.com/p/C4uEAzXoQwB/","https://www.instagram.com/p/C4uEAzXoQwB/")</f>
        <v>https://www.instagram.com/p/C4uEAzXoQwB/</v>
      </c>
      <c r="O759">
        <v>0</v>
      </c>
      <c r="P759">
        <v>0</v>
      </c>
      <c r="Q759">
        <v>0</v>
      </c>
      <c r="S759">
        <v>0</v>
      </c>
      <c r="T759">
        <v>0</v>
      </c>
      <c r="U759">
        <v>0</v>
      </c>
      <c r="W759" t="s">
        <v>62</v>
      </c>
    </row>
    <row r="760" spans="1:42" x14ac:dyDescent="0.35">
      <c r="A760" t="s">
        <v>45</v>
      </c>
      <c r="B760" t="s">
        <v>1604</v>
      </c>
      <c r="C760" t="s">
        <v>47</v>
      </c>
      <c r="D760" t="s">
        <v>445</v>
      </c>
      <c r="E760" t="s">
        <v>445</v>
      </c>
      <c r="F760" t="s">
        <v>49</v>
      </c>
      <c r="G760" t="s">
        <v>1793</v>
      </c>
      <c r="H760" t="s">
        <v>1794</v>
      </c>
      <c r="J760" t="str">
        <f>HYPERLINK("https://www.facebook.com/357267201017935/inbox/7178010608943526/","https://www.facebook.com/357267201017935/inbox/7178010608943526/")</f>
        <v>https://www.facebook.com/357267201017935/inbox/7178010608943526/</v>
      </c>
      <c r="O760">
        <v>0</v>
      </c>
      <c r="P760">
        <v>0</v>
      </c>
      <c r="Q760">
        <v>0</v>
      </c>
      <c r="S760">
        <v>0</v>
      </c>
      <c r="T760">
        <v>0</v>
      </c>
      <c r="U760">
        <v>0</v>
      </c>
      <c r="W760" t="s">
        <v>52</v>
      </c>
    </row>
    <row r="761" spans="1:42" x14ac:dyDescent="0.35">
      <c r="A761" t="s">
        <v>45</v>
      </c>
      <c r="B761" t="s">
        <v>1604</v>
      </c>
      <c r="C761" t="s">
        <v>47</v>
      </c>
      <c r="D761" t="s">
        <v>445</v>
      </c>
      <c r="E761" t="s">
        <v>445</v>
      </c>
      <c r="F761" t="s">
        <v>49</v>
      </c>
      <c r="G761" t="s">
        <v>1795</v>
      </c>
      <c r="H761" t="s">
        <v>1796</v>
      </c>
      <c r="J761" t="str">
        <f>HYPERLINK("https://www.facebook.com/357267201017935/inbox/7178010608943526/","https://www.facebook.com/357267201017935/inbox/7178010608943526/")</f>
        <v>https://www.facebook.com/357267201017935/inbox/7178010608943526/</v>
      </c>
      <c r="O761">
        <v>0</v>
      </c>
      <c r="P761">
        <v>0</v>
      </c>
      <c r="Q761">
        <v>0</v>
      </c>
      <c r="S761">
        <v>0</v>
      </c>
      <c r="T761">
        <v>0</v>
      </c>
      <c r="U761">
        <v>0</v>
      </c>
      <c r="W761" t="s">
        <v>52</v>
      </c>
      <c r="AP761" t="s">
        <v>101</v>
      </c>
    </row>
    <row r="762" spans="1:42" x14ac:dyDescent="0.35">
      <c r="A762" t="s">
        <v>45</v>
      </c>
      <c r="B762" t="s">
        <v>1604</v>
      </c>
      <c r="C762" t="s">
        <v>47</v>
      </c>
      <c r="D762" t="s">
        <v>445</v>
      </c>
      <c r="E762" t="s">
        <v>445</v>
      </c>
      <c r="F762" t="s">
        <v>49</v>
      </c>
      <c r="G762" t="s">
        <v>471</v>
      </c>
      <c r="H762" t="s">
        <v>1797</v>
      </c>
      <c r="J762" t="str">
        <f>HYPERLINK("https://www.facebook.com/454965103328545/posts/791462166345502?comment_id=2975674332600752","https://www.facebook.com/454965103328545/posts/791462166345502?comment_id=2975674332600752")</f>
        <v>https://www.facebook.com/454965103328545/posts/791462166345502?comment_id=2975674332600752</v>
      </c>
      <c r="O762">
        <v>0</v>
      </c>
      <c r="P762">
        <v>0</v>
      </c>
      <c r="Q762">
        <v>0</v>
      </c>
      <c r="S762">
        <v>0</v>
      </c>
      <c r="T762">
        <v>0</v>
      </c>
      <c r="U762">
        <v>0</v>
      </c>
      <c r="W762" t="s">
        <v>62</v>
      </c>
    </row>
    <row r="763" spans="1:42" x14ac:dyDescent="0.35">
      <c r="A763" t="s">
        <v>45</v>
      </c>
      <c r="B763" t="s">
        <v>1604</v>
      </c>
      <c r="C763" t="s">
        <v>47</v>
      </c>
      <c r="D763" t="s">
        <v>445</v>
      </c>
      <c r="E763" t="s">
        <v>445</v>
      </c>
      <c r="F763" t="s">
        <v>49</v>
      </c>
      <c r="G763" t="s">
        <v>475</v>
      </c>
      <c r="H763" t="s">
        <v>1798</v>
      </c>
      <c r="J763" t="str">
        <f>HYPERLINK("https://www.facebook.com/454965103328545/posts/791462166345502?comment_id=3646861935587819","https://www.facebook.com/454965103328545/posts/791462166345502?comment_id=3646861935587819")</f>
        <v>https://www.facebook.com/454965103328545/posts/791462166345502?comment_id=3646861935587819</v>
      </c>
      <c r="O763">
        <v>0</v>
      </c>
      <c r="P763">
        <v>0</v>
      </c>
      <c r="Q763">
        <v>0</v>
      </c>
      <c r="S763">
        <v>0</v>
      </c>
      <c r="T763">
        <v>0</v>
      </c>
      <c r="U763">
        <v>0</v>
      </c>
      <c r="W763" t="s">
        <v>62</v>
      </c>
      <c r="AP763" t="s">
        <v>101</v>
      </c>
    </row>
    <row r="764" spans="1:42" x14ac:dyDescent="0.35">
      <c r="A764" t="s">
        <v>45</v>
      </c>
      <c r="B764" t="s">
        <v>1604</v>
      </c>
      <c r="C764" t="s">
        <v>47</v>
      </c>
      <c r="D764" t="s">
        <v>445</v>
      </c>
      <c r="E764" t="s">
        <v>445</v>
      </c>
      <c r="F764" t="s">
        <v>142</v>
      </c>
      <c r="G764" t="s">
        <v>473</v>
      </c>
      <c r="H764" t="s">
        <v>1799</v>
      </c>
      <c r="J764" t="str">
        <f>HYPERLINK("https://www.facebook.com/454965103328545/posts/791462166345502?comment_id=3520171941627867","https://www.facebook.com/454965103328545/posts/791462166345502?comment_id=3520171941627867")</f>
        <v>https://www.facebook.com/454965103328545/posts/791462166345502?comment_id=3520171941627867</v>
      </c>
      <c r="O764">
        <v>0</v>
      </c>
      <c r="P764">
        <v>0</v>
      </c>
      <c r="Q764">
        <v>0</v>
      </c>
      <c r="S764">
        <v>0</v>
      </c>
      <c r="T764">
        <v>0</v>
      </c>
      <c r="U764">
        <v>0</v>
      </c>
      <c r="W764" t="s">
        <v>62</v>
      </c>
    </row>
    <row r="765" spans="1:42" x14ac:dyDescent="0.35">
      <c r="A765" t="s">
        <v>45</v>
      </c>
      <c r="B765" t="s">
        <v>1604</v>
      </c>
      <c r="C765" t="s">
        <v>47</v>
      </c>
      <c r="D765" t="s">
        <v>120</v>
      </c>
      <c r="E765" t="s">
        <v>120</v>
      </c>
      <c r="F765" t="s">
        <v>49</v>
      </c>
      <c r="G765" t="s">
        <v>1800</v>
      </c>
      <c r="H765" t="s">
        <v>1801</v>
      </c>
      <c r="J765" t="str">
        <f>HYPERLINK("https://www.facebook.com/454965103328545/posts/791462166345502?comment_id=423472250048520","https://www.facebook.com/454965103328545/posts/791462166345502?comment_id=423472250048520")</f>
        <v>https://www.facebook.com/454965103328545/posts/791462166345502?comment_id=423472250048520</v>
      </c>
      <c r="O765">
        <v>0</v>
      </c>
      <c r="P765">
        <v>0</v>
      </c>
      <c r="Q765">
        <v>0</v>
      </c>
      <c r="S765">
        <v>0</v>
      </c>
      <c r="T765">
        <v>0</v>
      </c>
      <c r="U765">
        <v>0</v>
      </c>
      <c r="W765" t="s">
        <v>62</v>
      </c>
    </row>
    <row r="766" spans="1:42" x14ac:dyDescent="0.35">
      <c r="A766" t="s">
        <v>45</v>
      </c>
      <c r="B766" t="s">
        <v>1604</v>
      </c>
      <c r="C766" t="s">
        <v>47</v>
      </c>
      <c r="D766" t="s">
        <v>45</v>
      </c>
      <c r="E766" t="s">
        <v>45</v>
      </c>
      <c r="F766" t="s">
        <v>49</v>
      </c>
      <c r="G766" t="s">
        <v>1802</v>
      </c>
      <c r="H766" t="s">
        <v>1803</v>
      </c>
      <c r="J766" t="str">
        <f>HYPERLINK("https://www.facebook.com/357267201017935_791462166345502","https://www.facebook.com/357267201017935_791462166345502")</f>
        <v>https://www.facebook.com/357267201017935_791462166345502</v>
      </c>
      <c r="O766">
        <v>0</v>
      </c>
      <c r="P766">
        <v>0</v>
      </c>
      <c r="Q766">
        <v>0</v>
      </c>
      <c r="S766">
        <v>9</v>
      </c>
      <c r="T766">
        <v>83</v>
      </c>
      <c r="U766">
        <v>7</v>
      </c>
      <c r="W766" t="s">
        <v>106</v>
      </c>
    </row>
    <row r="767" spans="1:42" x14ac:dyDescent="0.35">
      <c r="A767" t="s">
        <v>45</v>
      </c>
      <c r="B767" t="s">
        <v>1604</v>
      </c>
      <c r="C767" t="s">
        <v>63</v>
      </c>
      <c r="D767" t="s">
        <v>186</v>
      </c>
      <c r="E767" t="s">
        <v>186</v>
      </c>
      <c r="F767" t="s">
        <v>49</v>
      </c>
      <c r="G767" t="s">
        <v>1802</v>
      </c>
      <c r="H767" t="s">
        <v>1804</v>
      </c>
      <c r="J767" t="str">
        <f>HYPERLINK("https://www.instagram.com/p/C4uEAzXoQwB/","https://www.instagram.com/p/C4uEAzXoQwB/")</f>
        <v>https://www.instagram.com/p/C4uEAzXoQwB/</v>
      </c>
      <c r="O767">
        <v>0</v>
      </c>
      <c r="P767">
        <v>0</v>
      </c>
      <c r="Q767">
        <v>0</v>
      </c>
      <c r="S767">
        <v>2</v>
      </c>
      <c r="T767">
        <v>110</v>
      </c>
      <c r="U767">
        <v>0</v>
      </c>
      <c r="W767" t="s">
        <v>106</v>
      </c>
    </row>
    <row r="768" spans="1:42" x14ac:dyDescent="0.35">
      <c r="A768" t="s">
        <v>45</v>
      </c>
      <c r="B768" t="s">
        <v>1604</v>
      </c>
      <c r="C768" t="s">
        <v>139</v>
      </c>
      <c r="D768" t="s">
        <v>942</v>
      </c>
      <c r="E768" t="s">
        <v>943</v>
      </c>
      <c r="F768" t="s">
        <v>49</v>
      </c>
      <c r="G768" t="s">
        <v>1805</v>
      </c>
      <c r="H768" t="s">
        <v>1806</v>
      </c>
      <c r="J768" t="str">
        <f>HYPERLINK("https://twitter.com/rajendras1819/status/1770277558875201872","https://twitter.com/rajendras1819/status/1770277558875201872")</f>
        <v>https://twitter.com/rajendras1819/status/1770277558875201872</v>
      </c>
      <c r="O768">
        <v>0</v>
      </c>
      <c r="P768">
        <v>0</v>
      </c>
      <c r="Q768">
        <v>267</v>
      </c>
      <c r="R768" t="s">
        <v>946</v>
      </c>
      <c r="S768">
        <v>0</v>
      </c>
      <c r="T768">
        <v>0</v>
      </c>
      <c r="U768">
        <v>0</v>
      </c>
      <c r="W768" t="s">
        <v>552</v>
      </c>
    </row>
    <row r="769" spans="1:45" x14ac:dyDescent="0.35">
      <c r="A769" t="s">
        <v>45</v>
      </c>
      <c r="B769" t="s">
        <v>1604</v>
      </c>
      <c r="C769" t="s">
        <v>139</v>
      </c>
      <c r="D769" t="s">
        <v>1807</v>
      </c>
      <c r="E769" t="s">
        <v>1808</v>
      </c>
      <c r="F769" t="s">
        <v>49</v>
      </c>
      <c r="G769" t="s">
        <v>1805</v>
      </c>
      <c r="H769" t="s">
        <v>1809</v>
      </c>
      <c r="J769" t="str">
        <f>HYPERLINK("https://twitter.com/ShyamjeeJha/status/1770277465317154980","https://twitter.com/ShyamjeeJha/status/1770277465317154980")</f>
        <v>https://twitter.com/ShyamjeeJha/status/1770277465317154980</v>
      </c>
      <c r="K769" t="s">
        <v>145</v>
      </c>
      <c r="O769">
        <v>0</v>
      </c>
      <c r="P769">
        <v>0</v>
      </c>
      <c r="Q769">
        <v>154</v>
      </c>
      <c r="R769" t="s">
        <v>1810</v>
      </c>
      <c r="S769">
        <v>0</v>
      </c>
      <c r="T769">
        <v>0</v>
      </c>
      <c r="U769">
        <v>0</v>
      </c>
      <c r="W769" t="s">
        <v>552</v>
      </c>
    </row>
    <row r="770" spans="1:45" x14ac:dyDescent="0.35">
      <c r="A770" t="s">
        <v>45</v>
      </c>
      <c r="B770" t="s">
        <v>1604</v>
      </c>
      <c r="C770" t="s">
        <v>139</v>
      </c>
      <c r="D770" t="s">
        <v>942</v>
      </c>
      <c r="E770" t="s">
        <v>943</v>
      </c>
      <c r="F770" t="s">
        <v>49</v>
      </c>
      <c r="G770" t="s">
        <v>1811</v>
      </c>
      <c r="H770" t="s">
        <v>1812</v>
      </c>
      <c r="J770" t="str">
        <f>HYPERLINK("https://twitter.com/rajendras1819/status/1770277283724747102","https://twitter.com/rajendras1819/status/1770277283724747102")</f>
        <v>https://twitter.com/rajendras1819/status/1770277283724747102</v>
      </c>
      <c r="O770">
        <v>0</v>
      </c>
      <c r="P770">
        <v>0</v>
      </c>
      <c r="Q770">
        <v>267</v>
      </c>
      <c r="R770" t="s">
        <v>946</v>
      </c>
      <c r="S770">
        <v>0</v>
      </c>
      <c r="T770">
        <v>0</v>
      </c>
      <c r="U770">
        <v>0</v>
      </c>
      <c r="W770" t="s">
        <v>552</v>
      </c>
    </row>
    <row r="771" spans="1:45" x14ac:dyDescent="0.35">
      <c r="A771" t="s">
        <v>45</v>
      </c>
      <c r="B771" t="s">
        <v>1604</v>
      </c>
      <c r="C771" t="s">
        <v>139</v>
      </c>
      <c r="D771" t="s">
        <v>190</v>
      </c>
      <c r="E771" t="s">
        <v>45</v>
      </c>
      <c r="F771" t="s">
        <v>49</v>
      </c>
      <c r="G771" t="s">
        <v>1805</v>
      </c>
      <c r="H771" t="s">
        <v>1813</v>
      </c>
      <c r="J771" t="str">
        <f>HYPERLINK("https://twitter.com/FinoPaymntsBank/status/1770276700666081563","https://twitter.com/FinoPaymntsBank/status/1770276700666081563")</f>
        <v>https://twitter.com/FinoPaymntsBank/status/1770276700666081563</v>
      </c>
      <c r="K771" t="s">
        <v>145</v>
      </c>
      <c r="O771">
        <v>0</v>
      </c>
      <c r="P771">
        <v>0</v>
      </c>
      <c r="Q771">
        <v>8456</v>
      </c>
      <c r="R771" t="s">
        <v>193</v>
      </c>
      <c r="S771">
        <v>0</v>
      </c>
      <c r="T771">
        <v>0</v>
      </c>
      <c r="U771">
        <v>0</v>
      </c>
      <c r="W771" t="s">
        <v>146</v>
      </c>
    </row>
    <row r="772" spans="1:45" x14ac:dyDescent="0.35">
      <c r="A772" t="s">
        <v>45</v>
      </c>
      <c r="B772" t="s">
        <v>1604</v>
      </c>
      <c r="C772" t="s">
        <v>139</v>
      </c>
      <c r="D772" t="s">
        <v>190</v>
      </c>
      <c r="E772" t="s">
        <v>45</v>
      </c>
      <c r="F772" t="s">
        <v>49</v>
      </c>
      <c r="G772" t="s">
        <v>1811</v>
      </c>
      <c r="H772" t="s">
        <v>1814</v>
      </c>
      <c r="J772" t="str">
        <f>HYPERLINK("https://twitter.com/FinoPaymntsBank/status/1770276574807343127","https://twitter.com/FinoPaymntsBank/status/1770276574807343127")</f>
        <v>https://twitter.com/FinoPaymntsBank/status/1770276574807343127</v>
      </c>
      <c r="K772" t="s">
        <v>145</v>
      </c>
      <c r="O772">
        <v>0</v>
      </c>
      <c r="P772">
        <v>0</v>
      </c>
      <c r="Q772">
        <v>8456</v>
      </c>
      <c r="R772" t="s">
        <v>193</v>
      </c>
      <c r="S772">
        <v>0</v>
      </c>
      <c r="T772">
        <v>0</v>
      </c>
      <c r="U772">
        <v>0</v>
      </c>
      <c r="W772" t="s">
        <v>146</v>
      </c>
    </row>
    <row r="773" spans="1:45" x14ac:dyDescent="0.35">
      <c r="A773" t="s">
        <v>45</v>
      </c>
      <c r="B773" t="s">
        <v>1604</v>
      </c>
      <c r="C773" t="s">
        <v>139</v>
      </c>
      <c r="D773" t="s">
        <v>1815</v>
      </c>
      <c r="E773" t="s">
        <v>1816</v>
      </c>
      <c r="F773" t="s">
        <v>76</v>
      </c>
      <c r="G773" t="s">
        <v>1817</v>
      </c>
      <c r="H773" t="s">
        <v>1818</v>
      </c>
      <c r="J773" t="str">
        <f>HYPERLINK("https://twitter.com/FalakKalyani/status/1770268154801127835","https://twitter.com/FalakKalyani/status/1770268154801127835")</f>
        <v>https://twitter.com/FalakKalyani/status/1770268154801127835</v>
      </c>
      <c r="K773" t="s">
        <v>145</v>
      </c>
      <c r="O773">
        <v>0</v>
      </c>
      <c r="P773">
        <v>0</v>
      </c>
      <c r="Q773">
        <v>7979</v>
      </c>
      <c r="R773" t="s">
        <v>1819</v>
      </c>
      <c r="S773">
        <v>0</v>
      </c>
      <c r="T773">
        <v>0</v>
      </c>
      <c r="U773">
        <v>0</v>
      </c>
      <c r="W773" t="s">
        <v>146</v>
      </c>
      <c r="AP773" t="s">
        <v>101</v>
      </c>
    </row>
    <row r="774" spans="1:45" x14ac:dyDescent="0.35">
      <c r="A774" t="s">
        <v>45</v>
      </c>
      <c r="B774" t="s">
        <v>1604</v>
      </c>
      <c r="C774" t="s">
        <v>139</v>
      </c>
      <c r="D774" t="s">
        <v>1820</v>
      </c>
      <c r="E774" t="s">
        <v>1821</v>
      </c>
      <c r="F774" t="s">
        <v>49</v>
      </c>
      <c r="G774" t="s">
        <v>1822</v>
      </c>
      <c r="H774" t="s">
        <v>1823</v>
      </c>
      <c r="J774" t="str">
        <f>HYPERLINK("https://twitter.com/b_sakhi1935/status/1770263171246309537","https://twitter.com/b_sakhi1935/status/1770263171246309537")</f>
        <v>https://twitter.com/b_sakhi1935/status/1770263171246309537</v>
      </c>
      <c r="K774" t="s">
        <v>1769</v>
      </c>
      <c r="O774">
        <v>0</v>
      </c>
      <c r="P774">
        <v>0</v>
      </c>
      <c r="Q774">
        <v>0</v>
      </c>
      <c r="S774">
        <v>0</v>
      </c>
      <c r="T774">
        <v>0</v>
      </c>
      <c r="U774">
        <v>0</v>
      </c>
      <c r="W774" t="s">
        <v>146</v>
      </c>
    </row>
    <row r="775" spans="1:45" x14ac:dyDescent="0.35">
      <c r="A775" t="s">
        <v>45</v>
      </c>
      <c r="B775" t="s">
        <v>1604</v>
      </c>
      <c r="C775" t="s">
        <v>47</v>
      </c>
      <c r="D775" t="s">
        <v>120</v>
      </c>
      <c r="E775" t="s">
        <v>120</v>
      </c>
      <c r="F775" t="s">
        <v>49</v>
      </c>
      <c r="G775" t="s">
        <v>1824</v>
      </c>
      <c r="H775" t="s">
        <v>1825</v>
      </c>
      <c r="J775" t="str">
        <f>HYPERLINK("https://www.facebook.com/454965103328545/posts/790436683114717?comment_id=218295981371528","https://www.facebook.com/454965103328545/posts/790436683114717?comment_id=218295981371528")</f>
        <v>https://www.facebook.com/454965103328545/posts/790436683114717?comment_id=218295981371528</v>
      </c>
      <c r="O775">
        <v>0</v>
      </c>
      <c r="P775">
        <v>0</v>
      </c>
      <c r="Q775">
        <v>0</v>
      </c>
      <c r="S775">
        <v>0</v>
      </c>
      <c r="T775">
        <v>0</v>
      </c>
      <c r="U775">
        <v>0</v>
      </c>
      <c r="W775" t="s">
        <v>62</v>
      </c>
    </row>
    <row r="776" spans="1:45" x14ac:dyDescent="0.35">
      <c r="A776" t="s">
        <v>45</v>
      </c>
      <c r="B776" t="s">
        <v>1826</v>
      </c>
      <c r="C776" t="s">
        <v>47</v>
      </c>
      <c r="D776" t="s">
        <v>445</v>
      </c>
      <c r="E776" t="s">
        <v>445</v>
      </c>
      <c r="F776" t="s">
        <v>49</v>
      </c>
      <c r="G776" t="s">
        <v>475</v>
      </c>
      <c r="H776" t="s">
        <v>1827</v>
      </c>
      <c r="J776" t="str">
        <f>HYPERLINK("https://www.facebook.com/454965103328545/posts/790436683114717?comment_id=275157342196843","https://www.facebook.com/454965103328545/posts/790436683114717?comment_id=275157342196843")</f>
        <v>https://www.facebook.com/454965103328545/posts/790436683114717?comment_id=275157342196843</v>
      </c>
      <c r="O776">
        <v>0</v>
      </c>
      <c r="P776">
        <v>0</v>
      </c>
      <c r="Q776">
        <v>0</v>
      </c>
      <c r="S776">
        <v>0</v>
      </c>
      <c r="T776">
        <v>0</v>
      </c>
      <c r="U776">
        <v>0</v>
      </c>
      <c r="W776" t="s">
        <v>62</v>
      </c>
      <c r="AP776" t="s">
        <v>101</v>
      </c>
    </row>
    <row r="777" spans="1:45" x14ac:dyDescent="0.35">
      <c r="A777" t="s">
        <v>45</v>
      </c>
      <c r="B777" t="s">
        <v>1826</v>
      </c>
      <c r="C777" t="s">
        <v>47</v>
      </c>
      <c r="D777" t="s">
        <v>445</v>
      </c>
      <c r="E777" t="s">
        <v>445</v>
      </c>
      <c r="F777" t="s">
        <v>49</v>
      </c>
      <c r="G777" t="s">
        <v>475</v>
      </c>
      <c r="H777" t="s">
        <v>1828</v>
      </c>
      <c r="J777" t="str">
        <f>HYPERLINK("https://www.facebook.com/454965103328545/posts/790436683114717?comment_id=1255086612116587","https://www.facebook.com/454965103328545/posts/790436683114717?comment_id=1255086612116587")</f>
        <v>https://www.facebook.com/454965103328545/posts/790436683114717?comment_id=1255086612116587</v>
      </c>
      <c r="O777">
        <v>0</v>
      </c>
      <c r="P777">
        <v>0</v>
      </c>
      <c r="Q777">
        <v>0</v>
      </c>
      <c r="S777">
        <v>0</v>
      </c>
      <c r="T777">
        <v>0</v>
      </c>
      <c r="U777">
        <v>0</v>
      </c>
      <c r="W777" t="s">
        <v>62</v>
      </c>
      <c r="AP777" t="s">
        <v>101</v>
      </c>
    </row>
    <row r="778" spans="1:45" x14ac:dyDescent="0.35">
      <c r="A778" t="s">
        <v>45</v>
      </c>
      <c r="B778" t="s">
        <v>1826</v>
      </c>
      <c r="C778" t="s">
        <v>47</v>
      </c>
      <c r="D778" t="s">
        <v>445</v>
      </c>
      <c r="E778" t="s">
        <v>445</v>
      </c>
      <c r="F778" t="s">
        <v>49</v>
      </c>
      <c r="G778" t="s">
        <v>471</v>
      </c>
      <c r="H778" t="s">
        <v>1829</v>
      </c>
      <c r="J778" t="str">
        <f>HYPERLINK("https://www.facebook.com/454965103328545/posts/790436683114717?comment_id=1444704736142752","https://www.facebook.com/454965103328545/posts/790436683114717?comment_id=1444704736142752")</f>
        <v>https://www.facebook.com/454965103328545/posts/790436683114717?comment_id=1444704736142752</v>
      </c>
      <c r="O778">
        <v>0</v>
      </c>
      <c r="P778">
        <v>0</v>
      </c>
      <c r="Q778">
        <v>0</v>
      </c>
      <c r="S778">
        <v>0</v>
      </c>
      <c r="T778">
        <v>0</v>
      </c>
      <c r="U778">
        <v>0</v>
      </c>
      <c r="W778" t="s">
        <v>62</v>
      </c>
    </row>
    <row r="779" spans="1:45" x14ac:dyDescent="0.35">
      <c r="A779" t="s">
        <v>45</v>
      </c>
      <c r="B779" t="s">
        <v>1826</v>
      </c>
      <c r="C779" t="s">
        <v>47</v>
      </c>
      <c r="D779" t="s">
        <v>445</v>
      </c>
      <c r="E779" t="s">
        <v>445</v>
      </c>
      <c r="F779" t="s">
        <v>142</v>
      </c>
      <c r="G779" t="s">
        <v>473</v>
      </c>
      <c r="H779" t="s">
        <v>1830</v>
      </c>
      <c r="J779" t="str">
        <f>HYPERLINK("https://www.facebook.com/454965103328545/posts/790436683114717?comment_id=966189061537875","https://www.facebook.com/454965103328545/posts/790436683114717?comment_id=966189061537875")</f>
        <v>https://www.facebook.com/454965103328545/posts/790436683114717?comment_id=966189061537875</v>
      </c>
      <c r="O779">
        <v>0</v>
      </c>
      <c r="P779">
        <v>0</v>
      </c>
      <c r="Q779">
        <v>0</v>
      </c>
      <c r="S779">
        <v>0</v>
      </c>
      <c r="T779">
        <v>0</v>
      </c>
      <c r="U779">
        <v>0</v>
      </c>
      <c r="W779" t="s">
        <v>62</v>
      </c>
    </row>
    <row r="780" spans="1:45" x14ac:dyDescent="0.35">
      <c r="A780" t="s">
        <v>45</v>
      </c>
      <c r="B780" t="s">
        <v>1826</v>
      </c>
      <c r="C780" t="s">
        <v>47</v>
      </c>
      <c r="D780" t="s">
        <v>45</v>
      </c>
      <c r="E780" t="s">
        <v>45</v>
      </c>
      <c r="F780" t="s">
        <v>49</v>
      </c>
      <c r="G780" t="s">
        <v>113</v>
      </c>
      <c r="H780" t="s">
        <v>1831</v>
      </c>
      <c r="J780" t="str">
        <f>HYPERLINK("https://www.facebook.com/357267201017935_791257656365953","https://www.facebook.com/357267201017935_791257656365953")</f>
        <v>https://www.facebook.com/357267201017935_791257656365953</v>
      </c>
      <c r="O780">
        <v>0</v>
      </c>
      <c r="P780">
        <v>0</v>
      </c>
      <c r="Q780">
        <v>0</v>
      </c>
      <c r="S780">
        <v>0</v>
      </c>
      <c r="T780">
        <v>0</v>
      </c>
      <c r="U780">
        <v>0</v>
      </c>
      <c r="W780" t="s">
        <v>106</v>
      </c>
      <c r="AS780" t="s">
        <v>115</v>
      </c>
    </row>
    <row r="781" spans="1:45" x14ac:dyDescent="0.35">
      <c r="A781" t="s">
        <v>45</v>
      </c>
      <c r="B781" t="s">
        <v>1826</v>
      </c>
      <c r="C781" t="s">
        <v>63</v>
      </c>
      <c r="D781" t="s">
        <v>1832</v>
      </c>
      <c r="E781" t="s">
        <v>1832</v>
      </c>
      <c r="F781" t="s">
        <v>49</v>
      </c>
      <c r="G781" t="s">
        <v>1833</v>
      </c>
      <c r="H781" t="s">
        <v>1834</v>
      </c>
      <c r="J781" t="str">
        <f>HYPERLINK("https://www.instagram.com/reel/C4p8KhXCRWe/","https://www.instagram.com/reel/C4p8KhXCRWe/")</f>
        <v>https://www.instagram.com/reel/C4p8KhXCRWe/</v>
      </c>
      <c r="O781">
        <v>0</v>
      </c>
      <c r="P781">
        <v>0</v>
      </c>
      <c r="Q781">
        <v>0</v>
      </c>
      <c r="S781">
        <v>0</v>
      </c>
      <c r="T781">
        <v>0</v>
      </c>
      <c r="U781">
        <v>0</v>
      </c>
      <c r="W781" t="s">
        <v>62</v>
      </c>
    </row>
    <row r="782" spans="1:45" x14ac:dyDescent="0.35">
      <c r="A782" t="s">
        <v>45</v>
      </c>
      <c r="B782" t="s">
        <v>1826</v>
      </c>
      <c r="C782" t="s">
        <v>47</v>
      </c>
      <c r="D782" t="s">
        <v>1835</v>
      </c>
      <c r="E782" t="s">
        <v>1835</v>
      </c>
      <c r="F782" t="s">
        <v>49</v>
      </c>
      <c r="G782" t="s">
        <v>1836</v>
      </c>
      <c r="H782" t="s">
        <v>1837</v>
      </c>
      <c r="J782" t="str">
        <f>HYPERLINK("https://www.facebook.com/454965103328545/posts/790436683114717?comment_id=1132816631493909","https://www.facebook.com/454965103328545/posts/790436683114717?comment_id=1132816631493909")</f>
        <v>https://www.facebook.com/454965103328545/posts/790436683114717?comment_id=1132816631493909</v>
      </c>
      <c r="O782">
        <v>0</v>
      </c>
      <c r="P782">
        <v>0</v>
      </c>
      <c r="Q782">
        <v>0</v>
      </c>
      <c r="S782">
        <v>0</v>
      </c>
      <c r="T782">
        <v>0</v>
      </c>
      <c r="U782">
        <v>0</v>
      </c>
      <c r="W782" t="s">
        <v>62</v>
      </c>
    </row>
    <row r="783" spans="1:45" x14ac:dyDescent="0.35">
      <c r="A783" t="s">
        <v>45</v>
      </c>
      <c r="B783" t="s">
        <v>1826</v>
      </c>
      <c r="C783" t="s">
        <v>58</v>
      </c>
      <c r="D783" t="s">
        <v>1838</v>
      </c>
      <c r="E783" t="s">
        <v>1838</v>
      </c>
      <c r="F783" t="s">
        <v>49</v>
      </c>
      <c r="G783" t="s">
        <v>1839</v>
      </c>
      <c r="H783" t="s">
        <v>1840</v>
      </c>
      <c r="J783" t="str">
        <f>HYPERLINK("https://www.youtube.com/watch?v=h0bepiiaMS8&amp;lc=UgyVBoEUu7PnhOGzQbh4AaABAg","https://www.youtube.com/watch?v=h0bepiiaMS8&amp;lc=UgyVBoEUu7PnhOGzQbh4AaABAg")</f>
        <v>https://www.youtube.com/watch?v=h0bepiiaMS8&amp;lc=UgyVBoEUu7PnhOGzQbh4AaABAg</v>
      </c>
      <c r="O783">
        <v>0</v>
      </c>
      <c r="P783">
        <v>0</v>
      </c>
      <c r="Q783">
        <v>0</v>
      </c>
      <c r="S783">
        <v>0</v>
      </c>
      <c r="T783">
        <v>0</v>
      </c>
      <c r="U783">
        <v>0</v>
      </c>
      <c r="W783" t="s">
        <v>62</v>
      </c>
    </row>
    <row r="784" spans="1:45" x14ac:dyDescent="0.35">
      <c r="A784" t="s">
        <v>45</v>
      </c>
      <c r="B784" t="s">
        <v>1826</v>
      </c>
      <c r="C784" t="s">
        <v>47</v>
      </c>
      <c r="D784" t="s">
        <v>911</v>
      </c>
      <c r="E784" t="s">
        <v>911</v>
      </c>
      <c r="F784" t="s">
        <v>49</v>
      </c>
      <c r="G784" t="s">
        <v>1841</v>
      </c>
      <c r="H784" t="s">
        <v>1842</v>
      </c>
      <c r="J784" t="str">
        <f>HYPERLINK("https://www.facebook.com/454965103328545/posts/790441803114205?comment_id=1157844325586841","https://www.facebook.com/454965103328545/posts/790441803114205?comment_id=1157844325586841")</f>
        <v>https://www.facebook.com/454965103328545/posts/790441803114205?comment_id=1157844325586841</v>
      </c>
      <c r="O784">
        <v>0</v>
      </c>
      <c r="P784">
        <v>0</v>
      </c>
      <c r="Q784">
        <v>0</v>
      </c>
      <c r="S784">
        <v>0</v>
      </c>
      <c r="T784">
        <v>0</v>
      </c>
      <c r="U784">
        <v>0</v>
      </c>
      <c r="W784" t="s">
        <v>62</v>
      </c>
    </row>
    <row r="785" spans="1:42" x14ac:dyDescent="0.35">
      <c r="A785" t="s">
        <v>45</v>
      </c>
      <c r="B785" t="s">
        <v>1826</v>
      </c>
      <c r="C785" t="s">
        <v>139</v>
      </c>
      <c r="D785" t="s">
        <v>1843</v>
      </c>
      <c r="E785" t="s">
        <v>1844</v>
      </c>
      <c r="F785" t="s">
        <v>49</v>
      </c>
      <c r="G785" t="s">
        <v>1845</v>
      </c>
      <c r="H785" t="s">
        <v>1846</v>
      </c>
      <c r="J785" t="str">
        <f>HYPERLINK("https://twitter.com/VijayBombl7720/status/1770100181167636872","https://twitter.com/VijayBombl7720/status/1770100181167636872")</f>
        <v>https://twitter.com/VijayBombl7720/status/1770100181167636872</v>
      </c>
      <c r="K785" t="s">
        <v>145</v>
      </c>
      <c r="O785">
        <v>0</v>
      </c>
      <c r="P785">
        <v>0</v>
      </c>
      <c r="Q785">
        <v>738</v>
      </c>
      <c r="R785" t="s">
        <v>1847</v>
      </c>
      <c r="S785">
        <v>0</v>
      </c>
      <c r="T785">
        <v>0</v>
      </c>
      <c r="U785">
        <v>0</v>
      </c>
      <c r="W785" t="s">
        <v>552</v>
      </c>
    </row>
    <row r="786" spans="1:42" x14ac:dyDescent="0.35">
      <c r="A786" t="s">
        <v>45</v>
      </c>
      <c r="B786" t="s">
        <v>1826</v>
      </c>
      <c r="C786" t="s">
        <v>47</v>
      </c>
      <c r="D786" t="s">
        <v>1848</v>
      </c>
      <c r="E786" t="s">
        <v>1848</v>
      </c>
      <c r="F786" t="s">
        <v>76</v>
      </c>
      <c r="G786" t="s">
        <v>1849</v>
      </c>
      <c r="H786" t="s">
        <v>1850</v>
      </c>
      <c r="J786" t="str">
        <f>HYPERLINK("https://www.facebook.com/454965103328545/posts/790436683114717?comment_id=767331635064661","https://www.facebook.com/454965103328545/posts/790436683114717?comment_id=767331635064661")</f>
        <v>https://www.facebook.com/454965103328545/posts/790436683114717?comment_id=767331635064661</v>
      </c>
      <c r="O786">
        <v>0</v>
      </c>
      <c r="P786">
        <v>0</v>
      </c>
      <c r="Q786">
        <v>0</v>
      </c>
      <c r="S786">
        <v>0</v>
      </c>
      <c r="T786">
        <v>0</v>
      </c>
      <c r="U786">
        <v>0</v>
      </c>
      <c r="W786" t="s">
        <v>62</v>
      </c>
      <c r="AP786" t="s">
        <v>101</v>
      </c>
    </row>
    <row r="787" spans="1:42" x14ac:dyDescent="0.35">
      <c r="A787" t="s">
        <v>45</v>
      </c>
      <c r="B787" t="s">
        <v>1826</v>
      </c>
      <c r="C787" t="s">
        <v>63</v>
      </c>
      <c r="D787" t="s">
        <v>1851</v>
      </c>
      <c r="E787" t="s">
        <v>1851</v>
      </c>
      <c r="F787" t="s">
        <v>49</v>
      </c>
      <c r="G787" t="s">
        <v>1852</v>
      </c>
      <c r="H787" t="s">
        <v>1853</v>
      </c>
      <c r="J787" t="str">
        <f>HYPERLINK("https://www.instagram.com/reel/C4p8KhXCRWe/","https://www.instagram.com/reel/C4p8KhXCRWe/")</f>
        <v>https://www.instagram.com/reel/C4p8KhXCRWe/</v>
      </c>
      <c r="O787">
        <v>0</v>
      </c>
      <c r="P787">
        <v>0</v>
      </c>
      <c r="Q787">
        <v>0</v>
      </c>
      <c r="S787">
        <v>0</v>
      </c>
      <c r="T787">
        <v>0</v>
      </c>
      <c r="U787">
        <v>0</v>
      </c>
      <c r="W787" t="s">
        <v>62</v>
      </c>
    </row>
    <row r="788" spans="1:42" x14ac:dyDescent="0.35">
      <c r="A788" t="s">
        <v>45</v>
      </c>
      <c r="B788" t="s">
        <v>1826</v>
      </c>
      <c r="C788" t="s">
        <v>58</v>
      </c>
      <c r="D788" t="s">
        <v>1854</v>
      </c>
      <c r="E788" t="s">
        <v>1854</v>
      </c>
      <c r="F788" t="s">
        <v>142</v>
      </c>
      <c r="G788" t="s">
        <v>1855</v>
      </c>
      <c r="H788" t="s">
        <v>1856</v>
      </c>
      <c r="J788" t="str">
        <f>HYPERLINK("https://www.youtube.com/watch?v=1qIVHUz3M3c","https://www.youtube.com/watch?v=1qIVHUz3M3c")</f>
        <v>https://www.youtube.com/watch?v=1qIVHUz3M3c</v>
      </c>
      <c r="O788">
        <v>0</v>
      </c>
      <c r="P788">
        <v>0</v>
      </c>
      <c r="Q788">
        <v>0</v>
      </c>
      <c r="S788">
        <v>0</v>
      </c>
      <c r="T788">
        <v>0</v>
      </c>
      <c r="U788">
        <v>0</v>
      </c>
      <c r="W788" t="s">
        <v>106</v>
      </c>
    </row>
    <row r="789" spans="1:42" x14ac:dyDescent="0.35">
      <c r="A789" t="s">
        <v>45</v>
      </c>
      <c r="B789" t="s">
        <v>1826</v>
      </c>
      <c r="C789" t="s">
        <v>139</v>
      </c>
      <c r="D789" t="s">
        <v>1857</v>
      </c>
      <c r="E789" t="s">
        <v>1858</v>
      </c>
      <c r="F789" t="s">
        <v>49</v>
      </c>
      <c r="G789" t="s">
        <v>1859</v>
      </c>
      <c r="H789" t="s">
        <v>1860</v>
      </c>
      <c r="J789" t="str">
        <f>HYPERLINK("https://twitter.com/santuku96/status/1770081547582124334","https://twitter.com/santuku96/status/1770081547582124334")</f>
        <v>https://twitter.com/santuku96/status/1770081547582124334</v>
      </c>
      <c r="K789" t="s">
        <v>145</v>
      </c>
      <c r="O789">
        <v>0</v>
      </c>
      <c r="P789">
        <v>0</v>
      </c>
      <c r="Q789">
        <v>1</v>
      </c>
      <c r="S789">
        <v>0</v>
      </c>
      <c r="T789">
        <v>0</v>
      </c>
      <c r="U789">
        <v>0</v>
      </c>
      <c r="W789" t="s">
        <v>146</v>
      </c>
    </row>
    <row r="790" spans="1:42" x14ac:dyDescent="0.35">
      <c r="A790" t="s">
        <v>45</v>
      </c>
      <c r="B790" t="s">
        <v>1826</v>
      </c>
      <c r="C790" t="s">
        <v>47</v>
      </c>
      <c r="D790" t="s">
        <v>1861</v>
      </c>
      <c r="E790" t="s">
        <v>1861</v>
      </c>
      <c r="F790" t="s">
        <v>49</v>
      </c>
      <c r="G790" t="s">
        <v>1862</v>
      </c>
      <c r="H790" t="s">
        <v>1863</v>
      </c>
      <c r="J790" t="str">
        <f>HYPERLINK("https://www.facebook.com/454965103328545/posts/790441803114205?comment_id=1538270087022561","https://www.facebook.com/454965103328545/posts/790441803114205?comment_id=1538270087022561")</f>
        <v>https://www.facebook.com/454965103328545/posts/790441803114205?comment_id=1538270087022561</v>
      </c>
      <c r="O790">
        <v>0</v>
      </c>
      <c r="P790">
        <v>0</v>
      </c>
      <c r="Q790">
        <v>0</v>
      </c>
      <c r="S790">
        <v>0</v>
      </c>
      <c r="T790">
        <v>0</v>
      </c>
      <c r="U790">
        <v>0</v>
      </c>
      <c r="W790" t="s">
        <v>62</v>
      </c>
    </row>
    <row r="791" spans="1:42" x14ac:dyDescent="0.35">
      <c r="A791" t="s">
        <v>45</v>
      </c>
      <c r="B791" t="s">
        <v>1826</v>
      </c>
      <c r="C791" t="s">
        <v>139</v>
      </c>
      <c r="D791" t="s">
        <v>1864</v>
      </c>
      <c r="E791" t="s">
        <v>1865</v>
      </c>
      <c r="F791" t="s">
        <v>49</v>
      </c>
      <c r="G791" t="s">
        <v>1866</v>
      </c>
      <c r="H791" t="s">
        <v>1867</v>
      </c>
      <c r="J791" t="str">
        <f>HYPERLINK("https://twitter.com/BombayChamber/status/1770057064343130283","https://twitter.com/BombayChamber/status/1770057064343130283")</f>
        <v>https://twitter.com/BombayChamber/status/1770057064343130283</v>
      </c>
      <c r="O791">
        <v>0</v>
      </c>
      <c r="P791">
        <v>0</v>
      </c>
      <c r="Q791">
        <v>1545</v>
      </c>
      <c r="R791" t="s">
        <v>1868</v>
      </c>
      <c r="S791">
        <v>0</v>
      </c>
      <c r="T791">
        <v>0</v>
      </c>
      <c r="U791">
        <v>0</v>
      </c>
      <c r="W791" t="s">
        <v>146</v>
      </c>
      <c r="AP791" t="s">
        <v>101</v>
      </c>
    </row>
    <row r="792" spans="1:42" x14ac:dyDescent="0.35">
      <c r="A792" t="s">
        <v>45</v>
      </c>
      <c r="B792" t="s">
        <v>1826</v>
      </c>
      <c r="C792" t="s">
        <v>102</v>
      </c>
      <c r="D792" t="s">
        <v>1869</v>
      </c>
      <c r="E792" t="s">
        <v>1869</v>
      </c>
      <c r="F792" t="s">
        <v>76</v>
      </c>
      <c r="G792" t="s">
        <v>1870</v>
      </c>
      <c r="H792" t="s">
        <v>1871</v>
      </c>
      <c r="J792" t="str">
        <f>HYPERLINK("https://www.linkedin.com/feed/update/urn:li:activity:7175817447831199744","https://www.linkedin.com/feed/update/urn:li:activity:7175817447831199744")</f>
        <v>https://www.linkedin.com/feed/update/urn:li:activity:7175817447831199744</v>
      </c>
      <c r="O792">
        <v>0</v>
      </c>
      <c r="P792">
        <v>0</v>
      </c>
      <c r="Q792">
        <v>0</v>
      </c>
      <c r="S792">
        <v>0</v>
      </c>
      <c r="T792">
        <v>0</v>
      </c>
      <c r="U792">
        <v>0</v>
      </c>
      <c r="W792" t="s">
        <v>106</v>
      </c>
    </row>
    <row r="793" spans="1:42" x14ac:dyDescent="0.35">
      <c r="A793" t="s">
        <v>45</v>
      </c>
      <c r="B793" t="s">
        <v>1826</v>
      </c>
      <c r="C793" t="s">
        <v>139</v>
      </c>
      <c r="D793" t="s">
        <v>942</v>
      </c>
      <c r="E793" t="s">
        <v>943</v>
      </c>
      <c r="F793" t="s">
        <v>49</v>
      </c>
      <c r="G793" t="s">
        <v>1872</v>
      </c>
      <c r="H793" t="s">
        <v>1873</v>
      </c>
      <c r="J793" t="str">
        <f>HYPERLINK("https://twitter.com/rajendras1819/status/1770051115008278554","https://twitter.com/rajendras1819/status/1770051115008278554")</f>
        <v>https://twitter.com/rajendras1819/status/1770051115008278554</v>
      </c>
      <c r="O793">
        <v>0</v>
      </c>
      <c r="P793">
        <v>0</v>
      </c>
      <c r="Q793">
        <v>267</v>
      </c>
      <c r="R793" t="s">
        <v>946</v>
      </c>
      <c r="S793">
        <v>0</v>
      </c>
      <c r="T793">
        <v>0</v>
      </c>
      <c r="U793">
        <v>0</v>
      </c>
      <c r="W793" t="s">
        <v>552</v>
      </c>
    </row>
    <row r="794" spans="1:42" x14ac:dyDescent="0.35">
      <c r="A794" t="s">
        <v>45</v>
      </c>
      <c r="B794" t="s">
        <v>1826</v>
      </c>
      <c r="C794" t="s">
        <v>63</v>
      </c>
      <c r="D794" t="s">
        <v>186</v>
      </c>
      <c r="E794" t="s">
        <v>186</v>
      </c>
      <c r="F794" t="s">
        <v>49</v>
      </c>
      <c r="G794" t="s">
        <v>1874</v>
      </c>
      <c r="H794" t="s">
        <v>1875</v>
      </c>
      <c r="J794" t="str">
        <f>HYPERLINK("https://www.instagram.com/p/C4sbdwTBLs1/","https://www.instagram.com/p/C4sbdwTBLs1/")</f>
        <v>https://www.instagram.com/p/C4sbdwTBLs1/</v>
      </c>
      <c r="O794">
        <v>0</v>
      </c>
      <c r="P794">
        <v>0</v>
      </c>
      <c r="Q794">
        <v>0</v>
      </c>
      <c r="S794">
        <v>0</v>
      </c>
      <c r="T794">
        <v>109</v>
      </c>
      <c r="U794">
        <v>0</v>
      </c>
      <c r="W794" t="s">
        <v>106</v>
      </c>
    </row>
    <row r="795" spans="1:42" x14ac:dyDescent="0.35">
      <c r="A795" t="s">
        <v>45</v>
      </c>
      <c r="B795" t="s">
        <v>1826</v>
      </c>
      <c r="C795" t="s">
        <v>139</v>
      </c>
      <c r="D795" t="s">
        <v>190</v>
      </c>
      <c r="E795" t="s">
        <v>45</v>
      </c>
      <c r="F795" t="s">
        <v>49</v>
      </c>
      <c r="G795" t="s">
        <v>1872</v>
      </c>
      <c r="H795" t="s">
        <v>1876</v>
      </c>
      <c r="J795" t="str">
        <f>HYPERLINK("https://twitter.com/FinoPaymntsBank/status/1770050083557613700","https://twitter.com/FinoPaymntsBank/status/1770050083557613700")</f>
        <v>https://twitter.com/FinoPaymntsBank/status/1770050083557613700</v>
      </c>
      <c r="K795" t="s">
        <v>145</v>
      </c>
      <c r="O795">
        <v>0</v>
      </c>
      <c r="P795">
        <v>0</v>
      </c>
      <c r="Q795">
        <v>8456</v>
      </c>
      <c r="R795" t="s">
        <v>193</v>
      </c>
      <c r="S795">
        <v>0</v>
      </c>
      <c r="T795">
        <v>0</v>
      </c>
      <c r="U795">
        <v>0</v>
      </c>
      <c r="W795" t="s">
        <v>146</v>
      </c>
    </row>
    <row r="796" spans="1:42" x14ac:dyDescent="0.35">
      <c r="A796" t="s">
        <v>45</v>
      </c>
      <c r="B796" t="s">
        <v>1826</v>
      </c>
      <c r="C796" t="s">
        <v>139</v>
      </c>
      <c r="D796" t="s">
        <v>1877</v>
      </c>
      <c r="E796" t="s">
        <v>1878</v>
      </c>
      <c r="F796" t="s">
        <v>49</v>
      </c>
      <c r="G796" t="s">
        <v>1845</v>
      </c>
      <c r="H796" t="s">
        <v>1879</v>
      </c>
      <c r="J796" t="str">
        <f>HYPERLINK("https://twitter.com/livemint/status/1770044331140829691","https://twitter.com/livemint/status/1770044331140829691")</f>
        <v>https://twitter.com/livemint/status/1770044331140829691</v>
      </c>
      <c r="K796" t="s">
        <v>145</v>
      </c>
      <c r="O796">
        <v>0</v>
      </c>
      <c r="P796">
        <v>0</v>
      </c>
      <c r="Q796">
        <v>2092934</v>
      </c>
      <c r="R796" t="s">
        <v>582</v>
      </c>
      <c r="S796">
        <v>0</v>
      </c>
      <c r="T796">
        <v>0</v>
      </c>
      <c r="U796">
        <v>0</v>
      </c>
      <c r="V796" t="s">
        <v>642</v>
      </c>
      <c r="W796" t="s">
        <v>146</v>
      </c>
    </row>
    <row r="797" spans="1:42" x14ac:dyDescent="0.35">
      <c r="A797" t="s">
        <v>45</v>
      </c>
      <c r="B797" t="s">
        <v>1826</v>
      </c>
      <c r="C797" t="s">
        <v>58</v>
      </c>
      <c r="D797" t="s">
        <v>1880</v>
      </c>
      <c r="E797" t="s">
        <v>1880</v>
      </c>
      <c r="F797" t="s">
        <v>142</v>
      </c>
      <c r="G797" t="s">
        <v>1881</v>
      </c>
      <c r="H797" t="s">
        <v>1882</v>
      </c>
      <c r="J797" t="str">
        <f>HYPERLINK("https://www.youtube.com/watch?v=WP9gdiBOJ_I&amp;lc=Ugz9oAj8PsIwTE0Jgtd4AaABAg","https://www.youtube.com/watch?v=WP9gdiBOJ_I&amp;lc=Ugz9oAj8PsIwTE0Jgtd4AaABAg")</f>
        <v>https://www.youtube.com/watch?v=WP9gdiBOJ_I&amp;lc=Ugz9oAj8PsIwTE0Jgtd4AaABAg</v>
      </c>
      <c r="O797">
        <v>0</v>
      </c>
      <c r="P797">
        <v>0</v>
      </c>
      <c r="Q797">
        <v>0</v>
      </c>
      <c r="S797">
        <v>0</v>
      </c>
      <c r="T797">
        <v>0</v>
      </c>
      <c r="U797">
        <v>0</v>
      </c>
      <c r="W797" t="s">
        <v>62</v>
      </c>
      <c r="AP797" t="s">
        <v>147</v>
      </c>
    </row>
    <row r="798" spans="1:42" x14ac:dyDescent="0.35">
      <c r="A798" t="s">
        <v>45</v>
      </c>
      <c r="B798" t="s">
        <v>1826</v>
      </c>
      <c r="C798" t="s">
        <v>102</v>
      </c>
      <c r="D798" t="s">
        <v>965</v>
      </c>
      <c r="E798" t="s">
        <v>965</v>
      </c>
      <c r="F798" t="s">
        <v>49</v>
      </c>
      <c r="G798" t="s">
        <v>1883</v>
      </c>
      <c r="H798" t="s">
        <v>1884</v>
      </c>
      <c r="J798" t="str">
        <f>HYPERLINK("https://www.linkedin.com/feed/update/urn:li:ugcPost:7175795582928568321","https://www.linkedin.com/feed/update/urn:li:ugcPost:7175795582928568321")</f>
        <v>https://www.linkedin.com/feed/update/urn:li:ugcPost:7175795582928568321</v>
      </c>
      <c r="O798">
        <v>0</v>
      </c>
      <c r="P798">
        <v>0</v>
      </c>
      <c r="Q798">
        <v>0</v>
      </c>
      <c r="S798">
        <v>0</v>
      </c>
      <c r="T798">
        <v>44</v>
      </c>
      <c r="U798">
        <v>0</v>
      </c>
      <c r="W798" t="s">
        <v>106</v>
      </c>
    </row>
    <row r="799" spans="1:42" x14ac:dyDescent="0.35">
      <c r="A799" t="s">
        <v>45</v>
      </c>
      <c r="B799" t="s">
        <v>1826</v>
      </c>
      <c r="C799" t="s">
        <v>139</v>
      </c>
      <c r="D799" t="s">
        <v>1885</v>
      </c>
      <c r="E799" t="s">
        <v>1886</v>
      </c>
      <c r="F799" t="s">
        <v>76</v>
      </c>
      <c r="G799" t="s">
        <v>1887</v>
      </c>
      <c r="H799" t="s">
        <v>1888</v>
      </c>
      <c r="J799" t="str">
        <f>HYPERLINK("https://twitter.com/Chhotu7650/status/1770027775698886936","https://twitter.com/Chhotu7650/status/1770027775698886936")</f>
        <v>https://twitter.com/Chhotu7650/status/1770027775698886936</v>
      </c>
      <c r="K799" t="s">
        <v>145</v>
      </c>
      <c r="O799">
        <v>0</v>
      </c>
      <c r="P799">
        <v>0</v>
      </c>
      <c r="Q799">
        <v>0</v>
      </c>
      <c r="R799" t="s">
        <v>1889</v>
      </c>
      <c r="S799">
        <v>0</v>
      </c>
      <c r="T799">
        <v>0</v>
      </c>
      <c r="U799">
        <v>0</v>
      </c>
      <c r="W799" t="s">
        <v>146</v>
      </c>
    </row>
    <row r="800" spans="1:42" x14ac:dyDescent="0.35">
      <c r="A800" t="s">
        <v>45</v>
      </c>
      <c r="B800" t="s">
        <v>1826</v>
      </c>
      <c r="C800" t="s">
        <v>139</v>
      </c>
      <c r="D800" t="s">
        <v>1885</v>
      </c>
      <c r="E800" t="s">
        <v>1886</v>
      </c>
      <c r="F800" t="s">
        <v>49</v>
      </c>
      <c r="G800" t="s">
        <v>1890</v>
      </c>
      <c r="H800" t="s">
        <v>1891</v>
      </c>
      <c r="J800" t="str">
        <f>HYPERLINK("https://twitter.com/Chhotu7650/status/1770026947617427840","https://twitter.com/Chhotu7650/status/1770026947617427840")</f>
        <v>https://twitter.com/Chhotu7650/status/1770026947617427840</v>
      </c>
      <c r="K800" t="s">
        <v>145</v>
      </c>
      <c r="O800">
        <v>0</v>
      </c>
      <c r="P800">
        <v>0</v>
      </c>
      <c r="Q800">
        <v>0</v>
      </c>
      <c r="R800" t="s">
        <v>1889</v>
      </c>
      <c r="S800">
        <v>0</v>
      </c>
      <c r="T800">
        <v>0</v>
      </c>
      <c r="U800">
        <v>0</v>
      </c>
      <c r="W800" t="s">
        <v>146</v>
      </c>
      <c r="AP800" t="s">
        <v>94</v>
      </c>
    </row>
    <row r="801" spans="1:42" x14ac:dyDescent="0.35">
      <c r="A801" t="s">
        <v>45</v>
      </c>
      <c r="B801" t="s">
        <v>1826</v>
      </c>
      <c r="C801" t="s">
        <v>139</v>
      </c>
      <c r="D801" t="s">
        <v>1885</v>
      </c>
      <c r="E801" t="s">
        <v>1886</v>
      </c>
      <c r="F801" t="s">
        <v>49</v>
      </c>
      <c r="G801" t="s">
        <v>1892</v>
      </c>
      <c r="H801" t="s">
        <v>1893</v>
      </c>
      <c r="J801" t="str">
        <f>HYPERLINK("https://twitter.com/Chhotu7650/status/1770026791165624677","https://twitter.com/Chhotu7650/status/1770026791165624677")</f>
        <v>https://twitter.com/Chhotu7650/status/1770026791165624677</v>
      </c>
      <c r="K801" t="s">
        <v>145</v>
      </c>
      <c r="O801">
        <v>0</v>
      </c>
      <c r="P801">
        <v>0</v>
      </c>
      <c r="Q801">
        <v>0</v>
      </c>
      <c r="R801" t="s">
        <v>1889</v>
      </c>
      <c r="S801">
        <v>0</v>
      </c>
      <c r="T801">
        <v>0</v>
      </c>
      <c r="U801">
        <v>0</v>
      </c>
      <c r="W801" t="s">
        <v>146</v>
      </c>
    </row>
    <row r="802" spans="1:42" x14ac:dyDescent="0.35">
      <c r="A802" t="s">
        <v>45</v>
      </c>
      <c r="B802" t="s">
        <v>1826</v>
      </c>
      <c r="C802" t="s">
        <v>58</v>
      </c>
      <c r="D802" t="s">
        <v>1894</v>
      </c>
      <c r="E802" t="s">
        <v>1894</v>
      </c>
      <c r="F802" t="s">
        <v>49</v>
      </c>
      <c r="G802" t="s">
        <v>1895</v>
      </c>
      <c r="H802" t="s">
        <v>1896</v>
      </c>
      <c r="J802" t="str">
        <f>HYPERLINK("https://www.youtube.com/watch?v=L-Y0HIqRzTs","https://www.youtube.com/watch?v=L-Y0HIqRzTs")</f>
        <v>https://www.youtube.com/watch?v=L-Y0HIqRzTs</v>
      </c>
      <c r="O802">
        <v>0</v>
      </c>
      <c r="P802">
        <v>0</v>
      </c>
      <c r="Q802">
        <v>0</v>
      </c>
      <c r="S802">
        <v>0</v>
      </c>
      <c r="T802">
        <v>0</v>
      </c>
      <c r="U802">
        <v>0</v>
      </c>
      <c r="W802" t="s">
        <v>106</v>
      </c>
    </row>
    <row r="803" spans="1:42" x14ac:dyDescent="0.35">
      <c r="A803" t="s">
        <v>45</v>
      </c>
      <c r="B803" t="s">
        <v>1826</v>
      </c>
      <c r="C803" t="s">
        <v>139</v>
      </c>
      <c r="D803" t="s">
        <v>1243</v>
      </c>
      <c r="E803" t="s">
        <v>1244</v>
      </c>
      <c r="F803" t="s">
        <v>49</v>
      </c>
      <c r="G803" t="s">
        <v>1897</v>
      </c>
      <c r="H803" t="s">
        <v>1898</v>
      </c>
      <c r="J803" t="str">
        <f>HYPERLINK("https://twitter.com/PayNearby/status/1769990937319448811","https://twitter.com/PayNearby/status/1769990937319448811")</f>
        <v>https://twitter.com/PayNearby/status/1769990937319448811</v>
      </c>
      <c r="O803">
        <v>0</v>
      </c>
      <c r="P803">
        <v>0</v>
      </c>
      <c r="Q803">
        <v>6033</v>
      </c>
      <c r="R803" t="s">
        <v>1247</v>
      </c>
      <c r="S803">
        <v>0</v>
      </c>
      <c r="T803">
        <v>0</v>
      </c>
      <c r="U803">
        <v>0</v>
      </c>
      <c r="W803" t="s">
        <v>146</v>
      </c>
    </row>
    <row r="804" spans="1:42" x14ac:dyDescent="0.35">
      <c r="A804" t="s">
        <v>45</v>
      </c>
      <c r="B804" t="s">
        <v>1826</v>
      </c>
      <c r="C804" t="s">
        <v>58</v>
      </c>
      <c r="D804" t="s">
        <v>1406</v>
      </c>
      <c r="E804" t="s">
        <v>1406</v>
      </c>
      <c r="F804" t="s">
        <v>49</v>
      </c>
      <c r="G804" t="s">
        <v>1899</v>
      </c>
      <c r="H804" t="s">
        <v>1900</v>
      </c>
      <c r="J804" t="str">
        <f>HYPERLINK("https://www.youtube.com/watch?v=_xLnWO_Alc4","https://www.youtube.com/watch?v=_xLnWO_Alc4")</f>
        <v>https://www.youtube.com/watch?v=_xLnWO_Alc4</v>
      </c>
      <c r="O804">
        <v>0</v>
      </c>
      <c r="P804">
        <v>0</v>
      </c>
      <c r="Q804">
        <v>0</v>
      </c>
      <c r="S804">
        <v>0</v>
      </c>
      <c r="T804">
        <v>0</v>
      </c>
      <c r="U804">
        <v>0</v>
      </c>
      <c r="W804" t="s">
        <v>106</v>
      </c>
      <c r="AP804" t="s">
        <v>94</v>
      </c>
    </row>
    <row r="805" spans="1:42" x14ac:dyDescent="0.35">
      <c r="A805" t="s">
        <v>45</v>
      </c>
      <c r="B805" t="s">
        <v>1826</v>
      </c>
      <c r="C805" t="s">
        <v>102</v>
      </c>
      <c r="D805" t="s">
        <v>1901</v>
      </c>
      <c r="E805" t="s">
        <v>1901</v>
      </c>
      <c r="F805" t="s">
        <v>76</v>
      </c>
      <c r="G805" t="s">
        <v>1902</v>
      </c>
      <c r="H805" t="s">
        <v>1903</v>
      </c>
      <c r="J805" t="str">
        <f>HYPERLINK("https://www.linkedin.com/feed/update/urn:li:ugcPost:7175743410236989440","https://www.linkedin.com/feed/update/urn:li:ugcPost:7175743410236989440")</f>
        <v>https://www.linkedin.com/feed/update/urn:li:ugcPost:7175743410236989440</v>
      </c>
      <c r="O805">
        <v>0</v>
      </c>
      <c r="P805">
        <v>0</v>
      </c>
      <c r="Q805">
        <v>0</v>
      </c>
      <c r="S805">
        <v>0</v>
      </c>
      <c r="T805">
        <v>0</v>
      </c>
      <c r="U805">
        <v>0</v>
      </c>
      <c r="W805" t="s">
        <v>106</v>
      </c>
    </row>
    <row r="806" spans="1:42" x14ac:dyDescent="0.35">
      <c r="A806" t="s">
        <v>45</v>
      </c>
      <c r="B806" t="s">
        <v>1826</v>
      </c>
      <c r="C806" t="s">
        <v>102</v>
      </c>
      <c r="D806" t="s">
        <v>1901</v>
      </c>
      <c r="E806" t="s">
        <v>1901</v>
      </c>
      <c r="F806" t="s">
        <v>76</v>
      </c>
      <c r="G806" t="s">
        <v>1904</v>
      </c>
      <c r="H806" t="s">
        <v>1905</v>
      </c>
      <c r="J806" t="str">
        <f>HYPERLINK("https://www.linkedin.com/feed/update/urn:li:activity:7175741448854605825","https://www.linkedin.com/feed/update/urn:li:activity:7175741448854605825")</f>
        <v>https://www.linkedin.com/feed/update/urn:li:activity:7175741448854605825</v>
      </c>
      <c r="O806">
        <v>0</v>
      </c>
      <c r="P806">
        <v>0</v>
      </c>
      <c r="Q806">
        <v>0</v>
      </c>
      <c r="S806">
        <v>0</v>
      </c>
      <c r="T806">
        <v>0</v>
      </c>
      <c r="U806">
        <v>0</v>
      </c>
      <c r="W806" t="s">
        <v>106</v>
      </c>
    </row>
    <row r="807" spans="1:42" x14ac:dyDescent="0.35">
      <c r="A807" t="s">
        <v>45</v>
      </c>
      <c r="B807" t="s">
        <v>1826</v>
      </c>
      <c r="C807" t="s">
        <v>58</v>
      </c>
      <c r="D807" t="s">
        <v>1906</v>
      </c>
      <c r="E807" t="s">
        <v>1906</v>
      </c>
      <c r="F807" t="s">
        <v>49</v>
      </c>
      <c r="G807" t="s">
        <v>1907</v>
      </c>
      <c r="H807" t="s">
        <v>1908</v>
      </c>
      <c r="J807" t="str">
        <f>HYPERLINK("https://www.youtube.com/watch?v=dpBTU_D9KzI","https://www.youtube.com/watch?v=dpBTU_D9KzI")</f>
        <v>https://www.youtube.com/watch?v=dpBTU_D9KzI</v>
      </c>
      <c r="O807">
        <v>0</v>
      </c>
      <c r="P807">
        <v>0</v>
      </c>
      <c r="Q807">
        <v>0</v>
      </c>
      <c r="S807">
        <v>0</v>
      </c>
      <c r="T807">
        <v>0</v>
      </c>
      <c r="U807">
        <v>0</v>
      </c>
      <c r="W807" t="s">
        <v>106</v>
      </c>
    </row>
    <row r="808" spans="1:42" x14ac:dyDescent="0.35">
      <c r="A808" t="s">
        <v>45</v>
      </c>
      <c r="B808" t="s">
        <v>1826</v>
      </c>
      <c r="C808" t="s">
        <v>58</v>
      </c>
      <c r="D808" t="s">
        <v>1909</v>
      </c>
      <c r="E808" t="s">
        <v>1909</v>
      </c>
      <c r="F808" t="s">
        <v>142</v>
      </c>
      <c r="G808" t="s">
        <v>1910</v>
      </c>
      <c r="H808" t="s">
        <v>1911</v>
      </c>
      <c r="J808" t="str">
        <f>HYPERLINK("https://www.youtube.com/watch?v=yfJXjT2lUUI","https://www.youtube.com/watch?v=yfJXjT2lUUI")</f>
        <v>https://www.youtube.com/watch?v=yfJXjT2lUUI</v>
      </c>
      <c r="O808">
        <v>0</v>
      </c>
      <c r="P808">
        <v>0</v>
      </c>
      <c r="Q808">
        <v>0</v>
      </c>
      <c r="S808">
        <v>0</v>
      </c>
      <c r="T808">
        <v>0</v>
      </c>
      <c r="U808">
        <v>0</v>
      </c>
      <c r="W808" t="s">
        <v>106</v>
      </c>
    </row>
    <row r="809" spans="1:42" x14ac:dyDescent="0.35">
      <c r="A809" t="s">
        <v>45</v>
      </c>
      <c r="B809" t="s">
        <v>1826</v>
      </c>
      <c r="C809" t="s">
        <v>102</v>
      </c>
      <c r="D809" t="s">
        <v>1912</v>
      </c>
      <c r="E809" t="s">
        <v>1912</v>
      </c>
      <c r="F809" t="s">
        <v>76</v>
      </c>
      <c r="G809" t="s">
        <v>1913</v>
      </c>
      <c r="H809" t="s">
        <v>1914</v>
      </c>
      <c r="J809" t="str">
        <f>HYPERLINK("https://www.linkedin.com/feed/update/urn:li:ugcPost:7175690692134854656","https://www.linkedin.com/feed/update/urn:li:ugcPost:7175690692134854656")</f>
        <v>https://www.linkedin.com/feed/update/urn:li:ugcPost:7175690692134854656</v>
      </c>
      <c r="O809">
        <v>0</v>
      </c>
      <c r="P809">
        <v>0</v>
      </c>
      <c r="Q809">
        <v>0</v>
      </c>
      <c r="S809">
        <v>0</v>
      </c>
      <c r="T809">
        <v>0</v>
      </c>
      <c r="U809">
        <v>0</v>
      </c>
      <c r="W809" t="s">
        <v>106</v>
      </c>
    </row>
    <row r="810" spans="1:42" x14ac:dyDescent="0.35">
      <c r="A810" t="s">
        <v>45</v>
      </c>
      <c r="B810" t="s">
        <v>1826</v>
      </c>
      <c r="C810" t="s">
        <v>58</v>
      </c>
      <c r="D810" t="s">
        <v>1452</v>
      </c>
      <c r="E810" t="s">
        <v>1452</v>
      </c>
      <c r="F810" t="s">
        <v>49</v>
      </c>
      <c r="G810" t="s">
        <v>1915</v>
      </c>
      <c r="H810" t="s">
        <v>1916</v>
      </c>
      <c r="J810" t="str">
        <f>HYPERLINK("https://www.youtube.com/watch?v=9K2kda38blc","https://www.youtube.com/watch?v=9K2kda38blc")</f>
        <v>https://www.youtube.com/watch?v=9K2kda38blc</v>
      </c>
      <c r="O810">
        <v>0</v>
      </c>
      <c r="P810">
        <v>0</v>
      </c>
      <c r="Q810">
        <v>0</v>
      </c>
      <c r="S810">
        <v>0</v>
      </c>
      <c r="T810">
        <v>0</v>
      </c>
      <c r="U810">
        <v>0</v>
      </c>
      <c r="W810" t="s">
        <v>106</v>
      </c>
    </row>
    <row r="811" spans="1:42" x14ac:dyDescent="0.35">
      <c r="A811" t="s">
        <v>45</v>
      </c>
      <c r="B811" t="s">
        <v>1826</v>
      </c>
      <c r="C811" t="s">
        <v>47</v>
      </c>
      <c r="D811" t="s">
        <v>1917</v>
      </c>
      <c r="E811" t="s">
        <v>1917</v>
      </c>
      <c r="F811" t="s">
        <v>49</v>
      </c>
      <c r="G811" t="s">
        <v>1918</v>
      </c>
      <c r="H811" t="s">
        <v>1919</v>
      </c>
      <c r="J811" t="str">
        <f>HYPERLINK("https://www.facebook.com/454965103328545/posts/490024586489263?comment_id=6767653326669776&amp;reply_comment_id=310184818434415","https://www.facebook.com/454965103328545/posts/490024586489263?comment_id=6767653326669776&amp;reply_comment_id=310184818434415")</f>
        <v>https://www.facebook.com/454965103328545/posts/490024586489263?comment_id=6767653326669776&amp;reply_comment_id=310184818434415</v>
      </c>
      <c r="O811">
        <v>0</v>
      </c>
      <c r="P811">
        <v>0</v>
      </c>
      <c r="Q811">
        <v>0</v>
      </c>
      <c r="S811">
        <v>0</v>
      </c>
      <c r="T811">
        <v>0</v>
      </c>
      <c r="U811">
        <v>0</v>
      </c>
      <c r="W811" t="s">
        <v>62</v>
      </c>
    </row>
    <row r="812" spans="1:42" x14ac:dyDescent="0.35">
      <c r="A812" t="s">
        <v>45</v>
      </c>
      <c r="B812" t="s">
        <v>1826</v>
      </c>
      <c r="C812" t="s">
        <v>139</v>
      </c>
      <c r="D812" t="s">
        <v>1323</v>
      </c>
      <c r="E812" t="s">
        <v>1324</v>
      </c>
      <c r="F812" t="s">
        <v>142</v>
      </c>
      <c r="G812" t="s">
        <v>1920</v>
      </c>
      <c r="H812" t="s">
        <v>1921</v>
      </c>
      <c r="J812" t="str">
        <f>HYPERLINK("https://twitter.com/Mohit_5355/status/1769904539774116168","https://twitter.com/Mohit_5355/status/1769904539774116168")</f>
        <v>https://twitter.com/Mohit_5355/status/1769904539774116168</v>
      </c>
      <c r="K812" t="s">
        <v>145</v>
      </c>
      <c r="O812">
        <v>0</v>
      </c>
      <c r="P812">
        <v>0</v>
      </c>
      <c r="Q812">
        <v>4</v>
      </c>
      <c r="S812">
        <v>0</v>
      </c>
      <c r="T812">
        <v>0</v>
      </c>
      <c r="U812">
        <v>0</v>
      </c>
      <c r="W812" t="s">
        <v>146</v>
      </c>
      <c r="AP812" t="s">
        <v>147</v>
      </c>
    </row>
    <row r="813" spans="1:42" x14ac:dyDescent="0.35">
      <c r="A813" t="s">
        <v>45</v>
      </c>
      <c r="B813" t="s">
        <v>1826</v>
      </c>
      <c r="C813" t="s">
        <v>58</v>
      </c>
      <c r="D813" t="s">
        <v>1922</v>
      </c>
      <c r="E813" t="s">
        <v>1922</v>
      </c>
      <c r="F813" t="s">
        <v>49</v>
      </c>
      <c r="G813" t="s">
        <v>1923</v>
      </c>
      <c r="H813" t="s">
        <v>1924</v>
      </c>
      <c r="J813" t="str">
        <f>HYPERLINK("https://www.youtube.com/watch?v=dJRPCEKIxDw","https://www.youtube.com/watch?v=dJRPCEKIxDw")</f>
        <v>https://www.youtube.com/watch?v=dJRPCEKIxDw</v>
      </c>
      <c r="O813">
        <v>0</v>
      </c>
      <c r="P813">
        <v>0</v>
      </c>
      <c r="Q813">
        <v>0</v>
      </c>
      <c r="S813">
        <v>0</v>
      </c>
      <c r="T813">
        <v>0</v>
      </c>
      <c r="U813">
        <v>0</v>
      </c>
      <c r="W813" t="s">
        <v>106</v>
      </c>
    </row>
    <row r="814" spans="1:42" x14ac:dyDescent="0.35">
      <c r="A814" t="s">
        <v>45</v>
      </c>
      <c r="B814" t="s">
        <v>1925</v>
      </c>
      <c r="C814" t="s">
        <v>47</v>
      </c>
      <c r="D814" t="s">
        <v>120</v>
      </c>
      <c r="E814" t="s">
        <v>120</v>
      </c>
      <c r="F814" t="s">
        <v>49</v>
      </c>
      <c r="G814" t="s">
        <v>1926</v>
      </c>
      <c r="H814" t="s">
        <v>1927</v>
      </c>
      <c r="J814" t="str">
        <f>HYPERLINK("https://www.facebook.com/454965103328545/posts/790441803114205?comment_id=467120758977602","https://www.facebook.com/454965103328545/posts/790441803114205?comment_id=467120758977602")</f>
        <v>https://www.facebook.com/454965103328545/posts/790441803114205?comment_id=467120758977602</v>
      </c>
      <c r="O814">
        <v>0</v>
      </c>
      <c r="P814">
        <v>0</v>
      </c>
      <c r="Q814">
        <v>0</v>
      </c>
      <c r="S814">
        <v>0</v>
      </c>
      <c r="T814">
        <v>0</v>
      </c>
      <c r="U814">
        <v>0</v>
      </c>
      <c r="W814" t="s">
        <v>62</v>
      </c>
    </row>
    <row r="815" spans="1:42" x14ac:dyDescent="0.35">
      <c r="A815" t="s">
        <v>45</v>
      </c>
      <c r="B815" t="s">
        <v>1925</v>
      </c>
      <c r="C815" t="s">
        <v>47</v>
      </c>
      <c r="D815" t="s">
        <v>120</v>
      </c>
      <c r="E815" t="s">
        <v>120</v>
      </c>
      <c r="F815" t="s">
        <v>49</v>
      </c>
      <c r="G815" t="s">
        <v>1928</v>
      </c>
      <c r="H815" t="s">
        <v>1929</v>
      </c>
      <c r="J815" t="str">
        <f>HYPERLINK("https://www.facebook.com/454965103328545/posts/790441803114205?comment_id=1128296335023121","https://www.facebook.com/454965103328545/posts/790441803114205?comment_id=1128296335023121")</f>
        <v>https://www.facebook.com/454965103328545/posts/790441803114205?comment_id=1128296335023121</v>
      </c>
      <c r="O815">
        <v>0</v>
      </c>
      <c r="P815">
        <v>0</v>
      </c>
      <c r="Q815">
        <v>0</v>
      </c>
      <c r="S815">
        <v>0</v>
      </c>
      <c r="T815">
        <v>0</v>
      </c>
      <c r="U815">
        <v>0</v>
      </c>
      <c r="W815" t="s">
        <v>62</v>
      </c>
    </row>
    <row r="816" spans="1:42" x14ac:dyDescent="0.35">
      <c r="A816" t="s">
        <v>45</v>
      </c>
      <c r="B816" t="s">
        <v>1925</v>
      </c>
      <c r="C816" t="s">
        <v>58</v>
      </c>
      <c r="D816" t="s">
        <v>752</v>
      </c>
      <c r="E816" t="s">
        <v>752</v>
      </c>
      <c r="F816" t="s">
        <v>49</v>
      </c>
      <c r="G816" t="s">
        <v>1930</v>
      </c>
      <c r="H816" t="s">
        <v>1931</v>
      </c>
      <c r="J816" t="str">
        <f>HYPERLINK("https://www.youtube.com/watch?v=2r89niAbWAc","https://www.youtube.com/watch?v=2r89niAbWAc")</f>
        <v>https://www.youtube.com/watch?v=2r89niAbWAc</v>
      </c>
      <c r="O816">
        <v>0</v>
      </c>
      <c r="P816">
        <v>0</v>
      </c>
      <c r="Q816">
        <v>0</v>
      </c>
      <c r="S816">
        <v>0</v>
      </c>
      <c r="T816">
        <v>0</v>
      </c>
      <c r="U816">
        <v>0</v>
      </c>
      <c r="W816" t="s">
        <v>106</v>
      </c>
      <c r="AP816" t="s">
        <v>101</v>
      </c>
    </row>
    <row r="817" spans="1:41" x14ac:dyDescent="0.35">
      <c r="A817" t="s">
        <v>45</v>
      </c>
      <c r="B817" t="s">
        <v>1925</v>
      </c>
      <c r="C817" t="s">
        <v>47</v>
      </c>
      <c r="D817" t="s">
        <v>1932</v>
      </c>
      <c r="E817" t="s">
        <v>1932</v>
      </c>
      <c r="F817" t="s">
        <v>49</v>
      </c>
      <c r="G817" t="s">
        <v>253</v>
      </c>
      <c r="H817" t="s">
        <v>1933</v>
      </c>
      <c r="J817" t="str">
        <f>HYPERLINK("https://www.facebook.com/357267201017935/inbox/7172866019457985/","https://www.facebook.com/357267201017935/inbox/7172866019457985/")</f>
        <v>https://www.facebook.com/357267201017935/inbox/7172866019457985/</v>
      </c>
      <c r="O817">
        <v>0</v>
      </c>
      <c r="P817">
        <v>0</v>
      </c>
      <c r="Q817">
        <v>0</v>
      </c>
      <c r="S817">
        <v>0</v>
      </c>
      <c r="T817">
        <v>0</v>
      </c>
      <c r="U817">
        <v>0</v>
      </c>
      <c r="W817" t="s">
        <v>52</v>
      </c>
    </row>
    <row r="818" spans="1:41" x14ac:dyDescent="0.35">
      <c r="A818" t="s">
        <v>45</v>
      </c>
      <c r="B818" t="s">
        <v>1925</v>
      </c>
      <c r="C818" t="s">
        <v>139</v>
      </c>
      <c r="D818" t="s">
        <v>1934</v>
      </c>
      <c r="E818" t="s">
        <v>1935</v>
      </c>
      <c r="F818" t="s">
        <v>49</v>
      </c>
      <c r="G818" t="s">
        <v>1936</v>
      </c>
      <c r="H818" t="s">
        <v>1937</v>
      </c>
      <c r="J818" t="str">
        <f>HYPERLINK("https://twitter.com/VarunMunjal19/status/1769788835984994316","https://twitter.com/VarunMunjal19/status/1769788835984994316")</f>
        <v>https://twitter.com/VarunMunjal19/status/1769788835984994316</v>
      </c>
      <c r="K818" t="s">
        <v>145</v>
      </c>
      <c r="O818">
        <v>0</v>
      </c>
      <c r="P818">
        <v>0</v>
      </c>
      <c r="Q818">
        <v>1</v>
      </c>
      <c r="S818">
        <v>0</v>
      </c>
      <c r="T818">
        <v>0</v>
      </c>
      <c r="U818">
        <v>0</v>
      </c>
      <c r="W818" t="s">
        <v>146</v>
      </c>
    </row>
    <row r="819" spans="1:41" x14ac:dyDescent="0.35">
      <c r="A819" t="s">
        <v>45</v>
      </c>
      <c r="B819" t="s">
        <v>1925</v>
      </c>
      <c r="C819" t="s">
        <v>47</v>
      </c>
      <c r="D819" t="s">
        <v>1932</v>
      </c>
      <c r="E819" t="s">
        <v>1932</v>
      </c>
      <c r="F819" t="s">
        <v>49</v>
      </c>
      <c r="G819" t="s">
        <v>56</v>
      </c>
      <c r="H819" t="s">
        <v>1938</v>
      </c>
      <c r="J819" t="str">
        <f>HYPERLINK("https://www.facebook.com/357267201017935/inbox/7172866019457985/","https://www.facebook.com/357267201017935/inbox/7172866019457985/")</f>
        <v>https://www.facebook.com/357267201017935/inbox/7172866019457985/</v>
      </c>
      <c r="O819">
        <v>0</v>
      </c>
      <c r="P819">
        <v>0</v>
      </c>
      <c r="Q819">
        <v>0</v>
      </c>
      <c r="S819">
        <v>0</v>
      </c>
      <c r="T819">
        <v>0</v>
      </c>
      <c r="U819">
        <v>0</v>
      </c>
      <c r="W819" t="s">
        <v>52</v>
      </c>
    </row>
    <row r="820" spans="1:41" x14ac:dyDescent="0.35">
      <c r="A820" t="s">
        <v>45</v>
      </c>
      <c r="B820" t="s">
        <v>1925</v>
      </c>
      <c r="C820" t="s">
        <v>63</v>
      </c>
      <c r="D820" t="s">
        <v>1939</v>
      </c>
      <c r="E820" t="s">
        <v>1939</v>
      </c>
      <c r="F820" t="s">
        <v>49</v>
      </c>
      <c r="G820" t="s">
        <v>1940</v>
      </c>
      <c r="H820" t="s">
        <v>1941</v>
      </c>
      <c r="J820" t="str">
        <f>HYPERLINK("https://www.instagram.com/reel/C4p8KhXCRWe/","https://www.instagram.com/reel/C4p8KhXCRWe/")</f>
        <v>https://www.instagram.com/reel/C4p8KhXCRWe/</v>
      </c>
      <c r="O820">
        <v>0</v>
      </c>
      <c r="P820">
        <v>0</v>
      </c>
      <c r="Q820">
        <v>0</v>
      </c>
      <c r="S820">
        <v>0</v>
      </c>
      <c r="T820">
        <v>0</v>
      </c>
      <c r="U820">
        <v>0</v>
      </c>
      <c r="W820" t="s">
        <v>62</v>
      </c>
    </row>
    <row r="821" spans="1:41" x14ac:dyDescent="0.35">
      <c r="A821" t="s">
        <v>45</v>
      </c>
      <c r="B821" t="s">
        <v>1925</v>
      </c>
      <c r="C821" t="s">
        <v>139</v>
      </c>
      <c r="D821" t="s">
        <v>1942</v>
      </c>
      <c r="E821" t="s">
        <v>1943</v>
      </c>
      <c r="F821" t="s">
        <v>49</v>
      </c>
      <c r="G821" t="s">
        <v>1944</v>
      </c>
      <c r="H821" t="s">
        <v>1945</v>
      </c>
      <c r="J821" t="str">
        <f>HYPERLINK("https://twitter.com/RAOSAHIL50/status/1769774879836872820","https://twitter.com/RAOSAHIL50/status/1769774879836872820")</f>
        <v>https://twitter.com/RAOSAHIL50/status/1769774879836872820</v>
      </c>
      <c r="K821" t="s">
        <v>145</v>
      </c>
      <c r="O821">
        <v>0</v>
      </c>
      <c r="P821">
        <v>0</v>
      </c>
      <c r="Q821">
        <v>37</v>
      </c>
      <c r="R821" t="s">
        <v>1946</v>
      </c>
      <c r="S821">
        <v>0</v>
      </c>
      <c r="T821">
        <v>0</v>
      </c>
      <c r="U821">
        <v>0</v>
      </c>
      <c r="W821" t="s">
        <v>146</v>
      </c>
    </row>
    <row r="822" spans="1:41" x14ac:dyDescent="0.35">
      <c r="A822" t="s">
        <v>45</v>
      </c>
      <c r="B822" t="s">
        <v>1925</v>
      </c>
      <c r="C822" t="s">
        <v>139</v>
      </c>
      <c r="D822" t="s">
        <v>1942</v>
      </c>
      <c r="E822" t="s">
        <v>1943</v>
      </c>
      <c r="F822" t="s">
        <v>49</v>
      </c>
      <c r="G822" t="s">
        <v>1947</v>
      </c>
      <c r="H822" t="s">
        <v>1948</v>
      </c>
      <c r="J822" t="str">
        <f>HYPERLINK("https://twitter.com/RAOSAHIL50/status/1769774823771705691","https://twitter.com/RAOSAHIL50/status/1769774823771705691")</f>
        <v>https://twitter.com/RAOSAHIL50/status/1769774823771705691</v>
      </c>
      <c r="K822" t="s">
        <v>145</v>
      </c>
      <c r="O822">
        <v>0</v>
      </c>
      <c r="P822">
        <v>0</v>
      </c>
      <c r="Q822">
        <v>37</v>
      </c>
      <c r="R822" t="s">
        <v>1946</v>
      </c>
      <c r="S822">
        <v>0</v>
      </c>
      <c r="T822">
        <v>0</v>
      </c>
      <c r="U822">
        <v>0</v>
      </c>
      <c r="W822" t="s">
        <v>146</v>
      </c>
    </row>
    <row r="823" spans="1:41" x14ac:dyDescent="0.35">
      <c r="A823" t="s">
        <v>45</v>
      </c>
      <c r="B823" t="s">
        <v>1925</v>
      </c>
      <c r="C823" t="s">
        <v>58</v>
      </c>
      <c r="D823" t="s">
        <v>1369</v>
      </c>
      <c r="E823" t="s">
        <v>1369</v>
      </c>
      <c r="F823" t="s">
        <v>49</v>
      </c>
      <c r="G823" t="s">
        <v>1949</v>
      </c>
      <c r="H823" t="s">
        <v>1950</v>
      </c>
      <c r="J823" t="str">
        <f>HYPERLINK("https://www.youtube.com/watch?v=NZDILMMP0Y4","https://www.youtube.com/watch?v=NZDILMMP0Y4")</f>
        <v>https://www.youtube.com/watch?v=NZDILMMP0Y4</v>
      </c>
      <c r="O823">
        <v>0</v>
      </c>
      <c r="P823">
        <v>0</v>
      </c>
      <c r="Q823">
        <v>0</v>
      </c>
      <c r="S823">
        <v>0</v>
      </c>
      <c r="T823">
        <v>0</v>
      </c>
      <c r="U823">
        <v>0</v>
      </c>
      <c r="W823" t="s">
        <v>106</v>
      </c>
    </row>
    <row r="824" spans="1:41" x14ac:dyDescent="0.35">
      <c r="A824" t="s">
        <v>45</v>
      </c>
      <c r="B824" t="s">
        <v>1925</v>
      </c>
      <c r="C824" t="s">
        <v>58</v>
      </c>
      <c r="D824" t="s">
        <v>1951</v>
      </c>
      <c r="E824" t="s">
        <v>1951</v>
      </c>
      <c r="F824" t="s">
        <v>49</v>
      </c>
      <c r="G824" t="s">
        <v>1952</v>
      </c>
      <c r="H824" t="s">
        <v>1953</v>
      </c>
      <c r="J824" t="str">
        <f>HYPERLINK("https://www.youtube.com/watch?v=WP9gdiBOJ_I&amp;lc=Ugwoy1sMaWamcudIFf54AaABAg","https://www.youtube.com/watch?v=WP9gdiBOJ_I&amp;lc=Ugwoy1sMaWamcudIFf54AaABAg")</f>
        <v>https://www.youtube.com/watch?v=WP9gdiBOJ_I&amp;lc=Ugwoy1sMaWamcudIFf54AaABAg</v>
      </c>
      <c r="O824">
        <v>0</v>
      </c>
      <c r="P824">
        <v>0</v>
      </c>
      <c r="Q824">
        <v>0</v>
      </c>
      <c r="S824">
        <v>0</v>
      </c>
      <c r="T824">
        <v>0</v>
      </c>
      <c r="U824">
        <v>0</v>
      </c>
      <c r="W824" t="s">
        <v>62</v>
      </c>
    </row>
    <row r="825" spans="1:41" x14ac:dyDescent="0.35">
      <c r="A825" t="s">
        <v>45</v>
      </c>
      <c r="B825" t="s">
        <v>1925</v>
      </c>
      <c r="C825" t="s">
        <v>47</v>
      </c>
      <c r="D825" t="s">
        <v>1954</v>
      </c>
      <c r="E825" t="s">
        <v>1954</v>
      </c>
      <c r="F825" t="s">
        <v>49</v>
      </c>
      <c r="G825" t="s">
        <v>1955</v>
      </c>
      <c r="H825" t="s">
        <v>1956</v>
      </c>
      <c r="J825" t="str">
        <f>HYPERLINK("https://www.facebook.com/454965103328545/posts/790441803114205?comment_id=1110900696920582","https://www.facebook.com/454965103328545/posts/790441803114205?comment_id=1110900696920582")</f>
        <v>https://www.facebook.com/454965103328545/posts/790441803114205?comment_id=1110900696920582</v>
      </c>
      <c r="O825">
        <v>0</v>
      </c>
      <c r="P825">
        <v>0</v>
      </c>
      <c r="Q825">
        <v>0</v>
      </c>
      <c r="S825">
        <v>0</v>
      </c>
      <c r="T825">
        <v>0</v>
      </c>
      <c r="U825">
        <v>0</v>
      </c>
      <c r="W825" t="s">
        <v>62</v>
      </c>
    </row>
    <row r="826" spans="1:41" x14ac:dyDescent="0.35">
      <c r="A826" t="s">
        <v>45</v>
      </c>
      <c r="B826" t="s">
        <v>1925</v>
      </c>
      <c r="C826" t="s">
        <v>63</v>
      </c>
      <c r="D826" t="s">
        <v>1957</v>
      </c>
      <c r="E826" t="s">
        <v>1957</v>
      </c>
      <c r="F826" t="s">
        <v>49</v>
      </c>
      <c r="G826" t="s">
        <v>1958</v>
      </c>
      <c r="H826" t="s">
        <v>1959</v>
      </c>
      <c r="J826" t="str">
        <f>HYPERLINK("https://www.instagram.com/reel/C4p8KhXCRWe/","https://www.instagram.com/reel/C4p8KhXCRWe/")</f>
        <v>https://www.instagram.com/reel/C4p8KhXCRWe/</v>
      </c>
      <c r="O826">
        <v>0</v>
      </c>
      <c r="P826">
        <v>0</v>
      </c>
      <c r="Q826">
        <v>0</v>
      </c>
      <c r="S826">
        <v>0</v>
      </c>
      <c r="T826">
        <v>0</v>
      </c>
      <c r="U826">
        <v>0</v>
      </c>
      <c r="W826" t="s">
        <v>62</v>
      </c>
    </row>
    <row r="827" spans="1:41" x14ac:dyDescent="0.35">
      <c r="A827" t="s">
        <v>45</v>
      </c>
      <c r="B827" t="s">
        <v>1925</v>
      </c>
      <c r="C827" t="s">
        <v>63</v>
      </c>
      <c r="D827" t="s">
        <v>1957</v>
      </c>
      <c r="E827" t="s">
        <v>1957</v>
      </c>
      <c r="F827" t="s">
        <v>76</v>
      </c>
      <c r="G827" t="s">
        <v>1960</v>
      </c>
      <c r="H827" t="s">
        <v>1961</v>
      </c>
      <c r="J827" t="str">
        <f>HYPERLINK("https://www.instagram.com/reel/C4p8KhXCRWe/","https://www.instagram.com/reel/C4p8KhXCRWe/")</f>
        <v>https://www.instagram.com/reel/C4p8KhXCRWe/</v>
      </c>
      <c r="O827">
        <v>0</v>
      </c>
      <c r="P827">
        <v>0</v>
      </c>
      <c r="Q827">
        <v>0</v>
      </c>
      <c r="S827">
        <v>0</v>
      </c>
      <c r="T827">
        <v>0</v>
      </c>
      <c r="U827">
        <v>0</v>
      </c>
      <c r="W827" t="s">
        <v>62</v>
      </c>
    </row>
    <row r="828" spans="1:41" x14ac:dyDescent="0.35">
      <c r="A828" t="s">
        <v>45</v>
      </c>
      <c r="B828" t="s">
        <v>1925</v>
      </c>
      <c r="C828" t="s">
        <v>63</v>
      </c>
      <c r="D828" t="s">
        <v>1957</v>
      </c>
      <c r="E828" t="s">
        <v>1957</v>
      </c>
      <c r="F828" t="s">
        <v>49</v>
      </c>
      <c r="G828" t="s">
        <v>1962</v>
      </c>
      <c r="H828" t="s">
        <v>1963</v>
      </c>
      <c r="J828" t="str">
        <f>HYPERLINK("https://www.instagram.com/reel/C4p8KhXCRWe/","https://www.instagram.com/reel/C4p8KhXCRWe/")</f>
        <v>https://www.instagram.com/reel/C4p8KhXCRWe/</v>
      </c>
      <c r="O828">
        <v>0</v>
      </c>
      <c r="P828">
        <v>0</v>
      </c>
      <c r="Q828">
        <v>0</v>
      </c>
      <c r="S828">
        <v>0</v>
      </c>
      <c r="T828">
        <v>0</v>
      </c>
      <c r="U828">
        <v>0</v>
      </c>
      <c r="W828" t="s">
        <v>62</v>
      </c>
    </row>
    <row r="829" spans="1:41" x14ac:dyDescent="0.35">
      <c r="A829" t="s">
        <v>45</v>
      </c>
      <c r="B829" t="s">
        <v>1925</v>
      </c>
      <c r="C829" t="s">
        <v>63</v>
      </c>
      <c r="D829" t="s">
        <v>1957</v>
      </c>
      <c r="E829" t="s">
        <v>1957</v>
      </c>
      <c r="F829" t="s">
        <v>76</v>
      </c>
      <c r="G829" t="s">
        <v>1964</v>
      </c>
      <c r="H829" t="s">
        <v>1965</v>
      </c>
      <c r="J829" t="str">
        <f>HYPERLINK("https://www.instagram.com/reel/C4p8KhXCRWe/","https://www.instagram.com/reel/C4p8KhXCRWe/")</f>
        <v>https://www.instagram.com/reel/C4p8KhXCRWe/</v>
      </c>
      <c r="O829">
        <v>0</v>
      </c>
      <c r="P829">
        <v>0</v>
      </c>
      <c r="Q829">
        <v>0</v>
      </c>
      <c r="S829">
        <v>0</v>
      </c>
      <c r="T829">
        <v>0</v>
      </c>
      <c r="U829">
        <v>0</v>
      </c>
      <c r="W829" t="s">
        <v>62</v>
      </c>
    </row>
    <row r="830" spans="1:41" x14ac:dyDescent="0.35">
      <c r="A830" t="s">
        <v>45</v>
      </c>
      <c r="B830" t="s">
        <v>1925</v>
      </c>
      <c r="C830" t="s">
        <v>63</v>
      </c>
      <c r="D830" t="s">
        <v>1966</v>
      </c>
      <c r="E830" t="s">
        <v>1966</v>
      </c>
      <c r="F830" t="s">
        <v>49</v>
      </c>
      <c r="G830" t="s">
        <v>1967</v>
      </c>
      <c r="H830" t="s">
        <v>1968</v>
      </c>
      <c r="J830" t="str">
        <f>HYPERLINK("https://www.instagram.com/reel/C4p8KhXCRWe/","https://www.instagram.com/reel/C4p8KhXCRWe/")</f>
        <v>https://www.instagram.com/reel/C4p8KhXCRWe/</v>
      </c>
      <c r="O830">
        <v>0</v>
      </c>
      <c r="P830">
        <v>0</v>
      </c>
      <c r="Q830">
        <v>0</v>
      </c>
      <c r="S830">
        <v>0</v>
      </c>
      <c r="T830">
        <v>0</v>
      </c>
      <c r="U830">
        <v>0</v>
      </c>
      <c r="W830" t="s">
        <v>62</v>
      </c>
    </row>
    <row r="831" spans="1:41" x14ac:dyDescent="0.35">
      <c r="A831" t="s">
        <v>45</v>
      </c>
      <c r="B831" t="s">
        <v>1925</v>
      </c>
      <c r="C831" t="s">
        <v>102</v>
      </c>
      <c r="D831" t="s">
        <v>1969</v>
      </c>
      <c r="E831" t="s">
        <v>1969</v>
      </c>
      <c r="F831" t="s">
        <v>76</v>
      </c>
      <c r="G831" t="s">
        <v>1970</v>
      </c>
      <c r="H831" t="s">
        <v>1971</v>
      </c>
      <c r="J831" t="str">
        <f>HYPERLINK("https://www.linkedin.com/feed/update/urn:li:activity:7175432216368267265/?commentUrn=urn:li:comment:(urn:li:activity:7175432216368267265,7175493285791055872)","https://www.linkedin.com/feed/update/urn:li:activity:7175432216368267265/?commentUrn=urn:li:comment:(urn:li:activity:7175432216368267265,7175493285791055872)")</f>
        <v>https://www.linkedin.com/feed/update/urn:li:activity:7175432216368267265/?commentUrn=urn:li:comment:(urn:li:activity:7175432216368267265,7175493285791055872)</v>
      </c>
      <c r="O831">
        <v>0</v>
      </c>
      <c r="P831">
        <v>0</v>
      </c>
      <c r="Q831">
        <v>0</v>
      </c>
      <c r="S831">
        <v>0</v>
      </c>
      <c r="T831">
        <v>0</v>
      </c>
      <c r="U831">
        <v>0</v>
      </c>
      <c r="W831" t="s">
        <v>62</v>
      </c>
      <c r="AO831" t="s">
        <v>119</v>
      </c>
    </row>
    <row r="832" spans="1:41" x14ac:dyDescent="0.35">
      <c r="A832" t="s">
        <v>45</v>
      </c>
      <c r="B832" t="s">
        <v>1925</v>
      </c>
      <c r="C832" t="s">
        <v>58</v>
      </c>
      <c r="D832" t="s">
        <v>1972</v>
      </c>
      <c r="E832" t="s">
        <v>1972</v>
      </c>
      <c r="F832" t="s">
        <v>49</v>
      </c>
      <c r="G832" t="s">
        <v>1973</v>
      </c>
      <c r="H832" t="s">
        <v>1974</v>
      </c>
      <c r="J832" t="str">
        <f>HYPERLINK("https://www.youtube.com/watch?v=lBtgX5G_9XU","https://www.youtube.com/watch?v=lBtgX5G_9XU")</f>
        <v>https://www.youtube.com/watch?v=lBtgX5G_9XU</v>
      </c>
      <c r="O832">
        <v>0</v>
      </c>
      <c r="P832">
        <v>0</v>
      </c>
      <c r="Q832">
        <v>0</v>
      </c>
      <c r="S832">
        <v>0</v>
      </c>
      <c r="T832">
        <v>0</v>
      </c>
      <c r="U832">
        <v>0</v>
      </c>
      <c r="W832" t="s">
        <v>106</v>
      </c>
    </row>
    <row r="833" spans="1:42" x14ac:dyDescent="0.35">
      <c r="A833" t="s">
        <v>45</v>
      </c>
      <c r="B833" t="s">
        <v>1925</v>
      </c>
      <c r="C833" t="s">
        <v>139</v>
      </c>
      <c r="D833" t="s">
        <v>1975</v>
      </c>
      <c r="E833" t="s">
        <v>1976</v>
      </c>
      <c r="F833" t="s">
        <v>142</v>
      </c>
      <c r="G833" t="s">
        <v>1977</v>
      </c>
      <c r="H833" t="s">
        <v>1978</v>
      </c>
      <c r="J833" t="str">
        <f>HYPERLINK("https://twitter.com/Reyaz9599/status/1769719314746163560","https://twitter.com/Reyaz9599/status/1769719314746163560")</f>
        <v>https://twitter.com/Reyaz9599/status/1769719314746163560</v>
      </c>
      <c r="O833">
        <v>0</v>
      </c>
      <c r="P833">
        <v>0</v>
      </c>
      <c r="Q833">
        <v>36</v>
      </c>
      <c r="R833" t="s">
        <v>1979</v>
      </c>
      <c r="S833">
        <v>0</v>
      </c>
      <c r="T833">
        <v>0</v>
      </c>
      <c r="U833">
        <v>0</v>
      </c>
      <c r="W833" t="s">
        <v>52</v>
      </c>
    </row>
    <row r="834" spans="1:42" x14ac:dyDescent="0.35">
      <c r="A834" t="s">
        <v>45</v>
      </c>
      <c r="B834" t="s">
        <v>1925</v>
      </c>
      <c r="C834" t="s">
        <v>139</v>
      </c>
      <c r="D834" t="s">
        <v>1975</v>
      </c>
      <c r="E834" t="s">
        <v>1976</v>
      </c>
      <c r="F834" t="s">
        <v>49</v>
      </c>
      <c r="G834" t="s">
        <v>1980</v>
      </c>
      <c r="H834" t="s">
        <v>1981</v>
      </c>
      <c r="J834" t="str">
        <f>HYPERLINK("https://twitter.com/Reyaz9599/status/1769719308278518170","https://twitter.com/Reyaz9599/status/1769719308278518170")</f>
        <v>https://twitter.com/Reyaz9599/status/1769719308278518170</v>
      </c>
      <c r="O834">
        <v>0</v>
      </c>
      <c r="P834">
        <v>0</v>
      </c>
      <c r="Q834">
        <v>36</v>
      </c>
      <c r="R834" t="s">
        <v>1979</v>
      </c>
      <c r="S834">
        <v>0</v>
      </c>
      <c r="T834">
        <v>0</v>
      </c>
      <c r="U834">
        <v>0</v>
      </c>
      <c r="W834" t="s">
        <v>52</v>
      </c>
    </row>
    <row r="835" spans="1:42" x14ac:dyDescent="0.35">
      <c r="A835" t="s">
        <v>45</v>
      </c>
      <c r="B835" t="s">
        <v>1925</v>
      </c>
      <c r="C835" t="s">
        <v>47</v>
      </c>
      <c r="D835" t="s">
        <v>445</v>
      </c>
      <c r="E835" t="s">
        <v>445</v>
      </c>
      <c r="F835" t="s">
        <v>49</v>
      </c>
      <c r="G835" t="s">
        <v>1982</v>
      </c>
      <c r="H835" t="s">
        <v>1983</v>
      </c>
      <c r="J835" t="str">
        <f>HYPERLINK("https://www.facebook.com/454965103328545/posts/790441803114205?comment_id=1905239313238178&amp;reply_comment_id=452366803886166","https://www.facebook.com/454965103328545/posts/790441803114205?comment_id=1905239313238178&amp;reply_comment_id=452366803886166")</f>
        <v>https://www.facebook.com/454965103328545/posts/790441803114205?comment_id=1905239313238178&amp;reply_comment_id=452366803886166</v>
      </c>
      <c r="O835">
        <v>0</v>
      </c>
      <c r="P835">
        <v>0</v>
      </c>
      <c r="Q835">
        <v>0</v>
      </c>
      <c r="S835">
        <v>0</v>
      </c>
      <c r="T835">
        <v>0</v>
      </c>
      <c r="U835">
        <v>0</v>
      </c>
      <c r="W835" t="s">
        <v>62</v>
      </c>
    </row>
    <row r="836" spans="1:42" x14ac:dyDescent="0.35">
      <c r="A836" t="s">
        <v>45</v>
      </c>
      <c r="B836" t="s">
        <v>1925</v>
      </c>
      <c r="C836" t="s">
        <v>47</v>
      </c>
      <c r="D836" t="s">
        <v>1984</v>
      </c>
      <c r="E836" t="s">
        <v>1984</v>
      </c>
      <c r="F836" t="s">
        <v>49</v>
      </c>
      <c r="G836" t="s">
        <v>1985</v>
      </c>
      <c r="H836" t="s">
        <v>1986</v>
      </c>
      <c r="J836" t="str">
        <f>HYPERLINK("https://www.facebook.com/357267201017935/inbox/7153733281371259/","https://www.facebook.com/357267201017935/inbox/7153733281371259/")</f>
        <v>https://www.facebook.com/357267201017935/inbox/7153733281371259/</v>
      </c>
      <c r="O836">
        <v>0</v>
      </c>
      <c r="P836">
        <v>0</v>
      </c>
      <c r="Q836">
        <v>0</v>
      </c>
      <c r="S836">
        <v>0</v>
      </c>
      <c r="T836">
        <v>0</v>
      </c>
      <c r="U836">
        <v>0</v>
      </c>
      <c r="W836" t="s">
        <v>52</v>
      </c>
    </row>
    <row r="837" spans="1:42" x14ac:dyDescent="0.35">
      <c r="A837" t="s">
        <v>45</v>
      </c>
      <c r="B837" t="s">
        <v>1925</v>
      </c>
      <c r="C837" t="s">
        <v>47</v>
      </c>
      <c r="D837" t="s">
        <v>1987</v>
      </c>
      <c r="E837" t="s">
        <v>1987</v>
      </c>
      <c r="F837" t="s">
        <v>142</v>
      </c>
      <c r="G837" t="s">
        <v>1988</v>
      </c>
      <c r="H837" t="s">
        <v>1989</v>
      </c>
      <c r="J837" t="str">
        <f>HYPERLINK("https://www.facebook.com/454965103328545/posts/790441803114205?comment_id=1132828734530664","https://www.facebook.com/454965103328545/posts/790441803114205?comment_id=1132828734530664")</f>
        <v>https://www.facebook.com/454965103328545/posts/790441803114205?comment_id=1132828734530664</v>
      </c>
      <c r="O837">
        <v>0</v>
      </c>
      <c r="P837">
        <v>0</v>
      </c>
      <c r="Q837">
        <v>0</v>
      </c>
      <c r="S837">
        <v>0</v>
      </c>
      <c r="T837">
        <v>0</v>
      </c>
      <c r="U837">
        <v>0</v>
      </c>
      <c r="W837" t="s">
        <v>62</v>
      </c>
    </row>
    <row r="838" spans="1:42" x14ac:dyDescent="0.35">
      <c r="A838" t="s">
        <v>45</v>
      </c>
      <c r="B838" t="s">
        <v>1925</v>
      </c>
      <c r="C838" t="s">
        <v>47</v>
      </c>
      <c r="D838" t="s">
        <v>445</v>
      </c>
      <c r="E838" t="s">
        <v>445</v>
      </c>
      <c r="F838" t="s">
        <v>49</v>
      </c>
      <c r="G838" t="s">
        <v>1990</v>
      </c>
      <c r="H838" t="s">
        <v>1991</v>
      </c>
      <c r="J838" t="str">
        <f>HYPERLINK("https://www.facebook.com/454965103328545/posts/790441803114205?comment_id=2654225031412276&amp;reply_comment_id=3313202422311966","https://www.facebook.com/454965103328545/posts/790441803114205?comment_id=2654225031412276&amp;reply_comment_id=3313202422311966")</f>
        <v>https://www.facebook.com/454965103328545/posts/790441803114205?comment_id=2654225031412276&amp;reply_comment_id=3313202422311966</v>
      </c>
      <c r="O838">
        <v>0</v>
      </c>
      <c r="P838">
        <v>0</v>
      </c>
      <c r="Q838">
        <v>0</v>
      </c>
      <c r="S838">
        <v>0</v>
      </c>
      <c r="T838">
        <v>0</v>
      </c>
      <c r="U838">
        <v>0</v>
      </c>
      <c r="W838" t="s">
        <v>62</v>
      </c>
    </row>
    <row r="839" spans="1:42" x14ac:dyDescent="0.35">
      <c r="A839" t="s">
        <v>45</v>
      </c>
      <c r="B839" t="s">
        <v>1925</v>
      </c>
      <c r="C839" t="s">
        <v>139</v>
      </c>
      <c r="D839" t="s">
        <v>190</v>
      </c>
      <c r="E839" t="s">
        <v>45</v>
      </c>
      <c r="F839" t="s">
        <v>49</v>
      </c>
      <c r="G839" t="s">
        <v>1992</v>
      </c>
      <c r="H839" t="s">
        <v>1993</v>
      </c>
      <c r="J839" t="str">
        <f>HYPERLINK("https://twitter.com/FinoPaymntsBank/status/1769710867015503968","https://twitter.com/FinoPaymntsBank/status/1769710867015503968")</f>
        <v>https://twitter.com/FinoPaymntsBank/status/1769710867015503968</v>
      </c>
      <c r="K839" t="s">
        <v>1994</v>
      </c>
      <c r="O839">
        <v>0</v>
      </c>
      <c r="P839">
        <v>0</v>
      </c>
      <c r="Q839">
        <v>8449</v>
      </c>
      <c r="R839" t="s">
        <v>193</v>
      </c>
      <c r="S839">
        <v>0</v>
      </c>
      <c r="T839">
        <v>0</v>
      </c>
      <c r="U839">
        <v>0</v>
      </c>
      <c r="W839" t="s">
        <v>52</v>
      </c>
    </row>
    <row r="840" spans="1:42" x14ac:dyDescent="0.35">
      <c r="A840" t="s">
        <v>45</v>
      </c>
      <c r="B840" t="s">
        <v>1925</v>
      </c>
      <c r="C840" t="s">
        <v>139</v>
      </c>
      <c r="D840" t="s">
        <v>190</v>
      </c>
      <c r="E840" t="s">
        <v>45</v>
      </c>
      <c r="F840" t="s">
        <v>49</v>
      </c>
      <c r="G840" t="s">
        <v>1992</v>
      </c>
      <c r="H840" t="s">
        <v>1995</v>
      </c>
      <c r="J840" t="str">
        <f>HYPERLINK("https://twitter.com/FinoPaymntsBank/status/1769710761591640227","https://twitter.com/FinoPaymntsBank/status/1769710761591640227")</f>
        <v>https://twitter.com/FinoPaymntsBank/status/1769710761591640227</v>
      </c>
      <c r="K840" t="s">
        <v>1994</v>
      </c>
      <c r="O840">
        <v>0</v>
      </c>
      <c r="P840">
        <v>0</v>
      </c>
      <c r="Q840">
        <v>8449</v>
      </c>
      <c r="R840" t="s">
        <v>193</v>
      </c>
      <c r="S840">
        <v>0</v>
      </c>
      <c r="T840">
        <v>0</v>
      </c>
      <c r="U840">
        <v>0</v>
      </c>
      <c r="W840" t="s">
        <v>52</v>
      </c>
    </row>
    <row r="841" spans="1:42" x14ac:dyDescent="0.35">
      <c r="A841" t="s">
        <v>45</v>
      </c>
      <c r="B841" t="s">
        <v>1925</v>
      </c>
      <c r="C841" t="s">
        <v>63</v>
      </c>
      <c r="D841" t="s">
        <v>186</v>
      </c>
      <c r="E841" t="s">
        <v>186</v>
      </c>
      <c r="F841" t="s">
        <v>49</v>
      </c>
      <c r="G841" t="s">
        <v>1996</v>
      </c>
      <c r="H841" t="s">
        <v>1997</v>
      </c>
      <c r="J841" t="str">
        <f>HYPERLINK("https://www.instagram.com/reel/C4iIT3yIyID/","https://www.instagram.com/reel/C4iIT3yIyID/")</f>
        <v>https://www.instagram.com/reel/C4iIT3yIyID/</v>
      </c>
      <c r="O841">
        <v>0</v>
      </c>
      <c r="P841">
        <v>0</v>
      </c>
      <c r="Q841">
        <v>0</v>
      </c>
      <c r="S841">
        <v>0</v>
      </c>
      <c r="T841">
        <v>0</v>
      </c>
      <c r="U841">
        <v>0</v>
      </c>
      <c r="W841" t="s">
        <v>62</v>
      </c>
      <c r="AP841" t="s">
        <v>101</v>
      </c>
    </row>
    <row r="842" spans="1:42" x14ac:dyDescent="0.35">
      <c r="A842" t="s">
        <v>45</v>
      </c>
      <c r="B842" t="s">
        <v>1925</v>
      </c>
      <c r="C842" t="s">
        <v>47</v>
      </c>
      <c r="D842" t="s">
        <v>45</v>
      </c>
      <c r="E842" t="s">
        <v>45</v>
      </c>
      <c r="F842" t="s">
        <v>49</v>
      </c>
      <c r="G842" t="s">
        <v>1998</v>
      </c>
      <c r="H842" t="s">
        <v>1999</v>
      </c>
      <c r="J842" t="str">
        <f>HYPERLINK("https://www.facebook.com/357267201017935/inbox/7153733281371259/","https://www.facebook.com/357267201017935/inbox/7153733281371259/")</f>
        <v>https://www.facebook.com/357267201017935/inbox/7153733281371259/</v>
      </c>
      <c r="O842">
        <v>0</v>
      </c>
      <c r="P842">
        <v>0</v>
      </c>
      <c r="Q842">
        <v>0</v>
      </c>
      <c r="S842">
        <v>0</v>
      </c>
      <c r="T842">
        <v>0</v>
      </c>
      <c r="U842">
        <v>0</v>
      </c>
      <c r="W842" t="s">
        <v>52</v>
      </c>
    </row>
    <row r="843" spans="1:42" x14ac:dyDescent="0.35">
      <c r="A843" t="s">
        <v>45</v>
      </c>
      <c r="B843" t="s">
        <v>1925</v>
      </c>
      <c r="C843" t="s">
        <v>58</v>
      </c>
      <c r="D843" t="s">
        <v>277</v>
      </c>
      <c r="E843" t="s">
        <v>277</v>
      </c>
      <c r="F843" t="s">
        <v>49</v>
      </c>
      <c r="G843" t="s">
        <v>320</v>
      </c>
      <c r="H843" t="s">
        <v>2000</v>
      </c>
      <c r="J843" t="str">
        <f>HYPERLINK("https://www.youtube.com/watch?v=DD3L29w9F5M&amp;lc=UgxuDLhUHBf9pOnQWJJ4AaABAg.A11hR8WSQUZA17WLZvJ8f7","https://www.youtube.com/watch?v=DD3L29w9F5M&amp;lc=UgxuDLhUHBf9pOnQWJJ4AaABAg.A11hR8WSQUZA17WLZvJ8f7")</f>
        <v>https://www.youtube.com/watch?v=DD3L29w9F5M&amp;lc=UgxuDLhUHBf9pOnQWJJ4AaABAg.A11hR8WSQUZA17WLZvJ8f7</v>
      </c>
      <c r="O843">
        <v>0</v>
      </c>
      <c r="P843">
        <v>0</v>
      </c>
      <c r="Q843">
        <v>0</v>
      </c>
      <c r="S843">
        <v>0</v>
      </c>
      <c r="T843">
        <v>0</v>
      </c>
      <c r="U843">
        <v>0</v>
      </c>
      <c r="W843" t="s">
        <v>62</v>
      </c>
    </row>
    <row r="844" spans="1:42" x14ac:dyDescent="0.35">
      <c r="A844" t="s">
        <v>45</v>
      </c>
      <c r="B844" t="s">
        <v>1925</v>
      </c>
      <c r="C844" t="s">
        <v>47</v>
      </c>
      <c r="D844" t="s">
        <v>45</v>
      </c>
      <c r="E844" t="s">
        <v>45</v>
      </c>
      <c r="F844" t="s">
        <v>49</v>
      </c>
      <c r="G844" t="s">
        <v>2001</v>
      </c>
      <c r="H844" t="s">
        <v>2002</v>
      </c>
      <c r="J844" t="str">
        <f>HYPERLINK("https://www.facebook.com/357267201017935/inbox/7164644953613425/","https://www.facebook.com/357267201017935/inbox/7164644953613425/")</f>
        <v>https://www.facebook.com/357267201017935/inbox/7164644953613425/</v>
      </c>
      <c r="O844">
        <v>0</v>
      </c>
      <c r="P844">
        <v>0</v>
      </c>
      <c r="Q844">
        <v>0</v>
      </c>
      <c r="S844">
        <v>0</v>
      </c>
      <c r="T844">
        <v>0</v>
      </c>
      <c r="U844">
        <v>0</v>
      </c>
      <c r="W844" t="s">
        <v>52</v>
      </c>
    </row>
    <row r="845" spans="1:42" x14ac:dyDescent="0.35">
      <c r="A845" t="s">
        <v>45</v>
      </c>
      <c r="B845" t="s">
        <v>1925</v>
      </c>
      <c r="C845" t="s">
        <v>47</v>
      </c>
      <c r="D845" t="s">
        <v>45</v>
      </c>
      <c r="E845" t="s">
        <v>45</v>
      </c>
      <c r="F845" t="s">
        <v>49</v>
      </c>
      <c r="G845" t="s">
        <v>2003</v>
      </c>
      <c r="H845" t="s">
        <v>2004</v>
      </c>
      <c r="J845" t="str">
        <f>HYPERLINK("https://www.facebook.com/357267201017935/inbox/7164644953613425/","https://www.facebook.com/357267201017935/inbox/7164644953613425/")</f>
        <v>https://www.facebook.com/357267201017935/inbox/7164644953613425/</v>
      </c>
      <c r="O845">
        <v>0</v>
      </c>
      <c r="P845">
        <v>0</v>
      </c>
      <c r="Q845">
        <v>0</v>
      </c>
      <c r="S845">
        <v>0</v>
      </c>
      <c r="T845">
        <v>0</v>
      </c>
      <c r="U845">
        <v>0</v>
      </c>
      <c r="W845" t="s">
        <v>52</v>
      </c>
    </row>
    <row r="846" spans="1:42" x14ac:dyDescent="0.35">
      <c r="A846" t="s">
        <v>45</v>
      </c>
      <c r="B846" t="s">
        <v>1925</v>
      </c>
      <c r="C846" t="s">
        <v>63</v>
      </c>
      <c r="D846" t="s">
        <v>249</v>
      </c>
      <c r="E846" t="s">
        <v>249</v>
      </c>
      <c r="F846" t="s">
        <v>49</v>
      </c>
      <c r="G846" t="s">
        <v>2005</v>
      </c>
      <c r="H846" t="s">
        <v>2006</v>
      </c>
      <c r="J846" t="str">
        <f>HYPERLINK("https://www.instagram.com/reel/C4p8KhXCRWe/","https://www.instagram.com/reel/C4p8KhXCRWe/")</f>
        <v>https://www.instagram.com/reel/C4p8KhXCRWe/</v>
      </c>
      <c r="O846">
        <v>0</v>
      </c>
      <c r="P846">
        <v>0</v>
      </c>
      <c r="Q846">
        <v>0</v>
      </c>
      <c r="S846">
        <v>0</v>
      </c>
      <c r="T846">
        <v>0</v>
      </c>
      <c r="U846">
        <v>0</v>
      </c>
      <c r="W846" t="s">
        <v>62</v>
      </c>
    </row>
    <row r="847" spans="1:42" x14ac:dyDescent="0.35">
      <c r="A847" t="s">
        <v>45</v>
      </c>
      <c r="B847" t="s">
        <v>1925</v>
      </c>
      <c r="C847" t="s">
        <v>63</v>
      </c>
      <c r="D847" t="s">
        <v>249</v>
      </c>
      <c r="E847" t="s">
        <v>249</v>
      </c>
      <c r="F847" t="s">
        <v>49</v>
      </c>
      <c r="G847" t="s">
        <v>2007</v>
      </c>
      <c r="H847" t="s">
        <v>2008</v>
      </c>
      <c r="J847" t="str">
        <f>HYPERLINK("https://www.instagram.com/reel/C4p8KhXCRWe/","https://www.instagram.com/reel/C4p8KhXCRWe/")</f>
        <v>https://www.instagram.com/reel/C4p8KhXCRWe/</v>
      </c>
      <c r="O847">
        <v>0</v>
      </c>
      <c r="P847">
        <v>0</v>
      </c>
      <c r="Q847">
        <v>0</v>
      </c>
      <c r="S847">
        <v>0</v>
      </c>
      <c r="T847">
        <v>0</v>
      </c>
      <c r="U847">
        <v>0</v>
      </c>
      <c r="W847" t="s">
        <v>62</v>
      </c>
    </row>
    <row r="848" spans="1:42" x14ac:dyDescent="0.35">
      <c r="A848" t="s">
        <v>45</v>
      </c>
      <c r="B848" t="s">
        <v>1925</v>
      </c>
      <c r="C848" t="s">
        <v>47</v>
      </c>
      <c r="D848" t="s">
        <v>45</v>
      </c>
      <c r="E848" t="s">
        <v>45</v>
      </c>
      <c r="F848" t="s">
        <v>49</v>
      </c>
      <c r="G848" t="s">
        <v>2009</v>
      </c>
      <c r="H848" t="s">
        <v>2010</v>
      </c>
      <c r="J848" t="str">
        <f>HYPERLINK("https://www.facebook.com/454965103328545/videos/1792369101228633?comment_id=3735009510106758&amp;reply_comment_id=1401021643915967","https://www.facebook.com/454965103328545/videos/1792369101228633?comment_id=3735009510106758&amp;reply_comment_id=1401021643915967")</f>
        <v>https://www.facebook.com/454965103328545/videos/1792369101228633?comment_id=3735009510106758&amp;reply_comment_id=1401021643915967</v>
      </c>
      <c r="O848">
        <v>0</v>
      </c>
      <c r="P848">
        <v>0</v>
      </c>
      <c r="Q848">
        <v>0</v>
      </c>
      <c r="S848">
        <v>0</v>
      </c>
      <c r="T848">
        <v>0</v>
      </c>
      <c r="U848">
        <v>0</v>
      </c>
      <c r="W848" t="s">
        <v>62</v>
      </c>
    </row>
    <row r="849" spans="1:23" x14ac:dyDescent="0.35">
      <c r="A849" t="s">
        <v>45</v>
      </c>
      <c r="B849" t="s">
        <v>1925</v>
      </c>
      <c r="C849" t="s">
        <v>47</v>
      </c>
      <c r="D849" t="s">
        <v>45</v>
      </c>
      <c r="E849" t="s">
        <v>45</v>
      </c>
      <c r="F849" t="s">
        <v>49</v>
      </c>
      <c r="G849" t="s">
        <v>2011</v>
      </c>
      <c r="H849" t="s">
        <v>2012</v>
      </c>
      <c r="J849" t="str">
        <f>HYPERLINK("https://www.facebook.com/357267201017935/inbox/7145011188910135/","https://www.facebook.com/357267201017935/inbox/7145011188910135/")</f>
        <v>https://www.facebook.com/357267201017935/inbox/7145011188910135/</v>
      </c>
      <c r="O849">
        <v>0</v>
      </c>
      <c r="P849">
        <v>0</v>
      </c>
      <c r="Q849">
        <v>0</v>
      </c>
      <c r="S849">
        <v>0</v>
      </c>
      <c r="T849">
        <v>0</v>
      </c>
      <c r="U849">
        <v>0</v>
      </c>
      <c r="W849" t="s">
        <v>52</v>
      </c>
    </row>
    <row r="850" spans="1:23" x14ac:dyDescent="0.35">
      <c r="A850" t="s">
        <v>45</v>
      </c>
      <c r="B850" t="s">
        <v>1925</v>
      </c>
      <c r="C850" t="s">
        <v>139</v>
      </c>
      <c r="D850" t="s">
        <v>2013</v>
      </c>
      <c r="E850" t="s">
        <v>2014</v>
      </c>
      <c r="F850" t="s">
        <v>49</v>
      </c>
      <c r="G850" t="s">
        <v>2015</v>
      </c>
      <c r="H850" t="s">
        <v>2016</v>
      </c>
      <c r="J850" t="str">
        <f>HYPERLINK("https://twitter.com/acpdileep/status/1769708153137156299","https://twitter.com/acpdileep/status/1769708153137156299")</f>
        <v>https://twitter.com/acpdileep/status/1769708153137156299</v>
      </c>
      <c r="O850">
        <v>0</v>
      </c>
      <c r="P850">
        <v>0</v>
      </c>
      <c r="Q850">
        <v>99</v>
      </c>
      <c r="R850" t="s">
        <v>582</v>
      </c>
      <c r="S850">
        <v>0</v>
      </c>
      <c r="T850">
        <v>0</v>
      </c>
      <c r="U850">
        <v>0</v>
      </c>
      <c r="W850" t="s">
        <v>146</v>
      </c>
    </row>
    <row r="851" spans="1:23" x14ac:dyDescent="0.35">
      <c r="A851" t="s">
        <v>45</v>
      </c>
      <c r="B851" t="s">
        <v>1925</v>
      </c>
      <c r="C851" t="s">
        <v>139</v>
      </c>
      <c r="D851" t="s">
        <v>190</v>
      </c>
      <c r="E851" t="s">
        <v>45</v>
      </c>
      <c r="F851" t="s">
        <v>49</v>
      </c>
      <c r="G851" t="s">
        <v>2017</v>
      </c>
      <c r="H851" t="s">
        <v>2018</v>
      </c>
      <c r="J851" t="str">
        <f>HYPERLINK("https://twitter.com/FinoPaymntsBank/status/1769707547290927453","https://twitter.com/FinoPaymntsBank/status/1769707547290927453")</f>
        <v>https://twitter.com/FinoPaymntsBank/status/1769707547290927453</v>
      </c>
      <c r="K851" t="s">
        <v>145</v>
      </c>
      <c r="O851">
        <v>0</v>
      </c>
      <c r="P851">
        <v>0</v>
      </c>
      <c r="Q851">
        <v>8449</v>
      </c>
      <c r="R851" t="s">
        <v>193</v>
      </c>
      <c r="S851">
        <v>0</v>
      </c>
      <c r="T851">
        <v>0</v>
      </c>
      <c r="U851">
        <v>0</v>
      </c>
      <c r="W851" t="s">
        <v>146</v>
      </c>
    </row>
    <row r="852" spans="1:23" x14ac:dyDescent="0.35">
      <c r="A852" t="s">
        <v>45</v>
      </c>
      <c r="B852" t="s">
        <v>1925</v>
      </c>
      <c r="C852" t="s">
        <v>139</v>
      </c>
      <c r="D852" t="s">
        <v>1820</v>
      </c>
      <c r="E852" t="s">
        <v>1821</v>
      </c>
      <c r="F852" t="s">
        <v>49</v>
      </c>
      <c r="G852" t="s">
        <v>2019</v>
      </c>
      <c r="H852" t="s">
        <v>2020</v>
      </c>
      <c r="J852" t="str">
        <f>HYPERLINK("https://twitter.com/b_sakhi1935/status/1769705429062627651","https://twitter.com/b_sakhi1935/status/1769705429062627651")</f>
        <v>https://twitter.com/b_sakhi1935/status/1769705429062627651</v>
      </c>
      <c r="K852" t="s">
        <v>1769</v>
      </c>
      <c r="O852">
        <v>0</v>
      </c>
      <c r="P852">
        <v>0</v>
      </c>
      <c r="Q852">
        <v>0</v>
      </c>
      <c r="S852">
        <v>0</v>
      </c>
      <c r="T852">
        <v>0</v>
      </c>
      <c r="U852">
        <v>0</v>
      </c>
      <c r="W852" t="s">
        <v>146</v>
      </c>
    </row>
    <row r="853" spans="1:23" x14ac:dyDescent="0.35">
      <c r="A853" t="s">
        <v>45</v>
      </c>
      <c r="B853" t="s">
        <v>1925</v>
      </c>
      <c r="C853" t="s">
        <v>139</v>
      </c>
      <c r="D853" t="s">
        <v>190</v>
      </c>
      <c r="E853" t="s">
        <v>45</v>
      </c>
      <c r="F853" t="s">
        <v>49</v>
      </c>
      <c r="G853" t="s">
        <v>2021</v>
      </c>
      <c r="H853" t="s">
        <v>2022</v>
      </c>
      <c r="J853" t="str">
        <f>HYPERLINK("https://twitter.com/FinoPaymntsBank/status/1769705171611996398","https://twitter.com/FinoPaymntsBank/status/1769705171611996398")</f>
        <v>https://twitter.com/FinoPaymntsBank/status/1769705171611996398</v>
      </c>
      <c r="K853" t="s">
        <v>145</v>
      </c>
      <c r="O853">
        <v>0</v>
      </c>
      <c r="P853">
        <v>0</v>
      </c>
      <c r="Q853">
        <v>8449</v>
      </c>
      <c r="R853" t="s">
        <v>193</v>
      </c>
      <c r="S853">
        <v>0</v>
      </c>
      <c r="T853">
        <v>0</v>
      </c>
      <c r="U853">
        <v>0</v>
      </c>
      <c r="W853" t="s">
        <v>146</v>
      </c>
    </row>
    <row r="854" spans="1:23" x14ac:dyDescent="0.35">
      <c r="A854" t="s">
        <v>45</v>
      </c>
      <c r="B854" t="s">
        <v>1925</v>
      </c>
      <c r="C854" t="s">
        <v>139</v>
      </c>
      <c r="D854" t="s">
        <v>190</v>
      </c>
      <c r="E854" t="s">
        <v>45</v>
      </c>
      <c r="F854" t="s">
        <v>49</v>
      </c>
      <c r="G854" t="s">
        <v>2023</v>
      </c>
      <c r="H854" t="s">
        <v>2024</v>
      </c>
      <c r="J854" t="str">
        <f>HYPERLINK("https://twitter.com/FinoPaymntsBank/status/1769704416075231413","https://twitter.com/FinoPaymntsBank/status/1769704416075231413")</f>
        <v>https://twitter.com/FinoPaymntsBank/status/1769704416075231413</v>
      </c>
      <c r="K854" t="s">
        <v>145</v>
      </c>
      <c r="O854">
        <v>0</v>
      </c>
      <c r="P854">
        <v>0</v>
      </c>
      <c r="Q854">
        <v>8449</v>
      </c>
      <c r="R854" t="s">
        <v>193</v>
      </c>
      <c r="S854">
        <v>0</v>
      </c>
      <c r="T854">
        <v>0</v>
      </c>
      <c r="U854">
        <v>0</v>
      </c>
      <c r="W854" t="s">
        <v>146</v>
      </c>
    </row>
    <row r="855" spans="1:23" x14ac:dyDescent="0.35">
      <c r="A855" t="s">
        <v>45</v>
      </c>
      <c r="B855" t="s">
        <v>1925</v>
      </c>
      <c r="C855" t="s">
        <v>139</v>
      </c>
      <c r="D855" t="s">
        <v>190</v>
      </c>
      <c r="E855" t="s">
        <v>45</v>
      </c>
      <c r="F855" t="s">
        <v>49</v>
      </c>
      <c r="G855" t="s">
        <v>2023</v>
      </c>
      <c r="H855" t="s">
        <v>2025</v>
      </c>
      <c r="J855" t="str">
        <f>HYPERLINK("https://twitter.com/FinoPaymntsBank/status/1769704274026799504","https://twitter.com/FinoPaymntsBank/status/1769704274026799504")</f>
        <v>https://twitter.com/FinoPaymntsBank/status/1769704274026799504</v>
      </c>
      <c r="K855" t="s">
        <v>145</v>
      </c>
      <c r="O855">
        <v>0</v>
      </c>
      <c r="P855">
        <v>0</v>
      </c>
      <c r="Q855">
        <v>8449</v>
      </c>
      <c r="R855" t="s">
        <v>193</v>
      </c>
      <c r="S855">
        <v>0</v>
      </c>
      <c r="T855">
        <v>0</v>
      </c>
      <c r="U855">
        <v>0</v>
      </c>
      <c r="W855" t="s">
        <v>146</v>
      </c>
    </row>
    <row r="856" spans="1:23" x14ac:dyDescent="0.35">
      <c r="A856" t="s">
        <v>45</v>
      </c>
      <c r="B856" t="s">
        <v>1925</v>
      </c>
      <c r="C856" t="s">
        <v>139</v>
      </c>
      <c r="D856" t="s">
        <v>190</v>
      </c>
      <c r="E856" t="s">
        <v>45</v>
      </c>
      <c r="F856" t="s">
        <v>49</v>
      </c>
      <c r="G856" t="s">
        <v>2026</v>
      </c>
      <c r="H856" t="s">
        <v>2027</v>
      </c>
      <c r="J856" t="str">
        <f>HYPERLINK("https://twitter.com/FinoPaymntsBank/status/1769703855707853249","https://twitter.com/FinoPaymntsBank/status/1769703855707853249")</f>
        <v>https://twitter.com/FinoPaymntsBank/status/1769703855707853249</v>
      </c>
      <c r="K856" t="s">
        <v>145</v>
      </c>
      <c r="O856">
        <v>0</v>
      </c>
      <c r="P856">
        <v>0</v>
      </c>
      <c r="Q856">
        <v>8449</v>
      </c>
      <c r="R856" t="s">
        <v>193</v>
      </c>
      <c r="S856">
        <v>0</v>
      </c>
      <c r="T856">
        <v>0</v>
      </c>
      <c r="U856">
        <v>0</v>
      </c>
      <c r="W856" t="s">
        <v>146</v>
      </c>
    </row>
    <row r="857" spans="1:23" x14ac:dyDescent="0.35">
      <c r="A857" t="s">
        <v>45</v>
      </c>
      <c r="B857" t="s">
        <v>1925</v>
      </c>
      <c r="C857" t="s">
        <v>47</v>
      </c>
      <c r="D857" t="s">
        <v>45</v>
      </c>
      <c r="E857" t="s">
        <v>45</v>
      </c>
      <c r="F857" t="s">
        <v>49</v>
      </c>
      <c r="G857" t="s">
        <v>2028</v>
      </c>
      <c r="H857" t="s">
        <v>2029</v>
      </c>
      <c r="J857" t="str">
        <f>HYPERLINK("https://www.facebook.com/454965103328545/posts/490024586489263?comment_id=6767653326669776&amp;reply_comment_id=1362152678519699","https://www.facebook.com/454965103328545/posts/490024586489263?comment_id=6767653326669776&amp;reply_comment_id=1362152678519699")</f>
        <v>https://www.facebook.com/454965103328545/posts/490024586489263?comment_id=6767653326669776&amp;reply_comment_id=1362152678519699</v>
      </c>
      <c r="O857">
        <v>0</v>
      </c>
      <c r="P857">
        <v>0</v>
      </c>
      <c r="Q857">
        <v>0</v>
      </c>
      <c r="S857">
        <v>0</v>
      </c>
      <c r="T857">
        <v>0</v>
      </c>
      <c r="U857">
        <v>0</v>
      </c>
      <c r="W857" t="s">
        <v>62</v>
      </c>
    </row>
    <row r="858" spans="1:23" x14ac:dyDescent="0.35">
      <c r="A858" t="s">
        <v>45</v>
      </c>
      <c r="B858" t="s">
        <v>1925</v>
      </c>
      <c r="C858" t="s">
        <v>47</v>
      </c>
      <c r="D858" t="s">
        <v>45</v>
      </c>
      <c r="E858" t="s">
        <v>45</v>
      </c>
      <c r="F858" t="s">
        <v>49</v>
      </c>
      <c r="G858" t="s">
        <v>2028</v>
      </c>
      <c r="H858" t="s">
        <v>2030</v>
      </c>
      <c r="J858" t="str">
        <f>HYPERLINK("https://www.facebook.com/454965103328545/posts/490024586489263?comment_id=6767653326669776&amp;reply_comment_id=2083508755369405","https://www.facebook.com/454965103328545/posts/490024586489263?comment_id=6767653326669776&amp;reply_comment_id=2083508755369405")</f>
        <v>https://www.facebook.com/454965103328545/posts/490024586489263?comment_id=6767653326669776&amp;reply_comment_id=2083508755369405</v>
      </c>
      <c r="O858">
        <v>0</v>
      </c>
      <c r="P858">
        <v>0</v>
      </c>
      <c r="Q858">
        <v>0</v>
      </c>
      <c r="S858">
        <v>0</v>
      </c>
      <c r="T858">
        <v>0</v>
      </c>
      <c r="U858">
        <v>0</v>
      </c>
      <c r="W858" t="s">
        <v>62</v>
      </c>
    </row>
    <row r="859" spans="1:23" x14ac:dyDescent="0.35">
      <c r="A859" t="s">
        <v>45</v>
      </c>
      <c r="B859" t="s">
        <v>1925</v>
      </c>
      <c r="C859" t="s">
        <v>47</v>
      </c>
      <c r="D859" t="s">
        <v>45</v>
      </c>
      <c r="E859" t="s">
        <v>45</v>
      </c>
      <c r="F859" t="s">
        <v>49</v>
      </c>
      <c r="G859" t="s">
        <v>2031</v>
      </c>
      <c r="H859" t="s">
        <v>2032</v>
      </c>
      <c r="J859" t="str">
        <f>HYPERLINK("https://www.facebook.com/357267201017935/posts/2057560754321896/?comment_id=1596102667874403&amp;reply_comment_id=960437328979521","https://www.facebook.com/357267201017935/posts/2057560754321896/?comment_id=1596102667874403&amp;reply_comment_id=960437328979521")</f>
        <v>https://www.facebook.com/357267201017935/posts/2057560754321896/?comment_id=1596102667874403&amp;reply_comment_id=960437328979521</v>
      </c>
      <c r="O859">
        <v>0</v>
      </c>
      <c r="P859">
        <v>0</v>
      </c>
      <c r="Q859">
        <v>0</v>
      </c>
      <c r="S859">
        <v>0</v>
      </c>
      <c r="T859">
        <v>0</v>
      </c>
      <c r="U859">
        <v>0</v>
      </c>
      <c r="W859" t="s">
        <v>62</v>
      </c>
    </row>
    <row r="860" spans="1:23" x14ac:dyDescent="0.35">
      <c r="A860" t="s">
        <v>45</v>
      </c>
      <c r="B860" t="s">
        <v>1925</v>
      </c>
      <c r="C860" t="s">
        <v>139</v>
      </c>
      <c r="D860" t="s">
        <v>190</v>
      </c>
      <c r="E860" t="s">
        <v>45</v>
      </c>
      <c r="F860" t="s">
        <v>49</v>
      </c>
      <c r="G860" t="s">
        <v>2033</v>
      </c>
      <c r="H860" t="s">
        <v>2034</v>
      </c>
      <c r="J860" t="str">
        <f>HYPERLINK("https://twitter.com/FinoPaymntsBank/status/1769702983095496980","https://twitter.com/FinoPaymntsBank/status/1769702983095496980")</f>
        <v>https://twitter.com/FinoPaymntsBank/status/1769702983095496980</v>
      </c>
      <c r="K860" t="s">
        <v>145</v>
      </c>
      <c r="O860">
        <v>0</v>
      </c>
      <c r="P860">
        <v>0</v>
      </c>
      <c r="Q860">
        <v>8449</v>
      </c>
      <c r="R860" t="s">
        <v>193</v>
      </c>
      <c r="S860">
        <v>0</v>
      </c>
      <c r="T860">
        <v>0</v>
      </c>
      <c r="U860">
        <v>0</v>
      </c>
      <c r="W860" t="s">
        <v>146</v>
      </c>
    </row>
    <row r="861" spans="1:23" x14ac:dyDescent="0.35">
      <c r="A861" t="s">
        <v>45</v>
      </c>
      <c r="B861" t="s">
        <v>1925</v>
      </c>
      <c r="C861" t="s">
        <v>47</v>
      </c>
      <c r="D861" t="s">
        <v>45</v>
      </c>
      <c r="E861" t="s">
        <v>45</v>
      </c>
      <c r="F861" t="s">
        <v>49</v>
      </c>
      <c r="G861" t="s">
        <v>2035</v>
      </c>
      <c r="H861" t="s">
        <v>2036</v>
      </c>
      <c r="J861" t="str">
        <f>HYPERLINK("https://www.facebook.com/454965103328545/posts/490024586489263?comment_id=1208553803884343&amp;reply_comment_id=431076269379160","https://www.facebook.com/454965103328545/posts/490024586489263?comment_id=1208553803884343&amp;reply_comment_id=431076269379160")</f>
        <v>https://www.facebook.com/454965103328545/posts/490024586489263?comment_id=1208553803884343&amp;reply_comment_id=431076269379160</v>
      </c>
      <c r="O861">
        <v>0</v>
      </c>
      <c r="P861">
        <v>0</v>
      </c>
      <c r="Q861">
        <v>0</v>
      </c>
      <c r="S861">
        <v>0</v>
      </c>
      <c r="T861">
        <v>0</v>
      </c>
      <c r="U861">
        <v>0</v>
      </c>
      <c r="W861" t="s">
        <v>62</v>
      </c>
    </row>
    <row r="862" spans="1:23" x14ac:dyDescent="0.35">
      <c r="A862" t="s">
        <v>45</v>
      </c>
      <c r="B862" t="s">
        <v>1925</v>
      </c>
      <c r="C862" t="s">
        <v>47</v>
      </c>
      <c r="D862" t="s">
        <v>45</v>
      </c>
      <c r="E862" t="s">
        <v>45</v>
      </c>
      <c r="F862" t="s">
        <v>49</v>
      </c>
      <c r="G862" t="s">
        <v>1515</v>
      </c>
      <c r="H862" t="s">
        <v>2037</v>
      </c>
      <c r="J862" t="str">
        <f>HYPERLINK("https://www.facebook.com/454965103328545/posts/788164420008610?comment_id=797551045564971&amp;reply_comment_id=722982353155335","https://www.facebook.com/454965103328545/posts/788164420008610?comment_id=797551045564971&amp;reply_comment_id=722982353155335")</f>
        <v>https://www.facebook.com/454965103328545/posts/788164420008610?comment_id=797551045564971&amp;reply_comment_id=722982353155335</v>
      </c>
      <c r="O862">
        <v>0</v>
      </c>
      <c r="P862">
        <v>0</v>
      </c>
      <c r="Q862">
        <v>0</v>
      </c>
      <c r="S862">
        <v>0</v>
      </c>
      <c r="T862">
        <v>0</v>
      </c>
      <c r="U862">
        <v>0</v>
      </c>
      <c r="W862" t="s">
        <v>62</v>
      </c>
    </row>
    <row r="863" spans="1:23" x14ac:dyDescent="0.35">
      <c r="A863" t="s">
        <v>45</v>
      </c>
      <c r="B863" t="s">
        <v>1925</v>
      </c>
      <c r="C863" t="s">
        <v>58</v>
      </c>
      <c r="D863" t="s">
        <v>277</v>
      </c>
      <c r="E863" t="s">
        <v>277</v>
      </c>
      <c r="F863" t="s">
        <v>49</v>
      </c>
      <c r="G863" t="s">
        <v>320</v>
      </c>
      <c r="H863" t="s">
        <v>2038</v>
      </c>
      <c r="J863" t="str">
        <f>HYPERLINK("https://www.youtube.com/watch?v=nNTi7GPdTsw&amp;lc=Ugy3FUx5b-c2rNQkNCF4AaABAg.A17OD3ud89cA17TEVnTcpQ","https://www.youtube.com/watch?v=nNTi7GPdTsw&amp;lc=Ugy3FUx5b-c2rNQkNCF4AaABAg.A17OD3ud89cA17TEVnTcpQ")</f>
        <v>https://www.youtube.com/watch?v=nNTi7GPdTsw&amp;lc=Ugy3FUx5b-c2rNQkNCF4AaABAg.A17OD3ud89cA17TEVnTcpQ</v>
      </c>
      <c r="O863">
        <v>0</v>
      </c>
      <c r="P863">
        <v>0</v>
      </c>
      <c r="Q863">
        <v>0</v>
      </c>
      <c r="S863">
        <v>0</v>
      </c>
      <c r="T863">
        <v>0</v>
      </c>
      <c r="U863">
        <v>0</v>
      </c>
      <c r="W863" t="s">
        <v>62</v>
      </c>
    </row>
    <row r="864" spans="1:23" x14ac:dyDescent="0.35">
      <c r="A864" t="s">
        <v>45</v>
      </c>
      <c r="B864" t="s">
        <v>1925</v>
      </c>
      <c r="C864" t="s">
        <v>47</v>
      </c>
      <c r="D864" t="s">
        <v>45</v>
      </c>
      <c r="E864" t="s">
        <v>45</v>
      </c>
      <c r="F864" t="s">
        <v>49</v>
      </c>
      <c r="G864" t="s">
        <v>2039</v>
      </c>
      <c r="H864" t="s">
        <v>2040</v>
      </c>
      <c r="J864" t="str">
        <f>HYPERLINK("https://www.facebook.com/454965103328545/posts/790441803114205?comment_id=1905239313238178&amp;reply_comment_id=3778426379092268","https://www.facebook.com/454965103328545/posts/790441803114205?comment_id=1905239313238178&amp;reply_comment_id=3778426379092268")</f>
        <v>https://www.facebook.com/454965103328545/posts/790441803114205?comment_id=1905239313238178&amp;reply_comment_id=3778426379092268</v>
      </c>
      <c r="O864">
        <v>0</v>
      </c>
      <c r="P864">
        <v>0</v>
      </c>
      <c r="Q864">
        <v>0</v>
      </c>
      <c r="S864">
        <v>0</v>
      </c>
      <c r="T864">
        <v>0</v>
      </c>
      <c r="U864">
        <v>0</v>
      </c>
      <c r="W864" t="s">
        <v>62</v>
      </c>
    </row>
    <row r="865" spans="1:45" x14ac:dyDescent="0.35">
      <c r="A865" t="s">
        <v>45</v>
      </c>
      <c r="B865" t="s">
        <v>1925</v>
      </c>
      <c r="C865" t="s">
        <v>63</v>
      </c>
      <c r="D865" t="s">
        <v>487</v>
      </c>
      <c r="E865" t="s">
        <v>487</v>
      </c>
      <c r="F865" t="s">
        <v>49</v>
      </c>
      <c r="G865" t="s">
        <v>2041</v>
      </c>
      <c r="H865" t="s">
        <v>2042</v>
      </c>
      <c r="J865" t="str">
        <f>HYPERLINK("https://www.instagram.com/reel/C4p8KhXCRWe/","https://www.instagram.com/reel/C4p8KhXCRWe/")</f>
        <v>https://www.instagram.com/reel/C4p8KhXCRWe/</v>
      </c>
      <c r="O865">
        <v>0</v>
      </c>
      <c r="P865">
        <v>0</v>
      </c>
      <c r="Q865">
        <v>0</v>
      </c>
      <c r="S865">
        <v>0</v>
      </c>
      <c r="T865">
        <v>0</v>
      </c>
      <c r="U865">
        <v>0</v>
      </c>
      <c r="W865" t="s">
        <v>62</v>
      </c>
    </row>
    <row r="866" spans="1:45" x14ac:dyDescent="0.35">
      <c r="A866" t="s">
        <v>45</v>
      </c>
      <c r="B866" t="s">
        <v>1925</v>
      </c>
      <c r="C866" t="s">
        <v>58</v>
      </c>
      <c r="D866" t="s">
        <v>45</v>
      </c>
      <c r="E866" t="s">
        <v>45</v>
      </c>
      <c r="F866" t="s">
        <v>49</v>
      </c>
      <c r="G866" t="s">
        <v>2043</v>
      </c>
      <c r="H866" t="s">
        <v>2044</v>
      </c>
      <c r="J866" t="str">
        <f>HYPERLINK("https://www.youtube.com/watch?v=WP9gdiBOJ_I","https://www.youtube.com/watch?v=WP9gdiBOJ_I")</f>
        <v>https://www.youtube.com/watch?v=WP9gdiBOJ_I</v>
      </c>
      <c r="O866">
        <v>0</v>
      </c>
      <c r="P866">
        <v>0</v>
      </c>
      <c r="Q866">
        <v>0</v>
      </c>
      <c r="S866">
        <v>0</v>
      </c>
      <c r="T866">
        <v>0</v>
      </c>
      <c r="U866">
        <v>0</v>
      </c>
      <c r="W866" t="s">
        <v>106</v>
      </c>
    </row>
    <row r="867" spans="1:45" x14ac:dyDescent="0.35">
      <c r="A867" t="s">
        <v>45</v>
      </c>
      <c r="B867" t="s">
        <v>1925</v>
      </c>
      <c r="C867" t="s">
        <v>63</v>
      </c>
      <c r="D867" t="s">
        <v>186</v>
      </c>
      <c r="E867" t="s">
        <v>186</v>
      </c>
      <c r="F867" t="s">
        <v>49</v>
      </c>
      <c r="G867" t="s">
        <v>2045</v>
      </c>
      <c r="H867" t="s">
        <v>2046</v>
      </c>
      <c r="J867" t="str">
        <f>HYPERLINK("https://www.instagram.com/reel/C4p8KhXCRWe/","https://www.instagram.com/reel/C4p8KhXCRWe/")</f>
        <v>https://www.instagram.com/reel/C4p8KhXCRWe/</v>
      </c>
      <c r="O867">
        <v>0</v>
      </c>
      <c r="P867">
        <v>0</v>
      </c>
      <c r="Q867">
        <v>0</v>
      </c>
      <c r="S867">
        <v>14</v>
      </c>
      <c r="T867">
        <v>292</v>
      </c>
      <c r="U867">
        <v>0</v>
      </c>
      <c r="W867" t="s">
        <v>106</v>
      </c>
    </row>
    <row r="868" spans="1:45" x14ac:dyDescent="0.35">
      <c r="A868" t="s">
        <v>45</v>
      </c>
      <c r="B868" t="s">
        <v>1925</v>
      </c>
      <c r="C868" t="s">
        <v>47</v>
      </c>
      <c r="D868" t="s">
        <v>45</v>
      </c>
      <c r="E868" t="s">
        <v>45</v>
      </c>
      <c r="F868" t="s">
        <v>49</v>
      </c>
      <c r="G868" t="s">
        <v>345</v>
      </c>
      <c r="H868" t="s">
        <v>2047</v>
      </c>
      <c r="J868" t="str">
        <f>HYPERLINK("https://www.facebook.com/454965103328545/posts/790441803114205?comment_id=2654225031412276&amp;reply_comment_id=731301598837012","https://www.facebook.com/454965103328545/posts/790441803114205?comment_id=2654225031412276&amp;reply_comment_id=731301598837012")</f>
        <v>https://www.facebook.com/454965103328545/posts/790441803114205?comment_id=2654225031412276&amp;reply_comment_id=731301598837012</v>
      </c>
      <c r="O868">
        <v>0</v>
      </c>
      <c r="P868">
        <v>0</v>
      </c>
      <c r="Q868">
        <v>0</v>
      </c>
      <c r="S868">
        <v>0</v>
      </c>
      <c r="T868">
        <v>0</v>
      </c>
      <c r="U868">
        <v>0</v>
      </c>
      <c r="W868" t="s">
        <v>62</v>
      </c>
    </row>
    <row r="869" spans="1:45" x14ac:dyDescent="0.35">
      <c r="A869" t="s">
        <v>45</v>
      </c>
      <c r="B869" t="s">
        <v>1925</v>
      </c>
      <c r="C869" t="s">
        <v>47</v>
      </c>
      <c r="D869" t="s">
        <v>445</v>
      </c>
      <c r="E869" t="s">
        <v>445</v>
      </c>
      <c r="F869" t="s">
        <v>142</v>
      </c>
      <c r="G869" t="s">
        <v>2048</v>
      </c>
      <c r="H869" t="s">
        <v>2049</v>
      </c>
      <c r="J869" t="str">
        <f>HYPERLINK("https://www.facebook.com/454965103328545/posts/790441803114205?comment_id=2654225031412276","https://www.facebook.com/454965103328545/posts/790441803114205?comment_id=2654225031412276")</f>
        <v>https://www.facebook.com/454965103328545/posts/790441803114205?comment_id=2654225031412276</v>
      </c>
      <c r="O869">
        <v>0</v>
      </c>
      <c r="P869">
        <v>0</v>
      </c>
      <c r="Q869">
        <v>0</v>
      </c>
      <c r="S869">
        <v>0</v>
      </c>
      <c r="T869">
        <v>0</v>
      </c>
      <c r="U869">
        <v>0</v>
      </c>
      <c r="W869" t="s">
        <v>62</v>
      </c>
      <c r="AS869" t="s">
        <v>375</v>
      </c>
    </row>
    <row r="870" spans="1:45" x14ac:dyDescent="0.35">
      <c r="A870" t="s">
        <v>45</v>
      </c>
      <c r="B870" t="s">
        <v>1925</v>
      </c>
      <c r="C870" t="s">
        <v>47</v>
      </c>
      <c r="D870" t="s">
        <v>445</v>
      </c>
      <c r="E870" t="s">
        <v>445</v>
      </c>
      <c r="F870" t="s">
        <v>142</v>
      </c>
      <c r="G870" t="s">
        <v>473</v>
      </c>
      <c r="H870" t="s">
        <v>2050</v>
      </c>
      <c r="J870" t="str">
        <f>HYPERLINK("https://www.facebook.com/454965103328545/posts/790441803114205?comment_id=791804372798661","https://www.facebook.com/454965103328545/posts/790441803114205?comment_id=791804372798661")</f>
        <v>https://www.facebook.com/454965103328545/posts/790441803114205?comment_id=791804372798661</v>
      </c>
      <c r="O870">
        <v>0</v>
      </c>
      <c r="P870">
        <v>0</v>
      </c>
      <c r="Q870">
        <v>0</v>
      </c>
      <c r="S870">
        <v>0</v>
      </c>
      <c r="T870">
        <v>0</v>
      </c>
      <c r="U870">
        <v>0</v>
      </c>
      <c r="W870" t="s">
        <v>62</v>
      </c>
    </row>
    <row r="871" spans="1:45" x14ac:dyDescent="0.35">
      <c r="A871" t="s">
        <v>45</v>
      </c>
      <c r="B871" t="s">
        <v>1925</v>
      </c>
      <c r="C871" t="s">
        <v>47</v>
      </c>
      <c r="D871" t="s">
        <v>445</v>
      </c>
      <c r="E871" t="s">
        <v>445</v>
      </c>
      <c r="F871" t="s">
        <v>49</v>
      </c>
      <c r="G871" t="s">
        <v>477</v>
      </c>
      <c r="H871" t="s">
        <v>2051</v>
      </c>
      <c r="J871" t="str">
        <f>HYPERLINK("https://www.facebook.com/454965103328545/posts/790441803114205?comment_id=1905239313238178","https://www.facebook.com/454965103328545/posts/790441803114205?comment_id=1905239313238178")</f>
        <v>https://www.facebook.com/454965103328545/posts/790441803114205?comment_id=1905239313238178</v>
      </c>
      <c r="O871">
        <v>0</v>
      </c>
      <c r="P871">
        <v>0</v>
      </c>
      <c r="Q871">
        <v>0</v>
      </c>
      <c r="S871">
        <v>0</v>
      </c>
      <c r="T871">
        <v>0</v>
      </c>
      <c r="U871">
        <v>0</v>
      </c>
      <c r="W871" t="s">
        <v>62</v>
      </c>
      <c r="AS871" t="s">
        <v>375</v>
      </c>
    </row>
    <row r="872" spans="1:45" x14ac:dyDescent="0.35">
      <c r="A872" t="s">
        <v>45</v>
      </c>
      <c r="B872" t="s">
        <v>1925</v>
      </c>
      <c r="C872" t="s">
        <v>58</v>
      </c>
      <c r="D872" t="s">
        <v>1838</v>
      </c>
      <c r="E872" t="s">
        <v>1838</v>
      </c>
      <c r="F872" t="s">
        <v>49</v>
      </c>
      <c r="G872" t="s">
        <v>2052</v>
      </c>
      <c r="H872" t="s">
        <v>2053</v>
      </c>
      <c r="J872" t="str">
        <f>HYPERLINK("https://www.youtube.com/watch?v=nNTi7GPdTsw&amp;lc=Ugy3FUx5b-c2rNQkNCF4AaABAg","https://www.youtube.com/watch?v=nNTi7GPdTsw&amp;lc=Ugy3FUx5b-c2rNQkNCF4AaABAg")</f>
        <v>https://www.youtube.com/watch?v=nNTi7GPdTsw&amp;lc=Ugy3FUx5b-c2rNQkNCF4AaABAg</v>
      </c>
      <c r="O872">
        <v>0</v>
      </c>
      <c r="P872">
        <v>0</v>
      </c>
      <c r="Q872">
        <v>0</v>
      </c>
      <c r="S872">
        <v>0</v>
      </c>
      <c r="T872">
        <v>0</v>
      </c>
      <c r="U872">
        <v>0</v>
      </c>
      <c r="W872" t="s">
        <v>62</v>
      </c>
      <c r="AS872" t="s">
        <v>375</v>
      </c>
    </row>
    <row r="873" spans="1:45" x14ac:dyDescent="0.35">
      <c r="A873" t="s">
        <v>45</v>
      </c>
      <c r="B873" t="s">
        <v>1925</v>
      </c>
      <c r="C873" t="s">
        <v>58</v>
      </c>
      <c r="D873" t="s">
        <v>2054</v>
      </c>
      <c r="E873" t="s">
        <v>2054</v>
      </c>
      <c r="F873" t="s">
        <v>49</v>
      </c>
      <c r="G873" t="s">
        <v>2055</v>
      </c>
      <c r="H873" t="s">
        <v>2056</v>
      </c>
      <c r="J873" t="str">
        <f>HYPERLINK("https://www.youtube.com/watch?v=idaYwanWlGU","https://www.youtube.com/watch?v=idaYwanWlGU")</f>
        <v>https://www.youtube.com/watch?v=idaYwanWlGU</v>
      </c>
      <c r="O873">
        <v>0</v>
      </c>
      <c r="P873">
        <v>0</v>
      </c>
      <c r="Q873">
        <v>0</v>
      </c>
      <c r="S873">
        <v>0</v>
      </c>
      <c r="T873">
        <v>0</v>
      </c>
      <c r="U873">
        <v>0</v>
      </c>
      <c r="W873" t="s">
        <v>106</v>
      </c>
    </row>
    <row r="874" spans="1:45" x14ac:dyDescent="0.35">
      <c r="A874" t="s">
        <v>45</v>
      </c>
      <c r="B874" t="s">
        <v>1925</v>
      </c>
      <c r="C874" t="s">
        <v>47</v>
      </c>
      <c r="D874" t="s">
        <v>45</v>
      </c>
      <c r="E874" t="s">
        <v>45</v>
      </c>
      <c r="F874" t="s">
        <v>49</v>
      </c>
      <c r="G874" t="s">
        <v>2057</v>
      </c>
      <c r="H874" t="s">
        <v>2058</v>
      </c>
      <c r="J874" t="str">
        <f>HYPERLINK("https://www.facebook.com/357267201017935_790441803114205","https://www.facebook.com/357267201017935_790441803114205")</f>
        <v>https://www.facebook.com/357267201017935_790441803114205</v>
      </c>
      <c r="O874">
        <v>0</v>
      </c>
      <c r="P874">
        <v>0</v>
      </c>
      <c r="Q874">
        <v>0</v>
      </c>
      <c r="S874">
        <v>9</v>
      </c>
      <c r="T874">
        <v>46</v>
      </c>
      <c r="U874">
        <v>1</v>
      </c>
      <c r="W874" t="s">
        <v>106</v>
      </c>
    </row>
    <row r="875" spans="1:45" x14ac:dyDescent="0.35">
      <c r="A875" t="s">
        <v>45</v>
      </c>
      <c r="B875" t="s">
        <v>1925</v>
      </c>
      <c r="C875" t="s">
        <v>139</v>
      </c>
      <c r="D875" t="s">
        <v>942</v>
      </c>
      <c r="E875" t="s">
        <v>943</v>
      </c>
      <c r="F875" t="s">
        <v>49</v>
      </c>
      <c r="G875" t="s">
        <v>2059</v>
      </c>
      <c r="H875" t="s">
        <v>2060</v>
      </c>
      <c r="J875" t="str">
        <f>HYPERLINK("https://twitter.com/rajendras1819/status/1769666877771673619","https://twitter.com/rajendras1819/status/1769666877771673619")</f>
        <v>https://twitter.com/rajendras1819/status/1769666877771673619</v>
      </c>
      <c r="O875">
        <v>0</v>
      </c>
      <c r="P875">
        <v>0</v>
      </c>
      <c r="Q875">
        <v>265</v>
      </c>
      <c r="R875" t="s">
        <v>946</v>
      </c>
      <c r="S875">
        <v>0</v>
      </c>
      <c r="T875">
        <v>0</v>
      </c>
      <c r="U875">
        <v>0</v>
      </c>
      <c r="W875" t="s">
        <v>552</v>
      </c>
    </row>
    <row r="876" spans="1:45" x14ac:dyDescent="0.35">
      <c r="A876" t="s">
        <v>45</v>
      </c>
      <c r="B876" t="s">
        <v>1925</v>
      </c>
      <c r="C876" t="s">
        <v>139</v>
      </c>
      <c r="D876" t="s">
        <v>190</v>
      </c>
      <c r="E876" t="s">
        <v>45</v>
      </c>
      <c r="F876" t="s">
        <v>49</v>
      </c>
      <c r="G876" t="s">
        <v>2059</v>
      </c>
      <c r="H876" t="s">
        <v>2061</v>
      </c>
      <c r="J876" t="str">
        <f>HYPERLINK("https://twitter.com/FinoPaymntsBank/status/1769666670497574949","https://twitter.com/FinoPaymntsBank/status/1769666670497574949")</f>
        <v>https://twitter.com/FinoPaymntsBank/status/1769666670497574949</v>
      </c>
      <c r="K876" t="s">
        <v>145</v>
      </c>
      <c r="O876">
        <v>0</v>
      </c>
      <c r="P876">
        <v>0</v>
      </c>
      <c r="Q876">
        <v>8449</v>
      </c>
      <c r="R876" t="s">
        <v>193</v>
      </c>
      <c r="S876">
        <v>0</v>
      </c>
      <c r="T876">
        <v>0</v>
      </c>
      <c r="U876">
        <v>0</v>
      </c>
      <c r="W876" t="s">
        <v>146</v>
      </c>
    </row>
    <row r="877" spans="1:45" x14ac:dyDescent="0.35">
      <c r="A877" t="s">
        <v>45</v>
      </c>
      <c r="B877" t="s">
        <v>1925</v>
      </c>
      <c r="C877" t="s">
        <v>102</v>
      </c>
      <c r="D877" t="s">
        <v>965</v>
      </c>
      <c r="E877" t="s">
        <v>965</v>
      </c>
      <c r="F877" t="s">
        <v>49</v>
      </c>
      <c r="G877" t="s">
        <v>2062</v>
      </c>
      <c r="H877" t="s">
        <v>2063</v>
      </c>
      <c r="J877" t="str">
        <f>HYPERLINK("https://www.linkedin.com/feed/update/urn:li:share:7175432215831404544","https://www.linkedin.com/feed/update/urn:li:share:7175432215831404544")</f>
        <v>https://www.linkedin.com/feed/update/urn:li:share:7175432215831404544</v>
      </c>
      <c r="O877">
        <v>0</v>
      </c>
      <c r="P877">
        <v>0</v>
      </c>
      <c r="Q877">
        <v>0</v>
      </c>
      <c r="S877">
        <v>3</v>
      </c>
      <c r="T877">
        <v>100</v>
      </c>
      <c r="U877">
        <v>0</v>
      </c>
      <c r="W877" t="s">
        <v>106</v>
      </c>
    </row>
    <row r="878" spans="1:45" x14ac:dyDescent="0.35">
      <c r="A878" t="s">
        <v>45</v>
      </c>
      <c r="B878" t="s">
        <v>1925</v>
      </c>
      <c r="C878" t="s">
        <v>47</v>
      </c>
      <c r="D878" t="s">
        <v>45</v>
      </c>
      <c r="E878" t="s">
        <v>45</v>
      </c>
      <c r="F878" t="s">
        <v>49</v>
      </c>
      <c r="G878" t="s">
        <v>197</v>
      </c>
      <c r="H878" t="s">
        <v>2064</v>
      </c>
      <c r="J878" t="str">
        <f>HYPERLINK("https://www.facebook.com/357267201017935_790437643114621","https://www.facebook.com/357267201017935_790437643114621")</f>
        <v>https://www.facebook.com/357267201017935_790437643114621</v>
      </c>
      <c r="O878">
        <v>0</v>
      </c>
      <c r="P878">
        <v>0</v>
      </c>
      <c r="Q878">
        <v>0</v>
      </c>
      <c r="S878">
        <v>0</v>
      </c>
      <c r="T878">
        <v>0</v>
      </c>
      <c r="U878">
        <v>0</v>
      </c>
      <c r="W878" t="s">
        <v>106</v>
      </c>
      <c r="AS878" t="s">
        <v>115</v>
      </c>
    </row>
    <row r="879" spans="1:45" x14ac:dyDescent="0.35">
      <c r="A879" t="s">
        <v>45</v>
      </c>
      <c r="B879" t="s">
        <v>1925</v>
      </c>
      <c r="C879" t="s">
        <v>47</v>
      </c>
      <c r="D879" t="s">
        <v>45</v>
      </c>
      <c r="E879" t="s">
        <v>45</v>
      </c>
      <c r="F879" t="s">
        <v>49</v>
      </c>
      <c r="G879" t="s">
        <v>1874</v>
      </c>
      <c r="H879" t="s">
        <v>2065</v>
      </c>
      <c r="J879" t="str">
        <f>HYPERLINK("https://www.facebook.com/357267201017935_790436683114717","https://www.facebook.com/357267201017935_790436683114717")</f>
        <v>https://www.facebook.com/357267201017935_790436683114717</v>
      </c>
      <c r="O879">
        <v>0</v>
      </c>
      <c r="P879">
        <v>0</v>
      </c>
      <c r="Q879">
        <v>0</v>
      </c>
      <c r="S879">
        <v>9</v>
      </c>
      <c r="T879">
        <v>63</v>
      </c>
      <c r="U879">
        <v>6</v>
      </c>
      <c r="W879" t="s">
        <v>106</v>
      </c>
    </row>
    <row r="880" spans="1:45" x14ac:dyDescent="0.35">
      <c r="A880" t="s">
        <v>45</v>
      </c>
      <c r="B880" t="s">
        <v>1925</v>
      </c>
      <c r="C880" t="s">
        <v>47</v>
      </c>
      <c r="D880" t="s">
        <v>1515</v>
      </c>
      <c r="E880" t="s">
        <v>1515</v>
      </c>
      <c r="F880" t="s">
        <v>49</v>
      </c>
      <c r="G880" t="s">
        <v>1516</v>
      </c>
      <c r="H880" t="s">
        <v>2066</v>
      </c>
      <c r="J880" t="str">
        <f>HYPERLINK("https://www.facebook.com/454965103328545/posts/788164420008610?comment_id=1101151244437741&amp;reply_comment_id=797551045564971","https://www.facebook.com/454965103328545/posts/788164420008610?comment_id=1101151244437741&amp;reply_comment_id=797551045564971")</f>
        <v>https://www.facebook.com/454965103328545/posts/788164420008610?comment_id=1101151244437741&amp;reply_comment_id=797551045564971</v>
      </c>
      <c r="O880">
        <v>0</v>
      </c>
      <c r="P880">
        <v>0</v>
      </c>
      <c r="Q880">
        <v>0</v>
      </c>
      <c r="S880">
        <v>0</v>
      </c>
      <c r="T880">
        <v>0</v>
      </c>
      <c r="U880">
        <v>0</v>
      </c>
      <c r="W880" t="s">
        <v>62</v>
      </c>
      <c r="Y880" t="s">
        <v>2067</v>
      </c>
      <c r="Z880" t="s">
        <v>613</v>
      </c>
      <c r="AA880" t="s">
        <v>614</v>
      </c>
      <c r="AS880" t="s">
        <v>375</v>
      </c>
    </row>
    <row r="881" spans="1:45" x14ac:dyDescent="0.35">
      <c r="A881" t="s">
        <v>45</v>
      </c>
      <c r="B881" t="s">
        <v>1925</v>
      </c>
      <c r="C881" t="s">
        <v>47</v>
      </c>
      <c r="D881" t="s">
        <v>2068</v>
      </c>
      <c r="E881" t="s">
        <v>2068</v>
      </c>
      <c r="F881" t="s">
        <v>49</v>
      </c>
      <c r="G881" t="s">
        <v>2069</v>
      </c>
      <c r="H881" t="s">
        <v>2070</v>
      </c>
      <c r="J881" t="str">
        <f>HYPERLINK("https://www.facebook.com/454965103328545/posts/490024586489263?comment_id=1208553803884343","https://www.facebook.com/454965103328545/posts/490024586489263?comment_id=1208553803884343")</f>
        <v>https://www.facebook.com/454965103328545/posts/490024586489263?comment_id=1208553803884343</v>
      </c>
      <c r="O881">
        <v>0</v>
      </c>
      <c r="P881">
        <v>0</v>
      </c>
      <c r="Q881">
        <v>0</v>
      </c>
      <c r="S881">
        <v>0</v>
      </c>
      <c r="T881">
        <v>0</v>
      </c>
      <c r="U881">
        <v>0</v>
      </c>
      <c r="W881" t="s">
        <v>62</v>
      </c>
      <c r="AS881" t="s">
        <v>375</v>
      </c>
    </row>
    <row r="882" spans="1:45" x14ac:dyDescent="0.35">
      <c r="A882" t="s">
        <v>45</v>
      </c>
      <c r="B882" t="s">
        <v>1925</v>
      </c>
      <c r="C882" t="s">
        <v>139</v>
      </c>
      <c r="D882" t="s">
        <v>1820</v>
      </c>
      <c r="E882" t="s">
        <v>1821</v>
      </c>
      <c r="F882" t="s">
        <v>49</v>
      </c>
      <c r="G882" t="s">
        <v>2071</v>
      </c>
      <c r="H882" t="s">
        <v>2072</v>
      </c>
      <c r="J882" t="str">
        <f>HYPERLINK("https://twitter.com/b_sakhi1935/status/1769644783746928784","https://twitter.com/b_sakhi1935/status/1769644783746928784")</f>
        <v>https://twitter.com/b_sakhi1935/status/1769644783746928784</v>
      </c>
      <c r="K882" t="s">
        <v>1769</v>
      </c>
      <c r="O882">
        <v>0</v>
      </c>
      <c r="P882">
        <v>0</v>
      </c>
      <c r="Q882">
        <v>0</v>
      </c>
      <c r="S882">
        <v>0</v>
      </c>
      <c r="T882">
        <v>0</v>
      </c>
      <c r="U882">
        <v>0</v>
      </c>
      <c r="W882" t="s">
        <v>146</v>
      </c>
      <c r="AS882" t="s">
        <v>375</v>
      </c>
    </row>
    <row r="883" spans="1:45" x14ac:dyDescent="0.35">
      <c r="A883" t="s">
        <v>45</v>
      </c>
      <c r="B883" t="s">
        <v>1925</v>
      </c>
      <c r="C883" t="s">
        <v>58</v>
      </c>
      <c r="D883" t="s">
        <v>1452</v>
      </c>
      <c r="E883" t="s">
        <v>1452</v>
      </c>
      <c r="F883" t="s">
        <v>49</v>
      </c>
      <c r="G883" t="s">
        <v>2073</v>
      </c>
      <c r="H883" t="s">
        <v>2074</v>
      </c>
      <c r="J883" t="str">
        <f>HYPERLINK("https://www.youtube.com/watch?v=y3p7ihmB458","https://www.youtube.com/watch?v=y3p7ihmB458")</f>
        <v>https://www.youtube.com/watch?v=y3p7ihmB458</v>
      </c>
      <c r="O883">
        <v>0</v>
      </c>
      <c r="P883">
        <v>0</v>
      </c>
      <c r="Q883">
        <v>0</v>
      </c>
      <c r="S883">
        <v>0</v>
      </c>
      <c r="T883">
        <v>0</v>
      </c>
      <c r="U883">
        <v>0</v>
      </c>
      <c r="W883" t="s">
        <v>106</v>
      </c>
    </row>
    <row r="884" spans="1:45" x14ac:dyDescent="0.35">
      <c r="A884" t="s">
        <v>45</v>
      </c>
      <c r="B884" t="s">
        <v>1925</v>
      </c>
      <c r="C884" t="s">
        <v>139</v>
      </c>
      <c r="D884" t="s">
        <v>2075</v>
      </c>
      <c r="E884" t="s">
        <v>2076</v>
      </c>
      <c r="F884" t="s">
        <v>142</v>
      </c>
      <c r="G884" t="s">
        <v>2077</v>
      </c>
      <c r="H884" t="s">
        <v>2078</v>
      </c>
      <c r="J884" t="str">
        <f>HYPERLINK("https://twitter.com/Denise985629444/status/1769596455931523419","https://twitter.com/Denise985629444/status/1769596455931523419")</f>
        <v>https://twitter.com/Denise985629444/status/1769596455931523419</v>
      </c>
      <c r="K884" t="s">
        <v>1769</v>
      </c>
      <c r="O884">
        <v>0</v>
      </c>
      <c r="P884">
        <v>0</v>
      </c>
      <c r="Q884">
        <v>26</v>
      </c>
      <c r="R884" t="s">
        <v>2079</v>
      </c>
      <c r="S884">
        <v>0</v>
      </c>
      <c r="T884">
        <v>0</v>
      </c>
      <c r="U884">
        <v>0</v>
      </c>
      <c r="W884" t="s">
        <v>146</v>
      </c>
      <c r="AP884" t="s">
        <v>147</v>
      </c>
    </row>
    <row r="885" spans="1:45" x14ac:dyDescent="0.35">
      <c r="A885" t="s">
        <v>45</v>
      </c>
      <c r="B885" t="s">
        <v>1925</v>
      </c>
      <c r="C885" t="s">
        <v>58</v>
      </c>
      <c r="D885" t="s">
        <v>1313</v>
      </c>
      <c r="E885" t="s">
        <v>1313</v>
      </c>
      <c r="F885" t="s">
        <v>49</v>
      </c>
      <c r="G885" t="s">
        <v>2080</v>
      </c>
      <c r="H885" t="s">
        <v>2081</v>
      </c>
      <c r="J885" t="str">
        <f>HYPERLINK("https://www.youtube.com/watch?v=pK5C-gmCpjY","https://www.youtube.com/watch?v=pK5C-gmCpjY")</f>
        <v>https://www.youtube.com/watch?v=pK5C-gmCpjY</v>
      </c>
      <c r="O885">
        <v>0</v>
      </c>
      <c r="P885">
        <v>0</v>
      </c>
      <c r="Q885">
        <v>0</v>
      </c>
      <c r="S885">
        <v>0</v>
      </c>
      <c r="T885">
        <v>0</v>
      </c>
      <c r="U885">
        <v>0</v>
      </c>
      <c r="W885" t="s">
        <v>106</v>
      </c>
    </row>
    <row r="886" spans="1:45" x14ac:dyDescent="0.35">
      <c r="A886" t="s">
        <v>45</v>
      </c>
      <c r="B886" t="s">
        <v>1925</v>
      </c>
      <c r="C886" t="s">
        <v>102</v>
      </c>
      <c r="D886" t="s">
        <v>2082</v>
      </c>
      <c r="E886" t="s">
        <v>2082</v>
      </c>
      <c r="F886" t="s">
        <v>49</v>
      </c>
      <c r="G886" t="s">
        <v>2083</v>
      </c>
      <c r="H886" t="s">
        <v>2084</v>
      </c>
      <c r="J886" t="str">
        <f>HYPERLINK("https://www.linkedin.com/feed/update/urn:li:ugcPost:7175346958033719296","https://www.linkedin.com/feed/update/urn:li:ugcPost:7175346958033719296")</f>
        <v>https://www.linkedin.com/feed/update/urn:li:ugcPost:7175346958033719296</v>
      </c>
      <c r="O886">
        <v>0</v>
      </c>
      <c r="P886">
        <v>0</v>
      </c>
      <c r="Q886">
        <v>0</v>
      </c>
      <c r="S886">
        <v>0</v>
      </c>
      <c r="T886">
        <v>0</v>
      </c>
      <c r="U886">
        <v>0</v>
      </c>
      <c r="W886" t="s">
        <v>106</v>
      </c>
    </row>
    <row r="887" spans="1:45" x14ac:dyDescent="0.35">
      <c r="A887" t="s">
        <v>45</v>
      </c>
      <c r="B887" t="s">
        <v>1925</v>
      </c>
      <c r="C887" t="s">
        <v>47</v>
      </c>
      <c r="D887" t="s">
        <v>2085</v>
      </c>
      <c r="E887" t="s">
        <v>2085</v>
      </c>
      <c r="F887" t="s">
        <v>49</v>
      </c>
      <c r="G887" t="s">
        <v>131</v>
      </c>
      <c r="H887" t="s">
        <v>2086</v>
      </c>
      <c r="J887" t="str">
        <f>HYPERLINK("https://www.facebook.com/357267201017935/posts/2057560754321896/?comment_id=1596102667874403","https://www.facebook.com/357267201017935/posts/2057560754321896/?comment_id=1596102667874403")</f>
        <v>https://www.facebook.com/357267201017935/posts/2057560754321896/?comment_id=1596102667874403</v>
      </c>
      <c r="O887">
        <v>0</v>
      </c>
      <c r="P887">
        <v>0</v>
      </c>
      <c r="Q887">
        <v>0</v>
      </c>
      <c r="S887">
        <v>0</v>
      </c>
      <c r="T887">
        <v>0</v>
      </c>
      <c r="U887">
        <v>0</v>
      </c>
      <c r="W887" t="s">
        <v>62</v>
      </c>
      <c r="AS887" t="s">
        <v>375</v>
      </c>
    </row>
    <row r="888" spans="1:45" x14ac:dyDescent="0.35">
      <c r="A888" t="s">
        <v>45</v>
      </c>
      <c r="B888" t="s">
        <v>1925</v>
      </c>
      <c r="C888" t="s">
        <v>58</v>
      </c>
      <c r="D888" t="s">
        <v>721</v>
      </c>
      <c r="E888" t="s">
        <v>721</v>
      </c>
      <c r="F888" t="s">
        <v>49</v>
      </c>
      <c r="G888" t="s">
        <v>2087</v>
      </c>
      <c r="H888" t="s">
        <v>2088</v>
      </c>
      <c r="J888" t="str">
        <f>HYPERLINK("https://www.youtube.com/watch?v=nb_xUWudUco","https://www.youtube.com/watch?v=nb_xUWudUco")</f>
        <v>https://www.youtube.com/watch?v=nb_xUWudUco</v>
      </c>
      <c r="O888">
        <v>0</v>
      </c>
      <c r="P888">
        <v>0</v>
      </c>
      <c r="Q888">
        <v>0</v>
      </c>
      <c r="S888">
        <v>0</v>
      </c>
      <c r="T888">
        <v>0</v>
      </c>
      <c r="U888">
        <v>0</v>
      </c>
      <c r="W888" t="s">
        <v>106</v>
      </c>
    </row>
    <row r="889" spans="1:45" x14ac:dyDescent="0.35">
      <c r="A889" t="s">
        <v>45</v>
      </c>
      <c r="B889" t="s">
        <v>1925</v>
      </c>
      <c r="C889" t="s">
        <v>58</v>
      </c>
      <c r="D889" t="s">
        <v>1452</v>
      </c>
      <c r="E889" t="s">
        <v>1452</v>
      </c>
      <c r="F889" t="s">
        <v>49</v>
      </c>
      <c r="G889" t="s">
        <v>2089</v>
      </c>
      <c r="H889" t="s">
        <v>2090</v>
      </c>
      <c r="J889" t="str">
        <f>HYPERLINK("https://www.youtube.com/watch?v=LKAB_XeKiDw","https://www.youtube.com/watch?v=LKAB_XeKiDw")</f>
        <v>https://www.youtube.com/watch?v=LKAB_XeKiDw</v>
      </c>
      <c r="O889">
        <v>0</v>
      </c>
      <c r="P889">
        <v>0</v>
      </c>
      <c r="Q889">
        <v>0</v>
      </c>
      <c r="S889">
        <v>0</v>
      </c>
      <c r="T889">
        <v>0</v>
      </c>
      <c r="U889">
        <v>0</v>
      </c>
      <c r="W889" t="s">
        <v>106</v>
      </c>
      <c r="AO889" t="s">
        <v>67</v>
      </c>
    </row>
    <row r="890" spans="1:45" x14ac:dyDescent="0.35">
      <c r="A890" t="s">
        <v>45</v>
      </c>
      <c r="B890" t="s">
        <v>1925</v>
      </c>
      <c r="C890" t="s">
        <v>47</v>
      </c>
      <c r="D890" t="s">
        <v>1917</v>
      </c>
      <c r="E890" t="s">
        <v>1917</v>
      </c>
      <c r="F890" t="s">
        <v>49</v>
      </c>
      <c r="G890" t="s">
        <v>459</v>
      </c>
      <c r="H890" t="s">
        <v>2091</v>
      </c>
      <c r="J890" t="str">
        <f>HYPERLINK("https://www.facebook.com/454965103328545/posts/490024586489263?comment_id=6767653326669776","https://www.facebook.com/454965103328545/posts/490024586489263?comment_id=6767653326669776")</f>
        <v>https://www.facebook.com/454965103328545/posts/490024586489263?comment_id=6767653326669776</v>
      </c>
      <c r="O890">
        <v>0</v>
      </c>
      <c r="P890">
        <v>0</v>
      </c>
      <c r="Q890">
        <v>0</v>
      </c>
      <c r="S890">
        <v>0</v>
      </c>
      <c r="T890">
        <v>0</v>
      </c>
      <c r="U890">
        <v>0</v>
      </c>
      <c r="W890" t="s">
        <v>62</v>
      </c>
      <c r="AS890" t="s">
        <v>375</v>
      </c>
    </row>
    <row r="891" spans="1:45" x14ac:dyDescent="0.35">
      <c r="A891" t="s">
        <v>45</v>
      </c>
      <c r="B891" t="s">
        <v>1925</v>
      </c>
      <c r="C891" t="s">
        <v>47</v>
      </c>
      <c r="D891" t="s">
        <v>1917</v>
      </c>
      <c r="E891" t="s">
        <v>1917</v>
      </c>
      <c r="F891" t="s">
        <v>49</v>
      </c>
      <c r="G891" t="s">
        <v>459</v>
      </c>
      <c r="H891" t="s">
        <v>2092</v>
      </c>
      <c r="J891" t="str">
        <f>HYPERLINK("https://www.facebook.com/454965103328545/posts/490024586489263?comment_id=2133749056971342","https://www.facebook.com/454965103328545/posts/490024586489263?comment_id=2133749056971342")</f>
        <v>https://www.facebook.com/454965103328545/posts/490024586489263?comment_id=2133749056971342</v>
      </c>
      <c r="O891">
        <v>0</v>
      </c>
      <c r="P891">
        <v>0</v>
      </c>
      <c r="Q891">
        <v>0</v>
      </c>
      <c r="S891">
        <v>0</v>
      </c>
      <c r="T891">
        <v>0</v>
      </c>
      <c r="U891">
        <v>0</v>
      </c>
      <c r="W891" t="s">
        <v>62</v>
      </c>
    </row>
    <row r="892" spans="1:45" x14ac:dyDescent="0.35">
      <c r="A892" t="s">
        <v>45</v>
      </c>
      <c r="B892" t="s">
        <v>1925</v>
      </c>
      <c r="C892" t="s">
        <v>139</v>
      </c>
      <c r="D892" t="s">
        <v>2093</v>
      </c>
      <c r="E892" t="s">
        <v>2094</v>
      </c>
      <c r="F892" t="s">
        <v>142</v>
      </c>
      <c r="G892" t="s">
        <v>2095</v>
      </c>
      <c r="H892" t="s">
        <v>2096</v>
      </c>
      <c r="J892" t="str">
        <f>HYPERLINK("https://twitter.com/1_Sociallist/status/1769444347211284692","https://twitter.com/1_Sociallist/status/1769444347211284692")</f>
        <v>https://twitter.com/1_Sociallist/status/1769444347211284692</v>
      </c>
      <c r="O892">
        <v>0</v>
      </c>
      <c r="P892">
        <v>0</v>
      </c>
      <c r="Q892">
        <v>0</v>
      </c>
      <c r="S892">
        <v>0</v>
      </c>
      <c r="T892">
        <v>0</v>
      </c>
      <c r="U892">
        <v>0</v>
      </c>
      <c r="W892" t="s">
        <v>146</v>
      </c>
      <c r="AP892" t="s">
        <v>147</v>
      </c>
    </row>
    <row r="893" spans="1:45" x14ac:dyDescent="0.35">
      <c r="A893" t="s">
        <v>45</v>
      </c>
      <c r="B893" t="s">
        <v>2097</v>
      </c>
      <c r="C893" t="s">
        <v>139</v>
      </c>
      <c r="D893" t="s">
        <v>726</v>
      </c>
      <c r="E893" t="s">
        <v>727</v>
      </c>
      <c r="F893" t="s">
        <v>49</v>
      </c>
      <c r="G893" t="s">
        <v>2098</v>
      </c>
      <c r="H893" t="s">
        <v>2099</v>
      </c>
      <c r="J893" t="str">
        <f>HYPERLINK("https://twitter.com/AkashYakov92580/status/1769412002555077086","https://twitter.com/AkashYakov92580/status/1769412002555077086")</f>
        <v>https://twitter.com/AkashYakov92580/status/1769412002555077086</v>
      </c>
      <c r="K893" t="s">
        <v>145</v>
      </c>
      <c r="O893">
        <v>0</v>
      </c>
      <c r="P893">
        <v>0</v>
      </c>
      <c r="Q893">
        <v>0</v>
      </c>
      <c r="S893">
        <v>0</v>
      </c>
      <c r="T893">
        <v>0</v>
      </c>
      <c r="U893">
        <v>0</v>
      </c>
      <c r="W893" t="s">
        <v>146</v>
      </c>
    </row>
    <row r="894" spans="1:45" x14ac:dyDescent="0.35">
      <c r="A894" t="s">
        <v>45</v>
      </c>
      <c r="B894" t="s">
        <v>2097</v>
      </c>
      <c r="C894" t="s">
        <v>58</v>
      </c>
      <c r="D894" t="s">
        <v>1909</v>
      </c>
      <c r="E894" t="s">
        <v>1909</v>
      </c>
      <c r="F894" t="s">
        <v>49</v>
      </c>
      <c r="G894" t="s">
        <v>2100</v>
      </c>
      <c r="H894" t="s">
        <v>2101</v>
      </c>
      <c r="J894" t="str">
        <f>HYPERLINK("https://www.youtube.com/watch?v=zRSwYmQ2wlU","https://www.youtube.com/watch?v=zRSwYmQ2wlU")</f>
        <v>https://www.youtube.com/watch?v=zRSwYmQ2wlU</v>
      </c>
      <c r="O894">
        <v>0</v>
      </c>
      <c r="P894">
        <v>0</v>
      </c>
      <c r="Q894">
        <v>0</v>
      </c>
      <c r="S894">
        <v>0</v>
      </c>
      <c r="T894">
        <v>0</v>
      </c>
      <c r="U894">
        <v>0</v>
      </c>
      <c r="W894" t="s">
        <v>106</v>
      </c>
    </row>
    <row r="895" spans="1:45" x14ac:dyDescent="0.35">
      <c r="A895" t="s">
        <v>45</v>
      </c>
      <c r="B895" t="s">
        <v>2097</v>
      </c>
      <c r="C895" t="s">
        <v>139</v>
      </c>
      <c r="D895" t="s">
        <v>726</v>
      </c>
      <c r="E895" t="s">
        <v>727</v>
      </c>
      <c r="F895" t="s">
        <v>49</v>
      </c>
      <c r="G895" t="s">
        <v>2102</v>
      </c>
      <c r="H895" t="s">
        <v>2103</v>
      </c>
      <c r="J895" t="str">
        <f>HYPERLINK("https://twitter.com/AkashYakov92580/status/1769372795237257218","https://twitter.com/AkashYakov92580/status/1769372795237257218")</f>
        <v>https://twitter.com/AkashYakov92580/status/1769372795237257218</v>
      </c>
      <c r="K895" t="s">
        <v>145</v>
      </c>
      <c r="O895">
        <v>0</v>
      </c>
      <c r="P895">
        <v>0</v>
      </c>
      <c r="Q895">
        <v>0</v>
      </c>
      <c r="S895">
        <v>0</v>
      </c>
      <c r="T895">
        <v>0</v>
      </c>
      <c r="U895">
        <v>0</v>
      </c>
      <c r="W895" t="s">
        <v>146</v>
      </c>
    </row>
    <row r="896" spans="1:45" x14ac:dyDescent="0.35">
      <c r="A896" t="s">
        <v>45</v>
      </c>
      <c r="B896" t="s">
        <v>2097</v>
      </c>
      <c r="C896" t="s">
        <v>139</v>
      </c>
      <c r="D896" t="s">
        <v>726</v>
      </c>
      <c r="E896" t="s">
        <v>727</v>
      </c>
      <c r="F896" t="s">
        <v>49</v>
      </c>
      <c r="G896" t="s">
        <v>2104</v>
      </c>
      <c r="H896" t="s">
        <v>2105</v>
      </c>
      <c r="J896" t="str">
        <f>HYPERLINK("https://twitter.com/AkashYakov92580/status/1769364066605449726","https://twitter.com/AkashYakov92580/status/1769364066605449726")</f>
        <v>https://twitter.com/AkashYakov92580/status/1769364066605449726</v>
      </c>
      <c r="K896" t="s">
        <v>145</v>
      </c>
      <c r="O896">
        <v>0</v>
      </c>
      <c r="P896">
        <v>0</v>
      </c>
      <c r="Q896">
        <v>0</v>
      </c>
      <c r="S896">
        <v>0</v>
      </c>
      <c r="T896">
        <v>0</v>
      </c>
      <c r="U896">
        <v>0</v>
      </c>
      <c r="W896" t="s">
        <v>146</v>
      </c>
    </row>
    <row r="897" spans="1:45" x14ac:dyDescent="0.35">
      <c r="A897" t="s">
        <v>45</v>
      </c>
      <c r="B897" t="s">
        <v>2097</v>
      </c>
      <c r="C897" t="s">
        <v>58</v>
      </c>
      <c r="D897" t="s">
        <v>1452</v>
      </c>
      <c r="E897" t="s">
        <v>1452</v>
      </c>
      <c r="F897" t="s">
        <v>49</v>
      </c>
      <c r="G897" t="s">
        <v>2106</v>
      </c>
      <c r="H897" t="s">
        <v>2107</v>
      </c>
      <c r="J897" t="str">
        <f>HYPERLINK("https://www.youtube.com/watch?v=NzTN7qf4o7o","https://www.youtube.com/watch?v=NzTN7qf4o7o")</f>
        <v>https://www.youtube.com/watch?v=NzTN7qf4o7o</v>
      </c>
      <c r="O897">
        <v>0</v>
      </c>
      <c r="P897">
        <v>0</v>
      </c>
      <c r="Q897">
        <v>0</v>
      </c>
      <c r="S897">
        <v>0</v>
      </c>
      <c r="T897">
        <v>0</v>
      </c>
      <c r="U897">
        <v>0</v>
      </c>
      <c r="W897" t="s">
        <v>106</v>
      </c>
    </row>
    <row r="898" spans="1:45" x14ac:dyDescent="0.35">
      <c r="A898" t="s">
        <v>45</v>
      </c>
      <c r="B898" t="s">
        <v>2097</v>
      </c>
      <c r="C898" t="s">
        <v>139</v>
      </c>
      <c r="D898" t="s">
        <v>2108</v>
      </c>
      <c r="E898" t="s">
        <v>2109</v>
      </c>
      <c r="F898" t="s">
        <v>49</v>
      </c>
      <c r="G898" t="s">
        <v>2110</v>
      </c>
      <c r="H898" t="s">
        <v>2111</v>
      </c>
      <c r="J898" t="str">
        <f>HYPERLINK("https://twitter.com/Russ23083796234/status/1769341531435970664","https://twitter.com/Russ23083796234/status/1769341531435970664")</f>
        <v>https://twitter.com/Russ23083796234/status/1769341531435970664</v>
      </c>
      <c r="K898" t="s">
        <v>145</v>
      </c>
      <c r="O898">
        <v>0</v>
      </c>
      <c r="P898">
        <v>0</v>
      </c>
      <c r="Q898">
        <v>2</v>
      </c>
      <c r="S898">
        <v>0</v>
      </c>
      <c r="T898">
        <v>0</v>
      </c>
      <c r="U898">
        <v>0</v>
      </c>
      <c r="W898" t="s">
        <v>146</v>
      </c>
      <c r="AP898" t="s">
        <v>147</v>
      </c>
      <c r="AS898" t="s">
        <v>375</v>
      </c>
    </row>
    <row r="899" spans="1:45" x14ac:dyDescent="0.35">
      <c r="A899" t="s">
        <v>45</v>
      </c>
      <c r="B899" t="s">
        <v>2097</v>
      </c>
      <c r="C899" t="s">
        <v>139</v>
      </c>
      <c r="D899" t="s">
        <v>2112</v>
      </c>
      <c r="E899" t="s">
        <v>2113</v>
      </c>
      <c r="F899" t="s">
        <v>49</v>
      </c>
      <c r="G899" t="s">
        <v>2114</v>
      </c>
      <c r="H899" t="s">
        <v>2115</v>
      </c>
      <c r="J899" t="str">
        <f>HYPERLINK("https://twitter.com/LosaWebari8828/status/1769341487878193534","https://twitter.com/LosaWebari8828/status/1769341487878193534")</f>
        <v>https://twitter.com/LosaWebari8828/status/1769341487878193534</v>
      </c>
      <c r="O899">
        <v>0</v>
      </c>
      <c r="P899">
        <v>0</v>
      </c>
      <c r="Q899">
        <v>0</v>
      </c>
      <c r="S899">
        <v>0</v>
      </c>
      <c r="T899">
        <v>0</v>
      </c>
      <c r="U899">
        <v>0</v>
      </c>
      <c r="W899" t="s">
        <v>146</v>
      </c>
    </row>
    <row r="900" spans="1:45" x14ac:dyDescent="0.35">
      <c r="A900" t="s">
        <v>45</v>
      </c>
      <c r="B900" t="s">
        <v>2097</v>
      </c>
      <c r="C900" t="s">
        <v>139</v>
      </c>
      <c r="D900" t="s">
        <v>2116</v>
      </c>
      <c r="E900" t="s">
        <v>2117</v>
      </c>
      <c r="F900" t="s">
        <v>76</v>
      </c>
      <c r="G900" t="s">
        <v>2118</v>
      </c>
      <c r="H900" t="s">
        <v>2119</v>
      </c>
      <c r="J900" t="str">
        <f>HYPERLINK("https://twitter.com/lisaniceris/status/1769341456659976593","https://twitter.com/lisaniceris/status/1769341456659976593")</f>
        <v>https://twitter.com/lisaniceris/status/1769341456659976593</v>
      </c>
      <c r="O900">
        <v>0</v>
      </c>
      <c r="P900">
        <v>0</v>
      </c>
      <c r="Q900">
        <v>0</v>
      </c>
      <c r="S900">
        <v>0</v>
      </c>
      <c r="T900">
        <v>0</v>
      </c>
      <c r="U900">
        <v>0</v>
      </c>
      <c r="W900" t="s">
        <v>146</v>
      </c>
    </row>
    <row r="901" spans="1:45" x14ac:dyDescent="0.35">
      <c r="A901" t="s">
        <v>45</v>
      </c>
      <c r="B901" t="s">
        <v>2097</v>
      </c>
      <c r="C901" t="s">
        <v>139</v>
      </c>
      <c r="D901" t="s">
        <v>2120</v>
      </c>
      <c r="E901" t="s">
        <v>2121</v>
      </c>
      <c r="F901" t="s">
        <v>76</v>
      </c>
      <c r="G901" s="1" t="s">
        <v>2122</v>
      </c>
      <c r="H901" t="s">
        <v>2123</v>
      </c>
      <c r="J901" t="str">
        <f>HYPERLINK("https://twitter.com/Nicerisanick/status/1769341424112177266","https://twitter.com/Nicerisanick/status/1769341424112177266")</f>
        <v>https://twitter.com/Nicerisanick/status/1769341424112177266</v>
      </c>
      <c r="K901" t="s">
        <v>1769</v>
      </c>
      <c r="O901">
        <v>0</v>
      </c>
      <c r="P901">
        <v>0</v>
      </c>
      <c r="Q901">
        <v>33</v>
      </c>
      <c r="S901">
        <v>0</v>
      </c>
      <c r="T901">
        <v>0</v>
      </c>
      <c r="U901">
        <v>0</v>
      </c>
      <c r="W901" t="s">
        <v>146</v>
      </c>
      <c r="AP901" t="s">
        <v>147</v>
      </c>
    </row>
    <row r="902" spans="1:45" x14ac:dyDescent="0.35">
      <c r="A902" t="s">
        <v>45</v>
      </c>
      <c r="B902" t="s">
        <v>2097</v>
      </c>
      <c r="C902" t="s">
        <v>139</v>
      </c>
      <c r="D902" t="s">
        <v>2124</v>
      </c>
      <c r="E902" t="s">
        <v>2125</v>
      </c>
      <c r="F902" t="s">
        <v>49</v>
      </c>
      <c r="G902" t="s">
        <v>2126</v>
      </c>
      <c r="H902" t="s">
        <v>2127</v>
      </c>
      <c r="J902" t="str">
        <f>HYPERLINK("https://twitter.com/JorgeKihos53480/status/1769341390377328919","https://twitter.com/JorgeKihos53480/status/1769341390377328919")</f>
        <v>https://twitter.com/JorgeKihos53480/status/1769341390377328919</v>
      </c>
      <c r="K902" t="s">
        <v>145</v>
      </c>
      <c r="O902">
        <v>0</v>
      </c>
      <c r="P902">
        <v>0</v>
      </c>
      <c r="Q902">
        <v>2</v>
      </c>
      <c r="S902">
        <v>0</v>
      </c>
      <c r="T902">
        <v>0</v>
      </c>
      <c r="U902">
        <v>0</v>
      </c>
      <c r="W902" t="s">
        <v>146</v>
      </c>
    </row>
    <row r="903" spans="1:45" x14ac:dyDescent="0.35">
      <c r="A903" t="s">
        <v>45</v>
      </c>
      <c r="B903" t="s">
        <v>2097</v>
      </c>
      <c r="C903" t="s">
        <v>139</v>
      </c>
      <c r="D903" t="s">
        <v>2128</v>
      </c>
      <c r="E903" t="s">
        <v>2129</v>
      </c>
      <c r="F903" t="s">
        <v>49</v>
      </c>
      <c r="G903" t="s">
        <v>2130</v>
      </c>
      <c r="H903" t="s">
        <v>2131</v>
      </c>
      <c r="J903" t="str">
        <f>HYPERLINK("https://twitter.com/dimifo7155/status/1769341359125651881","https://twitter.com/dimifo7155/status/1769341359125651881")</f>
        <v>https://twitter.com/dimifo7155/status/1769341359125651881</v>
      </c>
      <c r="K903" t="s">
        <v>145</v>
      </c>
      <c r="O903">
        <v>0</v>
      </c>
      <c r="P903">
        <v>0</v>
      </c>
      <c r="Q903">
        <v>0</v>
      </c>
      <c r="S903">
        <v>0</v>
      </c>
      <c r="T903">
        <v>0</v>
      </c>
      <c r="U903">
        <v>0</v>
      </c>
      <c r="W903" t="s">
        <v>146</v>
      </c>
      <c r="AP903" t="s">
        <v>147</v>
      </c>
    </row>
    <row r="904" spans="1:45" x14ac:dyDescent="0.35">
      <c r="A904" t="s">
        <v>45</v>
      </c>
      <c r="B904" t="s">
        <v>2097</v>
      </c>
      <c r="C904" t="s">
        <v>139</v>
      </c>
      <c r="D904" t="s">
        <v>2132</v>
      </c>
      <c r="E904" t="s">
        <v>2133</v>
      </c>
      <c r="F904" t="s">
        <v>142</v>
      </c>
      <c r="G904" t="s">
        <v>2134</v>
      </c>
      <c r="H904" t="s">
        <v>2135</v>
      </c>
      <c r="J904" t="str">
        <f>HYPERLINK("https://twitter.com/Leraytk/status/1769341330327511202","https://twitter.com/Leraytk/status/1769341330327511202")</f>
        <v>https://twitter.com/Leraytk/status/1769341330327511202</v>
      </c>
      <c r="K904" t="s">
        <v>1769</v>
      </c>
      <c r="O904">
        <v>0</v>
      </c>
      <c r="P904">
        <v>0</v>
      </c>
      <c r="Q904">
        <v>2</v>
      </c>
      <c r="S904">
        <v>0</v>
      </c>
      <c r="T904">
        <v>0</v>
      </c>
      <c r="U904">
        <v>0</v>
      </c>
      <c r="W904" t="s">
        <v>146</v>
      </c>
      <c r="AO904" t="s">
        <v>119</v>
      </c>
      <c r="AP904" t="s">
        <v>147</v>
      </c>
    </row>
    <row r="905" spans="1:45" x14ac:dyDescent="0.35">
      <c r="A905" t="s">
        <v>45</v>
      </c>
      <c r="B905" t="s">
        <v>2097</v>
      </c>
      <c r="C905" t="s">
        <v>139</v>
      </c>
      <c r="D905" t="s">
        <v>2136</v>
      </c>
      <c r="E905" t="s">
        <v>2137</v>
      </c>
      <c r="F905" t="s">
        <v>49</v>
      </c>
      <c r="G905" t="s">
        <v>2138</v>
      </c>
      <c r="H905" t="s">
        <v>2139</v>
      </c>
      <c r="J905" t="str">
        <f>HYPERLINK("https://twitter.com/hkghkn/status/1769341294923436504","https://twitter.com/hkghkn/status/1769341294923436504")</f>
        <v>https://twitter.com/hkghkn/status/1769341294923436504</v>
      </c>
      <c r="K905" t="s">
        <v>1769</v>
      </c>
      <c r="O905">
        <v>0</v>
      </c>
      <c r="P905">
        <v>0</v>
      </c>
      <c r="Q905">
        <v>1</v>
      </c>
      <c r="S905">
        <v>0</v>
      </c>
      <c r="T905">
        <v>0</v>
      </c>
      <c r="U905">
        <v>0</v>
      </c>
      <c r="W905" t="s">
        <v>146</v>
      </c>
      <c r="AP905" t="s">
        <v>147</v>
      </c>
    </row>
    <row r="906" spans="1:45" x14ac:dyDescent="0.35">
      <c r="A906" t="s">
        <v>45</v>
      </c>
      <c r="B906" t="s">
        <v>2097</v>
      </c>
      <c r="C906" t="s">
        <v>139</v>
      </c>
      <c r="D906" t="s">
        <v>2140</v>
      </c>
      <c r="E906" t="s">
        <v>2141</v>
      </c>
      <c r="F906" t="s">
        <v>49</v>
      </c>
      <c r="G906" t="s">
        <v>2142</v>
      </c>
      <c r="H906" t="s">
        <v>2143</v>
      </c>
      <c r="J906" t="str">
        <f>HYPERLINK("https://twitter.com/favejayh/status/1769341266884461026","https://twitter.com/favejayh/status/1769341266884461026")</f>
        <v>https://twitter.com/favejayh/status/1769341266884461026</v>
      </c>
      <c r="K906" t="s">
        <v>145</v>
      </c>
      <c r="O906">
        <v>0</v>
      </c>
      <c r="P906">
        <v>0</v>
      </c>
      <c r="Q906">
        <v>5</v>
      </c>
      <c r="R906" t="s">
        <v>2079</v>
      </c>
      <c r="S906">
        <v>0</v>
      </c>
      <c r="T906">
        <v>0</v>
      </c>
      <c r="U906">
        <v>0</v>
      </c>
      <c r="W906" t="s">
        <v>146</v>
      </c>
      <c r="AP906" t="s">
        <v>147</v>
      </c>
    </row>
    <row r="907" spans="1:45" x14ac:dyDescent="0.35">
      <c r="A907" t="s">
        <v>45</v>
      </c>
      <c r="B907" t="s">
        <v>2097</v>
      </c>
      <c r="C907" t="s">
        <v>139</v>
      </c>
      <c r="D907" t="s">
        <v>2144</v>
      </c>
      <c r="E907" t="s">
        <v>2145</v>
      </c>
      <c r="F907" t="s">
        <v>49</v>
      </c>
      <c r="G907" t="s">
        <v>2146</v>
      </c>
      <c r="H907" t="s">
        <v>2147</v>
      </c>
      <c r="J907" t="str">
        <f>HYPERLINK("https://twitter.com/Novak106051/status/1769341238371553526","https://twitter.com/Novak106051/status/1769341238371553526")</f>
        <v>https://twitter.com/Novak106051/status/1769341238371553526</v>
      </c>
      <c r="O907">
        <v>0</v>
      </c>
      <c r="P907">
        <v>0</v>
      </c>
      <c r="Q907">
        <v>2</v>
      </c>
      <c r="S907">
        <v>0</v>
      </c>
      <c r="T907">
        <v>0</v>
      </c>
      <c r="U907">
        <v>0</v>
      </c>
      <c r="W907" t="s">
        <v>146</v>
      </c>
      <c r="AP907" t="s">
        <v>147</v>
      </c>
    </row>
    <row r="908" spans="1:45" x14ac:dyDescent="0.35">
      <c r="A908" t="s">
        <v>45</v>
      </c>
      <c r="B908" t="s">
        <v>2097</v>
      </c>
      <c r="C908" t="s">
        <v>139</v>
      </c>
      <c r="D908" t="s">
        <v>2148</v>
      </c>
      <c r="E908" t="s">
        <v>2149</v>
      </c>
      <c r="F908" t="s">
        <v>76</v>
      </c>
      <c r="G908" t="s">
        <v>2150</v>
      </c>
      <c r="H908" t="s">
        <v>2151</v>
      </c>
      <c r="J908" t="str">
        <f>HYPERLINK("https://twitter.com/Pickfirere/status/1769341212303970761","https://twitter.com/Pickfirere/status/1769341212303970761")</f>
        <v>https://twitter.com/Pickfirere/status/1769341212303970761</v>
      </c>
      <c r="K908" t="s">
        <v>1769</v>
      </c>
      <c r="O908">
        <v>0</v>
      </c>
      <c r="P908">
        <v>0</v>
      </c>
      <c r="Q908">
        <v>19</v>
      </c>
      <c r="S908">
        <v>0</v>
      </c>
      <c r="T908">
        <v>0</v>
      </c>
      <c r="U908">
        <v>0</v>
      </c>
      <c r="W908" t="s">
        <v>146</v>
      </c>
      <c r="AP908" t="s">
        <v>147</v>
      </c>
    </row>
    <row r="909" spans="1:45" x14ac:dyDescent="0.35">
      <c r="A909" t="s">
        <v>45</v>
      </c>
      <c r="B909" t="s">
        <v>2097</v>
      </c>
      <c r="C909" t="s">
        <v>139</v>
      </c>
      <c r="D909" t="s">
        <v>1765</v>
      </c>
      <c r="E909" t="s">
        <v>1766</v>
      </c>
      <c r="F909" t="s">
        <v>142</v>
      </c>
      <c r="G909" t="s">
        <v>2152</v>
      </c>
      <c r="H909" t="s">
        <v>2153</v>
      </c>
      <c r="J909" t="str">
        <f>HYPERLINK("https://twitter.com/PrincyG39657148/status/1769340877615632425","https://twitter.com/PrincyG39657148/status/1769340877615632425")</f>
        <v>https://twitter.com/PrincyG39657148/status/1769340877615632425</v>
      </c>
      <c r="K909" t="s">
        <v>1769</v>
      </c>
      <c r="O909">
        <v>0</v>
      </c>
      <c r="P909">
        <v>0</v>
      </c>
      <c r="Q909">
        <v>0</v>
      </c>
      <c r="S909">
        <v>0</v>
      </c>
      <c r="T909">
        <v>0</v>
      </c>
      <c r="U909">
        <v>0</v>
      </c>
      <c r="W909" t="s">
        <v>146</v>
      </c>
      <c r="AP909" t="s">
        <v>147</v>
      </c>
      <c r="AS909" t="s">
        <v>375</v>
      </c>
    </row>
    <row r="910" spans="1:45" x14ac:dyDescent="0.35">
      <c r="A910" t="s">
        <v>45</v>
      </c>
      <c r="B910" t="s">
        <v>2097</v>
      </c>
      <c r="C910" t="s">
        <v>139</v>
      </c>
      <c r="D910" t="s">
        <v>726</v>
      </c>
      <c r="E910" t="s">
        <v>727</v>
      </c>
      <c r="F910" t="s">
        <v>49</v>
      </c>
      <c r="G910" t="s">
        <v>2154</v>
      </c>
      <c r="H910" t="s">
        <v>2155</v>
      </c>
      <c r="J910" t="str">
        <f>HYPERLINK("https://twitter.com/AkashYakov92580/status/1769340654264389683","https://twitter.com/AkashYakov92580/status/1769340654264389683")</f>
        <v>https://twitter.com/AkashYakov92580/status/1769340654264389683</v>
      </c>
      <c r="K910" t="s">
        <v>145</v>
      </c>
      <c r="O910">
        <v>0</v>
      </c>
      <c r="P910">
        <v>0</v>
      </c>
      <c r="Q910">
        <v>0</v>
      </c>
      <c r="S910">
        <v>0</v>
      </c>
      <c r="T910">
        <v>0</v>
      </c>
      <c r="U910">
        <v>0</v>
      </c>
      <c r="W910" t="s">
        <v>146</v>
      </c>
    </row>
    <row r="911" spans="1:45" x14ac:dyDescent="0.35">
      <c r="A911" t="s">
        <v>45</v>
      </c>
      <c r="B911" t="s">
        <v>2097</v>
      </c>
      <c r="C911" t="s">
        <v>139</v>
      </c>
      <c r="D911" t="s">
        <v>1765</v>
      </c>
      <c r="E911" t="s">
        <v>1766</v>
      </c>
      <c r="F911" t="s">
        <v>142</v>
      </c>
      <c r="G911" t="s">
        <v>2156</v>
      </c>
      <c r="H911" t="s">
        <v>2157</v>
      </c>
      <c r="J911" t="str">
        <f>HYPERLINK("https://twitter.com/PrincyG39657148/status/1769339977538941353","https://twitter.com/PrincyG39657148/status/1769339977538941353")</f>
        <v>https://twitter.com/PrincyG39657148/status/1769339977538941353</v>
      </c>
      <c r="K911" t="s">
        <v>1769</v>
      </c>
      <c r="O911">
        <v>0</v>
      </c>
      <c r="P911">
        <v>0</v>
      </c>
      <c r="Q911">
        <v>0</v>
      </c>
      <c r="S911">
        <v>0</v>
      </c>
      <c r="T911">
        <v>0</v>
      </c>
      <c r="U911">
        <v>0</v>
      </c>
      <c r="W911" t="s">
        <v>146</v>
      </c>
      <c r="AP911" t="s">
        <v>147</v>
      </c>
    </row>
    <row r="912" spans="1:45" x14ac:dyDescent="0.35">
      <c r="A912" t="s">
        <v>45</v>
      </c>
      <c r="B912" t="s">
        <v>2097</v>
      </c>
      <c r="C912" t="s">
        <v>139</v>
      </c>
      <c r="D912" t="s">
        <v>1765</v>
      </c>
      <c r="E912" t="s">
        <v>1766</v>
      </c>
      <c r="F912" t="s">
        <v>142</v>
      </c>
      <c r="G912" t="s">
        <v>2158</v>
      </c>
      <c r="H912" t="s">
        <v>2159</v>
      </c>
      <c r="J912" t="str">
        <f>HYPERLINK("https://twitter.com/PrincyG39657148/status/1769339174120018112","https://twitter.com/PrincyG39657148/status/1769339174120018112")</f>
        <v>https://twitter.com/PrincyG39657148/status/1769339174120018112</v>
      </c>
      <c r="K912" t="s">
        <v>1769</v>
      </c>
      <c r="O912">
        <v>0</v>
      </c>
      <c r="P912">
        <v>0</v>
      </c>
      <c r="Q912">
        <v>0</v>
      </c>
      <c r="S912">
        <v>0</v>
      </c>
      <c r="T912">
        <v>0</v>
      </c>
      <c r="U912">
        <v>0</v>
      </c>
      <c r="W912" t="s">
        <v>146</v>
      </c>
      <c r="AP912" t="s">
        <v>147</v>
      </c>
      <c r="AS912" t="s">
        <v>375</v>
      </c>
    </row>
    <row r="913" spans="1:42" x14ac:dyDescent="0.35">
      <c r="A913" t="s">
        <v>45</v>
      </c>
      <c r="B913" t="s">
        <v>2097</v>
      </c>
      <c r="C913" t="s">
        <v>58</v>
      </c>
      <c r="D913" t="s">
        <v>2160</v>
      </c>
      <c r="E913" t="s">
        <v>2160</v>
      </c>
      <c r="F913" t="s">
        <v>49</v>
      </c>
      <c r="G913" t="s">
        <v>2161</v>
      </c>
      <c r="H913" t="s">
        <v>2162</v>
      </c>
      <c r="J913" t="str">
        <f>HYPERLINK("https://www.youtube.com/watch?v=_cTXfVcBojk","https://www.youtube.com/watch?v=_cTXfVcBojk")</f>
        <v>https://www.youtube.com/watch?v=_cTXfVcBojk</v>
      </c>
      <c r="O913">
        <v>0</v>
      </c>
      <c r="P913">
        <v>0</v>
      </c>
      <c r="Q913">
        <v>0</v>
      </c>
      <c r="S913">
        <v>0</v>
      </c>
      <c r="T913">
        <v>0</v>
      </c>
      <c r="U913">
        <v>0</v>
      </c>
      <c r="W913" t="s">
        <v>106</v>
      </c>
    </row>
    <row r="914" spans="1:42" x14ac:dyDescent="0.35">
      <c r="A914" t="s">
        <v>45</v>
      </c>
      <c r="B914" t="s">
        <v>2097</v>
      </c>
      <c r="C914" t="s">
        <v>139</v>
      </c>
      <c r="D914" t="s">
        <v>726</v>
      </c>
      <c r="E914" t="s">
        <v>727</v>
      </c>
      <c r="F914" t="s">
        <v>49</v>
      </c>
      <c r="G914" t="s">
        <v>2163</v>
      </c>
      <c r="H914" t="s">
        <v>2164</v>
      </c>
      <c r="J914" t="str">
        <f>HYPERLINK("https://twitter.com/AkashYakov92580/status/1769329791218459105","https://twitter.com/AkashYakov92580/status/1769329791218459105")</f>
        <v>https://twitter.com/AkashYakov92580/status/1769329791218459105</v>
      </c>
      <c r="K914" t="s">
        <v>145</v>
      </c>
      <c r="O914">
        <v>0</v>
      </c>
      <c r="P914">
        <v>0</v>
      </c>
      <c r="Q914">
        <v>0</v>
      </c>
      <c r="S914">
        <v>0</v>
      </c>
      <c r="T914">
        <v>0</v>
      </c>
      <c r="U914">
        <v>0</v>
      </c>
      <c r="W914" t="s">
        <v>146</v>
      </c>
    </row>
    <row r="915" spans="1:42" x14ac:dyDescent="0.35">
      <c r="A915" t="s">
        <v>45</v>
      </c>
      <c r="B915" t="s">
        <v>2097</v>
      </c>
      <c r="C915" t="s">
        <v>139</v>
      </c>
      <c r="D915" t="s">
        <v>726</v>
      </c>
      <c r="E915" t="s">
        <v>727</v>
      </c>
      <c r="F915" t="s">
        <v>49</v>
      </c>
      <c r="G915" t="s">
        <v>2165</v>
      </c>
      <c r="H915" t="s">
        <v>2166</v>
      </c>
      <c r="J915" t="str">
        <f>HYPERLINK("https://twitter.com/AkashYakov92580/status/1769325075876962607","https://twitter.com/AkashYakov92580/status/1769325075876962607")</f>
        <v>https://twitter.com/AkashYakov92580/status/1769325075876962607</v>
      </c>
      <c r="K915" t="s">
        <v>145</v>
      </c>
      <c r="O915">
        <v>0</v>
      </c>
      <c r="P915">
        <v>0</v>
      </c>
      <c r="Q915">
        <v>0</v>
      </c>
      <c r="S915">
        <v>0</v>
      </c>
      <c r="T915">
        <v>0</v>
      </c>
      <c r="U915">
        <v>0</v>
      </c>
      <c r="W915" t="s">
        <v>146</v>
      </c>
    </row>
    <row r="916" spans="1:42" x14ac:dyDescent="0.35">
      <c r="A916" t="s">
        <v>45</v>
      </c>
      <c r="B916" t="s">
        <v>2097</v>
      </c>
      <c r="C916" t="s">
        <v>58</v>
      </c>
      <c r="D916" t="s">
        <v>2167</v>
      </c>
      <c r="E916" t="s">
        <v>2167</v>
      </c>
      <c r="F916" t="s">
        <v>49</v>
      </c>
      <c r="G916" t="s">
        <v>2168</v>
      </c>
      <c r="H916" t="s">
        <v>2169</v>
      </c>
      <c r="J916" t="str">
        <f>HYPERLINK("https://www.youtube.com/watch?v=JO6-GWu7wZg&amp;lc=UgxEVl6IO2aU3Qpk_rx4AaABAg","https://www.youtube.com/watch?v=JO6-GWu7wZg&amp;lc=UgxEVl6IO2aU3Qpk_rx4AaABAg")</f>
        <v>https://www.youtube.com/watch?v=JO6-GWu7wZg&amp;lc=UgxEVl6IO2aU3Qpk_rx4AaABAg</v>
      </c>
      <c r="O916">
        <v>0</v>
      </c>
      <c r="P916">
        <v>0</v>
      </c>
      <c r="Q916">
        <v>0</v>
      </c>
      <c r="S916">
        <v>0</v>
      </c>
      <c r="T916">
        <v>0</v>
      </c>
      <c r="U916">
        <v>0</v>
      </c>
      <c r="W916" t="s">
        <v>62</v>
      </c>
    </row>
    <row r="917" spans="1:42" x14ac:dyDescent="0.35">
      <c r="A917" t="s">
        <v>45</v>
      </c>
      <c r="B917" t="s">
        <v>2097</v>
      </c>
      <c r="C917" t="s">
        <v>47</v>
      </c>
      <c r="D917" t="s">
        <v>2170</v>
      </c>
      <c r="E917" t="s">
        <v>2170</v>
      </c>
      <c r="F917" t="s">
        <v>49</v>
      </c>
      <c r="G917" t="s">
        <v>2171</v>
      </c>
      <c r="H917" t="s">
        <v>2172</v>
      </c>
      <c r="J917" t="str">
        <f>HYPERLINK("https://www.facebook.com/357267201017935/inbox/7168112883266632/","https://www.facebook.com/357267201017935/inbox/7168112883266632/")</f>
        <v>https://www.facebook.com/357267201017935/inbox/7168112883266632/</v>
      </c>
      <c r="O917">
        <v>0</v>
      </c>
      <c r="P917">
        <v>0</v>
      </c>
      <c r="Q917">
        <v>0</v>
      </c>
      <c r="S917">
        <v>0</v>
      </c>
      <c r="T917">
        <v>0</v>
      </c>
      <c r="U917">
        <v>0</v>
      </c>
      <c r="W917" t="s">
        <v>52</v>
      </c>
      <c r="AO917" t="s">
        <v>119</v>
      </c>
      <c r="AP917" t="s">
        <v>101</v>
      </c>
    </row>
    <row r="918" spans="1:42" x14ac:dyDescent="0.35">
      <c r="A918" t="s">
        <v>45</v>
      </c>
      <c r="B918" t="s">
        <v>2097</v>
      </c>
      <c r="C918" t="s">
        <v>139</v>
      </c>
      <c r="D918" t="s">
        <v>726</v>
      </c>
      <c r="E918" t="s">
        <v>727</v>
      </c>
      <c r="F918" t="s">
        <v>49</v>
      </c>
      <c r="G918" t="s">
        <v>2173</v>
      </c>
      <c r="H918" t="s">
        <v>2174</v>
      </c>
      <c r="J918" t="str">
        <f>HYPERLINK("https://twitter.com/AkashYakov92580/status/1769311670609039466","https://twitter.com/AkashYakov92580/status/1769311670609039466")</f>
        <v>https://twitter.com/AkashYakov92580/status/1769311670609039466</v>
      </c>
      <c r="K918" t="s">
        <v>145</v>
      </c>
      <c r="O918">
        <v>0</v>
      </c>
      <c r="P918">
        <v>0</v>
      </c>
      <c r="Q918">
        <v>0</v>
      </c>
      <c r="S918">
        <v>0</v>
      </c>
      <c r="T918">
        <v>0</v>
      </c>
      <c r="U918">
        <v>0</v>
      </c>
      <c r="W918" t="s">
        <v>146</v>
      </c>
    </row>
    <row r="919" spans="1:42" x14ac:dyDescent="0.35">
      <c r="A919" t="s">
        <v>45</v>
      </c>
      <c r="B919" t="s">
        <v>2097</v>
      </c>
      <c r="C919" t="s">
        <v>139</v>
      </c>
      <c r="D919" t="s">
        <v>726</v>
      </c>
      <c r="E919" t="s">
        <v>727</v>
      </c>
      <c r="F919" t="s">
        <v>49</v>
      </c>
      <c r="G919" t="s">
        <v>2175</v>
      </c>
      <c r="H919" t="s">
        <v>2176</v>
      </c>
      <c r="J919" t="str">
        <f>HYPERLINK("https://twitter.com/AkashYakov92580/status/1769309924969046406","https://twitter.com/AkashYakov92580/status/1769309924969046406")</f>
        <v>https://twitter.com/AkashYakov92580/status/1769309924969046406</v>
      </c>
      <c r="K919" t="s">
        <v>145</v>
      </c>
      <c r="O919">
        <v>0</v>
      </c>
      <c r="P919">
        <v>0</v>
      </c>
      <c r="Q919">
        <v>0</v>
      </c>
      <c r="S919">
        <v>0</v>
      </c>
      <c r="T919">
        <v>0</v>
      </c>
      <c r="U919">
        <v>0</v>
      </c>
      <c r="W919" t="s">
        <v>146</v>
      </c>
    </row>
    <row r="920" spans="1:42" x14ac:dyDescent="0.35">
      <c r="A920" t="s">
        <v>45</v>
      </c>
      <c r="B920" t="s">
        <v>2097</v>
      </c>
      <c r="C920" t="s">
        <v>139</v>
      </c>
      <c r="D920" t="s">
        <v>726</v>
      </c>
      <c r="E920" t="s">
        <v>727</v>
      </c>
      <c r="F920" t="s">
        <v>49</v>
      </c>
      <c r="G920" t="s">
        <v>2177</v>
      </c>
      <c r="H920" t="s">
        <v>2178</v>
      </c>
      <c r="J920" t="str">
        <f>HYPERLINK("https://twitter.com/AkashYakov92580/status/1769307539886248082","https://twitter.com/AkashYakov92580/status/1769307539886248082")</f>
        <v>https://twitter.com/AkashYakov92580/status/1769307539886248082</v>
      </c>
      <c r="K920" t="s">
        <v>145</v>
      </c>
      <c r="O920">
        <v>0</v>
      </c>
      <c r="P920">
        <v>0</v>
      </c>
      <c r="Q920">
        <v>0</v>
      </c>
      <c r="S920">
        <v>0</v>
      </c>
      <c r="T920">
        <v>0</v>
      </c>
      <c r="U920">
        <v>0</v>
      </c>
      <c r="W920" t="s">
        <v>146</v>
      </c>
    </row>
    <row r="921" spans="1:42" x14ac:dyDescent="0.35">
      <c r="A921" t="s">
        <v>45</v>
      </c>
      <c r="B921" t="s">
        <v>2097</v>
      </c>
      <c r="C921" t="s">
        <v>139</v>
      </c>
      <c r="D921" t="s">
        <v>726</v>
      </c>
      <c r="E921" t="s">
        <v>727</v>
      </c>
      <c r="F921" t="s">
        <v>49</v>
      </c>
      <c r="G921" t="s">
        <v>2179</v>
      </c>
      <c r="H921" t="s">
        <v>2180</v>
      </c>
      <c r="J921" t="str">
        <f>HYPERLINK("https://twitter.com/AkashYakov92580/status/1769307190622396729","https://twitter.com/AkashYakov92580/status/1769307190622396729")</f>
        <v>https://twitter.com/AkashYakov92580/status/1769307190622396729</v>
      </c>
      <c r="K921" t="s">
        <v>145</v>
      </c>
      <c r="O921">
        <v>0</v>
      </c>
      <c r="P921">
        <v>0</v>
      </c>
      <c r="Q921">
        <v>0</v>
      </c>
      <c r="S921">
        <v>0</v>
      </c>
      <c r="T921">
        <v>0</v>
      </c>
      <c r="U921">
        <v>0</v>
      </c>
      <c r="W921" t="s">
        <v>146</v>
      </c>
    </row>
    <row r="922" spans="1:42" x14ac:dyDescent="0.35">
      <c r="A922" t="s">
        <v>45</v>
      </c>
      <c r="B922" t="s">
        <v>2097</v>
      </c>
      <c r="C922" t="s">
        <v>139</v>
      </c>
      <c r="D922" t="s">
        <v>726</v>
      </c>
      <c r="E922" t="s">
        <v>727</v>
      </c>
      <c r="F922" t="s">
        <v>49</v>
      </c>
      <c r="G922" t="s">
        <v>2181</v>
      </c>
      <c r="H922" t="s">
        <v>2182</v>
      </c>
      <c r="J922" t="str">
        <f>HYPERLINK("https://twitter.com/AkashYakov92580/status/1769299334590542325","https://twitter.com/AkashYakov92580/status/1769299334590542325")</f>
        <v>https://twitter.com/AkashYakov92580/status/1769299334590542325</v>
      </c>
      <c r="K922" t="s">
        <v>145</v>
      </c>
      <c r="O922">
        <v>0</v>
      </c>
      <c r="P922">
        <v>0</v>
      </c>
      <c r="Q922">
        <v>0</v>
      </c>
      <c r="S922">
        <v>0</v>
      </c>
      <c r="T922">
        <v>0</v>
      </c>
      <c r="U922">
        <v>0</v>
      </c>
      <c r="W922" t="s">
        <v>146</v>
      </c>
    </row>
    <row r="923" spans="1:42" x14ac:dyDescent="0.35">
      <c r="A923" t="s">
        <v>45</v>
      </c>
      <c r="B923" t="s">
        <v>2097</v>
      </c>
      <c r="C923" t="s">
        <v>139</v>
      </c>
      <c r="D923" t="s">
        <v>726</v>
      </c>
      <c r="E923" t="s">
        <v>727</v>
      </c>
      <c r="F923" t="s">
        <v>49</v>
      </c>
      <c r="G923" t="s">
        <v>2183</v>
      </c>
      <c r="H923" t="s">
        <v>2184</v>
      </c>
      <c r="J923" t="str">
        <f>HYPERLINK("https://twitter.com/AkashYakov92580/status/1769298995242033395","https://twitter.com/AkashYakov92580/status/1769298995242033395")</f>
        <v>https://twitter.com/AkashYakov92580/status/1769298995242033395</v>
      </c>
      <c r="K923" t="s">
        <v>145</v>
      </c>
      <c r="O923">
        <v>0</v>
      </c>
      <c r="P923">
        <v>0</v>
      </c>
      <c r="Q923">
        <v>0</v>
      </c>
      <c r="S923">
        <v>0</v>
      </c>
      <c r="T923">
        <v>0</v>
      </c>
      <c r="U923">
        <v>0</v>
      </c>
      <c r="W923" t="s">
        <v>146</v>
      </c>
    </row>
    <row r="924" spans="1:42" x14ac:dyDescent="0.35">
      <c r="A924" t="s">
        <v>45</v>
      </c>
      <c r="B924" t="s">
        <v>2097</v>
      </c>
      <c r="C924" t="s">
        <v>58</v>
      </c>
      <c r="D924" t="s">
        <v>2185</v>
      </c>
      <c r="E924" t="s">
        <v>2185</v>
      </c>
      <c r="F924" t="s">
        <v>49</v>
      </c>
      <c r="G924" t="s">
        <v>2186</v>
      </c>
      <c r="H924" t="s">
        <v>2187</v>
      </c>
      <c r="J924" t="str">
        <f>HYPERLINK("https://www.youtube.com/watch?v=RKqYmP69uD0","https://www.youtube.com/watch?v=RKqYmP69uD0")</f>
        <v>https://www.youtube.com/watch?v=RKqYmP69uD0</v>
      </c>
      <c r="O924">
        <v>0</v>
      </c>
      <c r="P924">
        <v>0</v>
      </c>
      <c r="Q924">
        <v>0</v>
      </c>
      <c r="S924">
        <v>0</v>
      </c>
      <c r="T924">
        <v>0</v>
      </c>
      <c r="U924">
        <v>0</v>
      </c>
      <c r="W924" t="s">
        <v>106</v>
      </c>
    </row>
    <row r="925" spans="1:42" x14ac:dyDescent="0.35">
      <c r="A925" t="s">
        <v>45</v>
      </c>
      <c r="B925" t="s">
        <v>2097</v>
      </c>
      <c r="C925" t="s">
        <v>139</v>
      </c>
      <c r="D925" t="s">
        <v>726</v>
      </c>
      <c r="E925" t="s">
        <v>727</v>
      </c>
      <c r="F925" t="s">
        <v>49</v>
      </c>
      <c r="G925" t="s">
        <v>2188</v>
      </c>
      <c r="H925" t="s">
        <v>2189</v>
      </c>
      <c r="J925" t="str">
        <f>HYPERLINK("https://twitter.com/AkashYakov92580/status/1769298611391864999","https://twitter.com/AkashYakov92580/status/1769298611391864999")</f>
        <v>https://twitter.com/AkashYakov92580/status/1769298611391864999</v>
      </c>
      <c r="K925" t="s">
        <v>145</v>
      </c>
      <c r="O925">
        <v>0</v>
      </c>
      <c r="P925">
        <v>0</v>
      </c>
      <c r="Q925">
        <v>0</v>
      </c>
      <c r="S925">
        <v>0</v>
      </c>
      <c r="T925">
        <v>0</v>
      </c>
      <c r="U925">
        <v>0</v>
      </c>
      <c r="W925" t="s">
        <v>146</v>
      </c>
    </row>
    <row r="926" spans="1:42" x14ac:dyDescent="0.35">
      <c r="A926" t="s">
        <v>45</v>
      </c>
      <c r="B926" t="s">
        <v>2097</v>
      </c>
      <c r="C926" t="s">
        <v>139</v>
      </c>
      <c r="D926" t="s">
        <v>726</v>
      </c>
      <c r="E926" t="s">
        <v>727</v>
      </c>
      <c r="F926" t="s">
        <v>49</v>
      </c>
      <c r="G926" t="s">
        <v>2190</v>
      </c>
      <c r="H926" t="s">
        <v>2191</v>
      </c>
      <c r="J926" t="str">
        <f>HYPERLINK("https://twitter.com/AkashYakov92580/status/1769298523353489757","https://twitter.com/AkashYakov92580/status/1769298523353489757")</f>
        <v>https://twitter.com/AkashYakov92580/status/1769298523353489757</v>
      </c>
      <c r="K926" t="s">
        <v>145</v>
      </c>
      <c r="O926">
        <v>0</v>
      </c>
      <c r="P926">
        <v>0</v>
      </c>
      <c r="Q926">
        <v>0</v>
      </c>
      <c r="S926">
        <v>0</v>
      </c>
      <c r="T926">
        <v>0</v>
      </c>
      <c r="U926">
        <v>0</v>
      </c>
      <c r="W926" t="s">
        <v>146</v>
      </c>
    </row>
    <row r="927" spans="1:42" x14ac:dyDescent="0.35">
      <c r="A927" t="s">
        <v>45</v>
      </c>
      <c r="B927" t="s">
        <v>2097</v>
      </c>
      <c r="C927" t="s">
        <v>139</v>
      </c>
      <c r="D927" t="s">
        <v>726</v>
      </c>
      <c r="E927" t="s">
        <v>727</v>
      </c>
      <c r="F927" t="s">
        <v>49</v>
      </c>
      <c r="G927" t="s">
        <v>2192</v>
      </c>
      <c r="H927" t="s">
        <v>2193</v>
      </c>
      <c r="J927" t="str">
        <f>HYPERLINK("https://twitter.com/AkashYakov92580/status/1769281202240811076","https://twitter.com/AkashYakov92580/status/1769281202240811076")</f>
        <v>https://twitter.com/AkashYakov92580/status/1769281202240811076</v>
      </c>
      <c r="K927" t="s">
        <v>145</v>
      </c>
      <c r="O927">
        <v>0</v>
      </c>
      <c r="P927">
        <v>0</v>
      </c>
      <c r="Q927">
        <v>0</v>
      </c>
      <c r="S927">
        <v>0</v>
      </c>
      <c r="T927">
        <v>0</v>
      </c>
      <c r="U927">
        <v>0</v>
      </c>
      <c r="W927" t="s">
        <v>146</v>
      </c>
    </row>
    <row r="928" spans="1:42" x14ac:dyDescent="0.35">
      <c r="A928" t="s">
        <v>45</v>
      </c>
      <c r="B928" t="s">
        <v>2097</v>
      </c>
      <c r="C928" t="s">
        <v>47</v>
      </c>
      <c r="D928" t="s">
        <v>2194</v>
      </c>
      <c r="E928" t="s">
        <v>2194</v>
      </c>
      <c r="F928" t="s">
        <v>76</v>
      </c>
      <c r="G928" t="s">
        <v>2195</v>
      </c>
      <c r="H928" t="s">
        <v>2196</v>
      </c>
      <c r="J928" t="str">
        <f>HYPERLINK("https://www.facebook.com/357267201017935/posts/3069910089753619/?comment_id=439892031713523","https://www.facebook.com/357267201017935/posts/3069910089753619/?comment_id=439892031713523")</f>
        <v>https://www.facebook.com/357267201017935/posts/3069910089753619/?comment_id=439892031713523</v>
      </c>
      <c r="O928">
        <v>0</v>
      </c>
      <c r="P928">
        <v>0</v>
      </c>
      <c r="Q928">
        <v>0</v>
      </c>
      <c r="S928">
        <v>0</v>
      </c>
      <c r="T928">
        <v>0</v>
      </c>
      <c r="U928">
        <v>0</v>
      </c>
      <c r="W928" t="s">
        <v>62</v>
      </c>
    </row>
    <row r="929" spans="1:45" x14ac:dyDescent="0.35">
      <c r="A929" t="s">
        <v>45</v>
      </c>
      <c r="B929" t="s">
        <v>2097</v>
      </c>
      <c r="C929" t="s">
        <v>139</v>
      </c>
      <c r="D929" t="s">
        <v>726</v>
      </c>
      <c r="E929" t="s">
        <v>727</v>
      </c>
      <c r="F929" t="s">
        <v>49</v>
      </c>
      <c r="G929" t="s">
        <v>2197</v>
      </c>
      <c r="H929" t="s">
        <v>2198</v>
      </c>
      <c r="J929" t="str">
        <f>HYPERLINK("https://twitter.com/AkashYakov92580/status/1769263396137099449","https://twitter.com/AkashYakov92580/status/1769263396137099449")</f>
        <v>https://twitter.com/AkashYakov92580/status/1769263396137099449</v>
      </c>
      <c r="K929" t="s">
        <v>145</v>
      </c>
      <c r="O929">
        <v>0</v>
      </c>
      <c r="P929">
        <v>0</v>
      </c>
      <c r="Q929">
        <v>0</v>
      </c>
      <c r="S929">
        <v>0</v>
      </c>
      <c r="T929">
        <v>0</v>
      </c>
      <c r="U929">
        <v>0</v>
      </c>
      <c r="W929" t="s">
        <v>146</v>
      </c>
    </row>
    <row r="930" spans="1:45" x14ac:dyDescent="0.35">
      <c r="A930" t="s">
        <v>45</v>
      </c>
      <c r="B930" t="s">
        <v>2097</v>
      </c>
      <c r="C930" t="s">
        <v>139</v>
      </c>
      <c r="D930" t="s">
        <v>726</v>
      </c>
      <c r="E930" t="s">
        <v>727</v>
      </c>
      <c r="F930" t="s">
        <v>49</v>
      </c>
      <c r="G930" t="s">
        <v>2199</v>
      </c>
      <c r="H930" t="s">
        <v>2200</v>
      </c>
      <c r="J930" t="str">
        <f>HYPERLINK("https://twitter.com/AkashYakov92580/status/1769260593515745509","https://twitter.com/AkashYakov92580/status/1769260593515745509")</f>
        <v>https://twitter.com/AkashYakov92580/status/1769260593515745509</v>
      </c>
      <c r="K930" t="s">
        <v>145</v>
      </c>
      <c r="O930">
        <v>0</v>
      </c>
      <c r="P930">
        <v>0</v>
      </c>
      <c r="Q930">
        <v>0</v>
      </c>
      <c r="S930">
        <v>0</v>
      </c>
      <c r="T930">
        <v>0</v>
      </c>
      <c r="U930">
        <v>0</v>
      </c>
      <c r="W930" t="s">
        <v>146</v>
      </c>
    </row>
    <row r="931" spans="1:45" x14ac:dyDescent="0.35">
      <c r="A931" t="s">
        <v>45</v>
      </c>
      <c r="B931" t="s">
        <v>2097</v>
      </c>
      <c r="C931" t="s">
        <v>139</v>
      </c>
      <c r="D931" t="s">
        <v>2201</v>
      </c>
      <c r="E931" t="s">
        <v>2202</v>
      </c>
      <c r="F931" t="s">
        <v>49</v>
      </c>
      <c r="G931" t="s">
        <v>2203</v>
      </c>
      <c r="H931" t="s">
        <v>2204</v>
      </c>
      <c r="J931" t="str">
        <f>HYPERLINK("https://twitter.com/sahuabhishek123/status/1769230286544679076","https://twitter.com/sahuabhishek123/status/1769230286544679076")</f>
        <v>https://twitter.com/sahuabhishek123/status/1769230286544679076</v>
      </c>
      <c r="K931" t="s">
        <v>145</v>
      </c>
      <c r="O931">
        <v>0</v>
      </c>
      <c r="P931">
        <v>0</v>
      </c>
      <c r="Q931">
        <v>0</v>
      </c>
      <c r="S931">
        <v>0</v>
      </c>
      <c r="T931">
        <v>0</v>
      </c>
      <c r="U931">
        <v>0</v>
      </c>
      <c r="W931" t="s">
        <v>146</v>
      </c>
      <c r="AO931" t="s">
        <v>67</v>
      </c>
      <c r="AS931" t="s">
        <v>375</v>
      </c>
    </row>
    <row r="932" spans="1:45" x14ac:dyDescent="0.35">
      <c r="A932" t="s">
        <v>45</v>
      </c>
      <c r="B932" t="s">
        <v>2097</v>
      </c>
      <c r="C932" t="s">
        <v>102</v>
      </c>
      <c r="D932" t="s">
        <v>2205</v>
      </c>
      <c r="E932" t="s">
        <v>2205</v>
      </c>
      <c r="F932" t="s">
        <v>76</v>
      </c>
      <c r="G932" t="s">
        <v>2206</v>
      </c>
      <c r="H932" t="s">
        <v>2207</v>
      </c>
      <c r="J932" t="str">
        <f>HYPERLINK("https://www.linkedin.com/feed/update/urn:li:activity:7174987159681048576","https://www.linkedin.com/feed/update/urn:li:activity:7174987159681048576")</f>
        <v>https://www.linkedin.com/feed/update/urn:li:activity:7174987159681048576</v>
      </c>
      <c r="O932">
        <v>0</v>
      </c>
      <c r="P932">
        <v>0</v>
      </c>
      <c r="Q932">
        <v>0</v>
      </c>
      <c r="S932">
        <v>0</v>
      </c>
      <c r="T932">
        <v>0</v>
      </c>
      <c r="U932">
        <v>0</v>
      </c>
      <c r="W932" t="s">
        <v>106</v>
      </c>
      <c r="AP932" t="s">
        <v>101</v>
      </c>
    </row>
    <row r="933" spans="1:45" x14ac:dyDescent="0.35">
      <c r="A933" t="s">
        <v>45</v>
      </c>
      <c r="B933" t="s">
        <v>2097</v>
      </c>
      <c r="C933" t="s">
        <v>139</v>
      </c>
      <c r="D933" t="s">
        <v>726</v>
      </c>
      <c r="E933" t="s">
        <v>727</v>
      </c>
      <c r="F933" t="s">
        <v>49</v>
      </c>
      <c r="G933" t="s">
        <v>2208</v>
      </c>
      <c r="H933" t="s">
        <v>2209</v>
      </c>
      <c r="J933" t="str">
        <f>HYPERLINK("https://twitter.com/AkashYakov92580/status/1769215314603245686","https://twitter.com/AkashYakov92580/status/1769215314603245686")</f>
        <v>https://twitter.com/AkashYakov92580/status/1769215314603245686</v>
      </c>
      <c r="K933" t="s">
        <v>145</v>
      </c>
      <c r="O933">
        <v>0</v>
      </c>
      <c r="P933">
        <v>0</v>
      </c>
      <c r="Q933">
        <v>0</v>
      </c>
      <c r="S933">
        <v>0</v>
      </c>
      <c r="T933">
        <v>0</v>
      </c>
      <c r="U933">
        <v>0</v>
      </c>
      <c r="W933" t="s">
        <v>146</v>
      </c>
    </row>
    <row r="934" spans="1:45" x14ac:dyDescent="0.35">
      <c r="A934" t="s">
        <v>45</v>
      </c>
      <c r="B934" t="s">
        <v>2097</v>
      </c>
      <c r="C934" t="s">
        <v>139</v>
      </c>
      <c r="D934" t="s">
        <v>726</v>
      </c>
      <c r="E934" t="s">
        <v>727</v>
      </c>
      <c r="F934" t="s">
        <v>49</v>
      </c>
      <c r="G934" t="s">
        <v>2210</v>
      </c>
      <c r="H934" t="s">
        <v>2211</v>
      </c>
      <c r="J934" t="str">
        <f>HYPERLINK("https://twitter.com/AkashYakov92580/status/1769214848725062083","https://twitter.com/AkashYakov92580/status/1769214848725062083")</f>
        <v>https://twitter.com/AkashYakov92580/status/1769214848725062083</v>
      </c>
      <c r="K934" t="s">
        <v>145</v>
      </c>
      <c r="O934">
        <v>0</v>
      </c>
      <c r="P934">
        <v>0</v>
      </c>
      <c r="Q934">
        <v>0</v>
      </c>
      <c r="S934">
        <v>0</v>
      </c>
      <c r="T934">
        <v>0</v>
      </c>
      <c r="U934">
        <v>0</v>
      </c>
      <c r="W934" t="s">
        <v>146</v>
      </c>
    </row>
    <row r="935" spans="1:45" x14ac:dyDescent="0.35">
      <c r="A935" t="s">
        <v>45</v>
      </c>
      <c r="B935" t="s">
        <v>2097</v>
      </c>
      <c r="C935" t="s">
        <v>139</v>
      </c>
      <c r="D935" t="s">
        <v>726</v>
      </c>
      <c r="E935" t="s">
        <v>727</v>
      </c>
      <c r="F935" t="s">
        <v>49</v>
      </c>
      <c r="G935" t="s">
        <v>2212</v>
      </c>
      <c r="H935" t="s">
        <v>2213</v>
      </c>
      <c r="J935" t="str">
        <f>HYPERLINK("https://twitter.com/AkashYakov92580/status/1769213722726449188","https://twitter.com/AkashYakov92580/status/1769213722726449188")</f>
        <v>https://twitter.com/AkashYakov92580/status/1769213722726449188</v>
      </c>
      <c r="K935" t="s">
        <v>145</v>
      </c>
      <c r="O935">
        <v>0</v>
      </c>
      <c r="P935">
        <v>0</v>
      </c>
      <c r="Q935">
        <v>0</v>
      </c>
      <c r="S935">
        <v>0</v>
      </c>
      <c r="T935">
        <v>0</v>
      </c>
      <c r="U935">
        <v>0</v>
      </c>
      <c r="W935" t="s">
        <v>146</v>
      </c>
    </row>
    <row r="936" spans="1:45" x14ac:dyDescent="0.35">
      <c r="A936" t="s">
        <v>45</v>
      </c>
      <c r="B936" t="s">
        <v>2097</v>
      </c>
      <c r="C936" t="s">
        <v>139</v>
      </c>
      <c r="D936" t="s">
        <v>726</v>
      </c>
      <c r="E936" t="s">
        <v>727</v>
      </c>
      <c r="F936" t="s">
        <v>49</v>
      </c>
      <c r="G936" t="s">
        <v>2214</v>
      </c>
      <c r="H936" t="s">
        <v>2215</v>
      </c>
      <c r="J936" t="str">
        <f>HYPERLINK("https://twitter.com/AkashYakov92580/status/1769213077646705147","https://twitter.com/AkashYakov92580/status/1769213077646705147")</f>
        <v>https://twitter.com/AkashYakov92580/status/1769213077646705147</v>
      </c>
      <c r="K936" t="s">
        <v>145</v>
      </c>
      <c r="O936">
        <v>0</v>
      </c>
      <c r="P936">
        <v>0</v>
      </c>
      <c r="Q936">
        <v>0</v>
      </c>
      <c r="S936">
        <v>0</v>
      </c>
      <c r="T936">
        <v>0</v>
      </c>
      <c r="U936">
        <v>0</v>
      </c>
      <c r="W936" t="s">
        <v>146</v>
      </c>
    </row>
    <row r="937" spans="1:45" x14ac:dyDescent="0.35">
      <c r="A937" t="s">
        <v>45</v>
      </c>
      <c r="B937" t="s">
        <v>2097</v>
      </c>
      <c r="C937" t="s">
        <v>139</v>
      </c>
      <c r="D937" t="s">
        <v>726</v>
      </c>
      <c r="E937" t="s">
        <v>727</v>
      </c>
      <c r="F937" t="s">
        <v>49</v>
      </c>
      <c r="G937" t="s">
        <v>2216</v>
      </c>
      <c r="H937" t="s">
        <v>2217</v>
      </c>
      <c r="J937" t="str">
        <f>HYPERLINK("https://twitter.com/AkashYakov92580/status/1769212499185021031","https://twitter.com/AkashYakov92580/status/1769212499185021031")</f>
        <v>https://twitter.com/AkashYakov92580/status/1769212499185021031</v>
      </c>
      <c r="K937" t="s">
        <v>145</v>
      </c>
      <c r="O937">
        <v>0</v>
      </c>
      <c r="P937">
        <v>0</v>
      </c>
      <c r="Q937">
        <v>0</v>
      </c>
      <c r="S937">
        <v>0</v>
      </c>
      <c r="T937">
        <v>0</v>
      </c>
      <c r="U937">
        <v>0</v>
      </c>
      <c r="W937" t="s">
        <v>146</v>
      </c>
    </row>
    <row r="938" spans="1:45" x14ac:dyDescent="0.35">
      <c r="A938" t="s">
        <v>45</v>
      </c>
      <c r="B938" t="s">
        <v>2097</v>
      </c>
      <c r="C938" t="s">
        <v>139</v>
      </c>
      <c r="D938" t="s">
        <v>619</v>
      </c>
      <c r="E938" t="s">
        <v>620</v>
      </c>
      <c r="F938" t="s">
        <v>142</v>
      </c>
      <c r="G938" t="s">
        <v>2218</v>
      </c>
      <c r="H938" t="s">
        <v>2219</v>
      </c>
      <c r="J938" t="str">
        <f>HYPERLINK("https://twitter.com/VishalAgrawals/status/1769207321379693039","https://twitter.com/VishalAgrawals/status/1769207321379693039")</f>
        <v>https://twitter.com/VishalAgrawals/status/1769207321379693039</v>
      </c>
      <c r="K938" t="s">
        <v>145</v>
      </c>
      <c r="O938">
        <v>0</v>
      </c>
      <c r="P938">
        <v>0</v>
      </c>
      <c r="Q938">
        <v>105</v>
      </c>
      <c r="R938" t="s">
        <v>623</v>
      </c>
      <c r="S938">
        <v>0</v>
      </c>
      <c r="T938">
        <v>0</v>
      </c>
      <c r="U938">
        <v>0</v>
      </c>
      <c r="W938" t="s">
        <v>146</v>
      </c>
    </row>
    <row r="939" spans="1:45" x14ac:dyDescent="0.35">
      <c r="A939" t="s">
        <v>45</v>
      </c>
      <c r="B939" t="s">
        <v>2097</v>
      </c>
      <c r="C939" t="s">
        <v>139</v>
      </c>
      <c r="D939" t="s">
        <v>726</v>
      </c>
      <c r="E939" t="s">
        <v>727</v>
      </c>
      <c r="F939" t="s">
        <v>49</v>
      </c>
      <c r="G939" t="s">
        <v>2220</v>
      </c>
      <c r="H939" t="s">
        <v>2221</v>
      </c>
      <c r="J939" t="str">
        <f>HYPERLINK("https://twitter.com/AkashYakov92580/status/1769195094488322408","https://twitter.com/AkashYakov92580/status/1769195094488322408")</f>
        <v>https://twitter.com/AkashYakov92580/status/1769195094488322408</v>
      </c>
      <c r="K939" t="s">
        <v>145</v>
      </c>
      <c r="O939">
        <v>0</v>
      </c>
      <c r="P939">
        <v>0</v>
      </c>
      <c r="Q939">
        <v>0</v>
      </c>
      <c r="S939">
        <v>0</v>
      </c>
      <c r="T939">
        <v>0</v>
      </c>
      <c r="U939">
        <v>0</v>
      </c>
      <c r="W939" t="s">
        <v>146</v>
      </c>
    </row>
    <row r="940" spans="1:45" x14ac:dyDescent="0.35">
      <c r="A940" t="s">
        <v>45</v>
      </c>
      <c r="B940" t="s">
        <v>2097</v>
      </c>
      <c r="C940" t="s">
        <v>139</v>
      </c>
      <c r="D940" t="s">
        <v>726</v>
      </c>
      <c r="E940" t="s">
        <v>727</v>
      </c>
      <c r="F940" t="s">
        <v>49</v>
      </c>
      <c r="G940" t="s">
        <v>2222</v>
      </c>
      <c r="H940" t="s">
        <v>2223</v>
      </c>
      <c r="J940" t="str">
        <f>HYPERLINK("https://twitter.com/AkashYakov92580/status/1769190751337144780","https://twitter.com/AkashYakov92580/status/1769190751337144780")</f>
        <v>https://twitter.com/AkashYakov92580/status/1769190751337144780</v>
      </c>
      <c r="K940" t="s">
        <v>145</v>
      </c>
      <c r="O940">
        <v>0</v>
      </c>
      <c r="P940">
        <v>0</v>
      </c>
      <c r="Q940">
        <v>0</v>
      </c>
      <c r="S940">
        <v>0</v>
      </c>
      <c r="T940">
        <v>0</v>
      </c>
      <c r="U940">
        <v>0</v>
      </c>
      <c r="W940" t="s">
        <v>146</v>
      </c>
    </row>
    <row r="941" spans="1:45" x14ac:dyDescent="0.35">
      <c r="A941" t="s">
        <v>45</v>
      </c>
      <c r="B941" t="s">
        <v>2097</v>
      </c>
      <c r="C941" t="s">
        <v>58</v>
      </c>
      <c r="D941" t="s">
        <v>1240</v>
      </c>
      <c r="E941" t="s">
        <v>1240</v>
      </c>
      <c r="F941" t="s">
        <v>49</v>
      </c>
      <c r="G941" t="s">
        <v>2224</v>
      </c>
      <c r="H941" t="s">
        <v>2225</v>
      </c>
      <c r="J941" t="str">
        <f>HYPERLINK("https://www.youtube.com/watch?v=lChr77LrYMo","https://www.youtube.com/watch?v=lChr77LrYMo")</f>
        <v>https://www.youtube.com/watch?v=lChr77LrYMo</v>
      </c>
      <c r="O941">
        <v>0</v>
      </c>
      <c r="P941">
        <v>0</v>
      </c>
      <c r="Q941">
        <v>0</v>
      </c>
      <c r="S941">
        <v>0</v>
      </c>
      <c r="T941">
        <v>0</v>
      </c>
      <c r="U941">
        <v>0</v>
      </c>
      <c r="W941" t="s">
        <v>106</v>
      </c>
    </row>
    <row r="942" spans="1:45" x14ac:dyDescent="0.35">
      <c r="A942" t="s">
        <v>45</v>
      </c>
      <c r="B942" t="s">
        <v>2097</v>
      </c>
      <c r="C942" t="s">
        <v>139</v>
      </c>
      <c r="D942" t="s">
        <v>2013</v>
      </c>
      <c r="E942" t="s">
        <v>2014</v>
      </c>
      <c r="F942" t="s">
        <v>49</v>
      </c>
      <c r="G942" t="s">
        <v>2226</v>
      </c>
      <c r="H942" t="s">
        <v>2227</v>
      </c>
      <c r="J942" t="str">
        <f>HYPERLINK("https://twitter.com/acpdileep/status/1769176741699051806","https://twitter.com/acpdileep/status/1769176741699051806")</f>
        <v>https://twitter.com/acpdileep/status/1769176741699051806</v>
      </c>
      <c r="O942">
        <v>0</v>
      </c>
      <c r="P942">
        <v>0</v>
      </c>
      <c r="Q942">
        <v>99</v>
      </c>
      <c r="R942" t="s">
        <v>582</v>
      </c>
      <c r="S942">
        <v>0</v>
      </c>
      <c r="T942">
        <v>0</v>
      </c>
      <c r="U942">
        <v>0</v>
      </c>
      <c r="W942" t="s">
        <v>146</v>
      </c>
      <c r="AS942" t="s">
        <v>375</v>
      </c>
    </row>
    <row r="943" spans="1:45" x14ac:dyDescent="0.35">
      <c r="A943" t="s">
        <v>45</v>
      </c>
      <c r="B943" t="s">
        <v>2097</v>
      </c>
      <c r="C943" t="s">
        <v>139</v>
      </c>
      <c r="D943" t="s">
        <v>726</v>
      </c>
      <c r="E943" t="s">
        <v>727</v>
      </c>
      <c r="F943" t="s">
        <v>76</v>
      </c>
      <c r="G943" t="s">
        <v>2228</v>
      </c>
      <c r="H943" t="s">
        <v>2229</v>
      </c>
      <c r="J943" t="str">
        <f>HYPERLINK("https://twitter.com/AkashYakov92580/status/1769152457630957874","https://twitter.com/AkashYakov92580/status/1769152457630957874")</f>
        <v>https://twitter.com/AkashYakov92580/status/1769152457630957874</v>
      </c>
      <c r="K943" t="s">
        <v>145</v>
      </c>
      <c r="O943">
        <v>0</v>
      </c>
      <c r="P943">
        <v>0</v>
      </c>
      <c r="Q943">
        <v>0</v>
      </c>
      <c r="S943">
        <v>0</v>
      </c>
      <c r="T943">
        <v>0</v>
      </c>
      <c r="U943">
        <v>0</v>
      </c>
      <c r="W943" t="s">
        <v>146</v>
      </c>
    </row>
    <row r="944" spans="1:45" x14ac:dyDescent="0.35">
      <c r="A944" t="s">
        <v>45</v>
      </c>
      <c r="B944" t="s">
        <v>2097</v>
      </c>
      <c r="C944" t="s">
        <v>139</v>
      </c>
      <c r="D944" t="s">
        <v>726</v>
      </c>
      <c r="E944" t="s">
        <v>727</v>
      </c>
      <c r="F944" t="s">
        <v>49</v>
      </c>
      <c r="G944" t="s">
        <v>2230</v>
      </c>
      <c r="H944" t="s">
        <v>2231</v>
      </c>
      <c r="J944" t="str">
        <f>HYPERLINK("https://twitter.com/AkashYakov92580/status/1769143866920513725","https://twitter.com/AkashYakov92580/status/1769143866920513725")</f>
        <v>https://twitter.com/AkashYakov92580/status/1769143866920513725</v>
      </c>
      <c r="K944" t="s">
        <v>145</v>
      </c>
      <c r="O944">
        <v>0</v>
      </c>
      <c r="P944">
        <v>0</v>
      </c>
      <c r="Q944">
        <v>0</v>
      </c>
      <c r="S944">
        <v>0</v>
      </c>
      <c r="T944">
        <v>0</v>
      </c>
      <c r="U944">
        <v>0</v>
      </c>
      <c r="W944" t="s">
        <v>146</v>
      </c>
    </row>
    <row r="945" spans="1:45" x14ac:dyDescent="0.35">
      <c r="A945" t="s">
        <v>45</v>
      </c>
      <c r="B945" t="s">
        <v>2097</v>
      </c>
      <c r="C945" t="s">
        <v>139</v>
      </c>
      <c r="D945" t="s">
        <v>2232</v>
      </c>
      <c r="E945" t="s">
        <v>2233</v>
      </c>
      <c r="F945" t="s">
        <v>142</v>
      </c>
      <c r="G945" t="s">
        <v>2234</v>
      </c>
      <c r="H945" t="s">
        <v>2235</v>
      </c>
      <c r="J945" t="str">
        <f>HYPERLINK("https://twitter.com/karthik92/status/1769081295873696200","https://twitter.com/karthik92/status/1769081295873696200")</f>
        <v>https://twitter.com/karthik92/status/1769081295873696200</v>
      </c>
      <c r="O945">
        <v>0</v>
      </c>
      <c r="P945">
        <v>0</v>
      </c>
      <c r="Q945">
        <v>54</v>
      </c>
      <c r="R945" t="s">
        <v>2236</v>
      </c>
      <c r="S945">
        <v>0</v>
      </c>
      <c r="T945">
        <v>0</v>
      </c>
      <c r="U945">
        <v>0</v>
      </c>
      <c r="W945" t="s">
        <v>552</v>
      </c>
    </row>
    <row r="946" spans="1:45" x14ac:dyDescent="0.35">
      <c r="A946" t="s">
        <v>45</v>
      </c>
      <c r="B946" t="s">
        <v>2097</v>
      </c>
      <c r="C946" t="s">
        <v>47</v>
      </c>
      <c r="D946" t="s">
        <v>45</v>
      </c>
      <c r="E946" t="s">
        <v>45</v>
      </c>
      <c r="F946" t="s">
        <v>49</v>
      </c>
      <c r="G946" t="s">
        <v>469</v>
      </c>
      <c r="H946" t="s">
        <v>2237</v>
      </c>
      <c r="J946" t="str">
        <f>HYPERLINK("https://www.facebook.com/357267201017935_789496069875445","https://www.facebook.com/357267201017935_789496069875445")</f>
        <v>https://www.facebook.com/357267201017935_789496069875445</v>
      </c>
      <c r="O946">
        <v>0</v>
      </c>
      <c r="P946">
        <v>0</v>
      </c>
      <c r="Q946">
        <v>0</v>
      </c>
      <c r="S946">
        <v>0</v>
      </c>
      <c r="T946">
        <v>0</v>
      </c>
      <c r="U946">
        <v>0</v>
      </c>
      <c r="W946" t="s">
        <v>106</v>
      </c>
      <c r="AS946" t="s">
        <v>115</v>
      </c>
    </row>
    <row r="947" spans="1:45" x14ac:dyDescent="0.35">
      <c r="A947" t="s">
        <v>45</v>
      </c>
      <c r="B947" t="s">
        <v>2238</v>
      </c>
      <c r="C947" t="s">
        <v>47</v>
      </c>
      <c r="D947" t="s">
        <v>1473</v>
      </c>
      <c r="E947" t="s">
        <v>1473</v>
      </c>
      <c r="F947" t="s">
        <v>49</v>
      </c>
      <c r="G947" t="s">
        <v>2239</v>
      </c>
      <c r="H947" t="s">
        <v>2240</v>
      </c>
      <c r="J947" t="str">
        <f>HYPERLINK("https://www.facebook.com/454965103328545/posts/788164420008610?comment_id=258062790723759","https://www.facebook.com/454965103328545/posts/788164420008610?comment_id=258062790723759")</f>
        <v>https://www.facebook.com/454965103328545/posts/788164420008610?comment_id=258062790723759</v>
      </c>
      <c r="O947">
        <v>0</v>
      </c>
      <c r="P947">
        <v>0</v>
      </c>
      <c r="Q947">
        <v>0</v>
      </c>
      <c r="S947">
        <v>0</v>
      </c>
      <c r="T947">
        <v>0</v>
      </c>
      <c r="U947">
        <v>0</v>
      </c>
      <c r="W947" t="s">
        <v>62</v>
      </c>
    </row>
    <row r="948" spans="1:45" x14ac:dyDescent="0.35">
      <c r="A948" t="s">
        <v>45</v>
      </c>
      <c r="B948" t="s">
        <v>2238</v>
      </c>
      <c r="C948" t="s">
        <v>47</v>
      </c>
      <c r="D948" t="s">
        <v>2241</v>
      </c>
      <c r="E948" t="s">
        <v>2241</v>
      </c>
      <c r="F948" t="s">
        <v>76</v>
      </c>
      <c r="G948" t="s">
        <v>2242</v>
      </c>
      <c r="H948" t="s">
        <v>2243</v>
      </c>
      <c r="J948" t="str">
        <f>HYPERLINK("https://www.facebook.com/454965103328545/posts/788234163334969?comment_id=1822070794886495","https://www.facebook.com/454965103328545/posts/788234163334969?comment_id=1822070794886495")</f>
        <v>https://www.facebook.com/454965103328545/posts/788234163334969?comment_id=1822070794886495</v>
      </c>
      <c r="O948">
        <v>0</v>
      </c>
      <c r="P948">
        <v>0</v>
      </c>
      <c r="Q948">
        <v>0</v>
      </c>
      <c r="S948">
        <v>0</v>
      </c>
      <c r="T948">
        <v>0</v>
      </c>
      <c r="U948">
        <v>0</v>
      </c>
      <c r="W948" t="s">
        <v>62</v>
      </c>
    </row>
    <row r="949" spans="1:45" x14ac:dyDescent="0.35">
      <c r="A949" t="s">
        <v>45</v>
      </c>
      <c r="B949" t="s">
        <v>2238</v>
      </c>
      <c r="C949" t="s">
        <v>47</v>
      </c>
      <c r="D949" t="s">
        <v>2241</v>
      </c>
      <c r="E949" t="s">
        <v>2241</v>
      </c>
      <c r="F949" t="s">
        <v>49</v>
      </c>
      <c r="G949" t="s">
        <v>2244</v>
      </c>
      <c r="H949" t="s">
        <v>2245</v>
      </c>
      <c r="J949" t="str">
        <f>HYPERLINK("https://www.facebook.com/454965103328545/posts/788234163334969?comment_id=1912424095840466","https://www.facebook.com/454965103328545/posts/788234163334969?comment_id=1912424095840466")</f>
        <v>https://www.facebook.com/454965103328545/posts/788234163334969?comment_id=1912424095840466</v>
      </c>
      <c r="O949">
        <v>0</v>
      </c>
      <c r="P949">
        <v>0</v>
      </c>
      <c r="Q949">
        <v>0</v>
      </c>
      <c r="S949">
        <v>0</v>
      </c>
      <c r="T949">
        <v>0</v>
      </c>
      <c r="U949">
        <v>0</v>
      </c>
      <c r="W949" t="s">
        <v>62</v>
      </c>
    </row>
    <row r="950" spans="1:45" x14ac:dyDescent="0.35">
      <c r="A950" t="s">
        <v>45</v>
      </c>
      <c r="B950" t="s">
        <v>2238</v>
      </c>
      <c r="C950" t="s">
        <v>139</v>
      </c>
      <c r="D950" t="s">
        <v>726</v>
      </c>
      <c r="E950" t="s">
        <v>727</v>
      </c>
      <c r="F950" t="s">
        <v>49</v>
      </c>
      <c r="G950" t="s">
        <v>2246</v>
      </c>
      <c r="H950" t="s">
        <v>2247</v>
      </c>
      <c r="J950" t="str">
        <f>HYPERLINK("https://twitter.com/AkashYakov92580/status/1769040592171118823","https://twitter.com/AkashYakov92580/status/1769040592171118823")</f>
        <v>https://twitter.com/AkashYakov92580/status/1769040592171118823</v>
      </c>
      <c r="K950" t="s">
        <v>145</v>
      </c>
      <c r="O950">
        <v>0</v>
      </c>
      <c r="P950">
        <v>0</v>
      </c>
      <c r="Q950">
        <v>0</v>
      </c>
      <c r="S950">
        <v>0</v>
      </c>
      <c r="T950">
        <v>0</v>
      </c>
      <c r="U950">
        <v>0</v>
      </c>
      <c r="W950" t="s">
        <v>146</v>
      </c>
    </row>
    <row r="951" spans="1:45" x14ac:dyDescent="0.35">
      <c r="A951" t="s">
        <v>45</v>
      </c>
      <c r="B951" t="s">
        <v>2238</v>
      </c>
      <c r="C951" t="s">
        <v>47</v>
      </c>
      <c r="D951" t="s">
        <v>2248</v>
      </c>
      <c r="E951" t="s">
        <v>2248</v>
      </c>
      <c r="F951" t="s">
        <v>76</v>
      </c>
      <c r="G951" t="s">
        <v>2121</v>
      </c>
      <c r="H951" t="s">
        <v>2249</v>
      </c>
      <c r="J951" t="str">
        <f>HYPERLINK("https://www.facebook.com/454965103328545/videos/512140693793485?comment_id=3278900772253457","https://www.facebook.com/454965103328545/videos/512140693793485?comment_id=3278900772253457")</f>
        <v>https://www.facebook.com/454965103328545/videos/512140693793485?comment_id=3278900772253457</v>
      </c>
      <c r="O951">
        <v>0</v>
      </c>
      <c r="P951">
        <v>0</v>
      </c>
      <c r="Q951">
        <v>0</v>
      </c>
      <c r="S951">
        <v>0</v>
      </c>
      <c r="T951">
        <v>0</v>
      </c>
      <c r="U951">
        <v>0</v>
      </c>
      <c r="W951" t="s">
        <v>62</v>
      </c>
    </row>
    <row r="952" spans="1:45" x14ac:dyDescent="0.35">
      <c r="A952" t="s">
        <v>45</v>
      </c>
      <c r="B952" t="s">
        <v>2238</v>
      </c>
      <c r="C952" t="s">
        <v>139</v>
      </c>
      <c r="D952" t="s">
        <v>726</v>
      </c>
      <c r="E952" t="s">
        <v>727</v>
      </c>
      <c r="F952" t="s">
        <v>49</v>
      </c>
      <c r="G952" t="s">
        <v>2250</v>
      </c>
      <c r="H952" t="s">
        <v>2251</v>
      </c>
      <c r="J952" t="str">
        <f>HYPERLINK("https://twitter.com/AkashYakov92580/status/1769025594497609882","https://twitter.com/AkashYakov92580/status/1769025594497609882")</f>
        <v>https://twitter.com/AkashYakov92580/status/1769025594497609882</v>
      </c>
      <c r="K952" t="s">
        <v>145</v>
      </c>
      <c r="O952">
        <v>0</v>
      </c>
      <c r="P952">
        <v>0</v>
      </c>
      <c r="Q952">
        <v>0</v>
      </c>
      <c r="S952">
        <v>0</v>
      </c>
      <c r="T952">
        <v>0</v>
      </c>
      <c r="U952">
        <v>0</v>
      </c>
      <c r="W952" t="s">
        <v>146</v>
      </c>
    </row>
    <row r="953" spans="1:45" x14ac:dyDescent="0.35">
      <c r="A953" t="s">
        <v>45</v>
      </c>
      <c r="B953" t="s">
        <v>2238</v>
      </c>
      <c r="C953" t="s">
        <v>58</v>
      </c>
      <c r="D953" t="s">
        <v>1909</v>
      </c>
      <c r="E953" t="s">
        <v>1909</v>
      </c>
      <c r="F953" t="s">
        <v>49</v>
      </c>
      <c r="G953" t="s">
        <v>2252</v>
      </c>
      <c r="H953" t="s">
        <v>2253</v>
      </c>
      <c r="J953" t="str">
        <f>HYPERLINK("https://www.youtube.com/watch?v=7_eR-T2V5dg","https://www.youtube.com/watch?v=7_eR-T2V5dg")</f>
        <v>https://www.youtube.com/watch?v=7_eR-T2V5dg</v>
      </c>
      <c r="O953">
        <v>0</v>
      </c>
      <c r="P953">
        <v>0</v>
      </c>
      <c r="Q953">
        <v>0</v>
      </c>
      <c r="S953">
        <v>0</v>
      </c>
      <c r="T953">
        <v>0</v>
      </c>
      <c r="U953">
        <v>0</v>
      </c>
      <c r="W953" t="s">
        <v>106</v>
      </c>
    </row>
    <row r="954" spans="1:45" x14ac:dyDescent="0.35">
      <c r="A954" t="s">
        <v>45</v>
      </c>
      <c r="B954" t="s">
        <v>2238</v>
      </c>
      <c r="C954" t="s">
        <v>139</v>
      </c>
      <c r="D954" t="s">
        <v>726</v>
      </c>
      <c r="E954" t="s">
        <v>727</v>
      </c>
      <c r="F954" t="s">
        <v>49</v>
      </c>
      <c r="G954" t="s">
        <v>2254</v>
      </c>
      <c r="H954" t="s">
        <v>2255</v>
      </c>
      <c r="J954" t="str">
        <f>HYPERLINK("https://twitter.com/AkashYakov92580/status/1769003018790551891","https://twitter.com/AkashYakov92580/status/1769003018790551891")</f>
        <v>https://twitter.com/AkashYakov92580/status/1769003018790551891</v>
      </c>
      <c r="K954" t="s">
        <v>145</v>
      </c>
      <c r="O954">
        <v>0</v>
      </c>
      <c r="P954">
        <v>0</v>
      </c>
      <c r="Q954">
        <v>0</v>
      </c>
      <c r="S954">
        <v>0</v>
      </c>
      <c r="T954">
        <v>0</v>
      </c>
      <c r="U954">
        <v>0</v>
      </c>
      <c r="W954" t="s">
        <v>146</v>
      </c>
    </row>
    <row r="955" spans="1:45" x14ac:dyDescent="0.35">
      <c r="A955" t="s">
        <v>45</v>
      </c>
      <c r="B955" t="s">
        <v>2238</v>
      </c>
      <c r="C955" t="s">
        <v>47</v>
      </c>
      <c r="D955" t="s">
        <v>2256</v>
      </c>
      <c r="E955" t="s">
        <v>2256</v>
      </c>
      <c r="F955" t="s">
        <v>49</v>
      </c>
      <c r="G955" t="s">
        <v>56</v>
      </c>
      <c r="H955" t="s">
        <v>2257</v>
      </c>
      <c r="J955" t="str">
        <f>HYPERLINK("https://www.facebook.com/357267201017935/inbox/7145011188910135/","https://www.facebook.com/357267201017935/inbox/7145011188910135/")</f>
        <v>https://www.facebook.com/357267201017935/inbox/7145011188910135/</v>
      </c>
      <c r="O955">
        <v>0</v>
      </c>
      <c r="P955">
        <v>0</v>
      </c>
      <c r="Q955">
        <v>0</v>
      </c>
      <c r="S955">
        <v>0</v>
      </c>
      <c r="T955">
        <v>0</v>
      </c>
      <c r="U955">
        <v>0</v>
      </c>
      <c r="W955" t="s">
        <v>52</v>
      </c>
      <c r="AS955" t="s">
        <v>375</v>
      </c>
    </row>
    <row r="956" spans="1:45" x14ac:dyDescent="0.35">
      <c r="A956" t="s">
        <v>45</v>
      </c>
      <c r="B956" t="s">
        <v>2238</v>
      </c>
      <c r="C956" t="s">
        <v>58</v>
      </c>
      <c r="D956" t="s">
        <v>2258</v>
      </c>
      <c r="E956" t="s">
        <v>2258</v>
      </c>
      <c r="F956" t="s">
        <v>49</v>
      </c>
      <c r="G956" t="s">
        <v>2259</v>
      </c>
      <c r="H956" t="s">
        <v>2260</v>
      </c>
      <c r="J956" t="str">
        <f>HYPERLINK("https://www.youtube.com/watch?v=4XBZ1vpeeW0","https://www.youtube.com/watch?v=4XBZ1vpeeW0")</f>
        <v>https://www.youtube.com/watch?v=4XBZ1vpeeW0</v>
      </c>
      <c r="O956">
        <v>0</v>
      </c>
      <c r="P956">
        <v>0</v>
      </c>
      <c r="Q956">
        <v>0</v>
      </c>
      <c r="S956">
        <v>0</v>
      </c>
      <c r="T956">
        <v>0</v>
      </c>
      <c r="U956">
        <v>0</v>
      </c>
      <c r="W956" t="s">
        <v>106</v>
      </c>
      <c r="AP956" t="s">
        <v>94</v>
      </c>
    </row>
    <row r="957" spans="1:45" x14ac:dyDescent="0.35">
      <c r="A957" t="s">
        <v>45</v>
      </c>
      <c r="B957" t="s">
        <v>2238</v>
      </c>
      <c r="C957" t="s">
        <v>63</v>
      </c>
      <c r="D957" t="s">
        <v>2261</v>
      </c>
      <c r="E957" t="s">
        <v>2261</v>
      </c>
      <c r="F957" t="s">
        <v>49</v>
      </c>
      <c r="G957" t="s">
        <v>2262</v>
      </c>
      <c r="H957" t="s">
        <v>2263</v>
      </c>
      <c r="J957" t="str">
        <f>HYPERLINK("https://www.instagram.com/p/C4hmTw1vb-H/","https://www.instagram.com/p/C4hmTw1vb-H/")</f>
        <v>https://www.instagram.com/p/C4hmTw1vb-H/</v>
      </c>
      <c r="O957">
        <v>0</v>
      </c>
      <c r="P957">
        <v>0</v>
      </c>
      <c r="Q957">
        <v>0</v>
      </c>
      <c r="S957">
        <v>0</v>
      </c>
      <c r="T957">
        <v>0</v>
      </c>
      <c r="U957">
        <v>0</v>
      </c>
      <c r="W957" t="s">
        <v>62</v>
      </c>
    </row>
    <row r="958" spans="1:45" x14ac:dyDescent="0.35">
      <c r="A958" t="s">
        <v>45</v>
      </c>
      <c r="B958" t="s">
        <v>2238</v>
      </c>
      <c r="C958" t="s">
        <v>47</v>
      </c>
      <c r="D958" t="s">
        <v>2264</v>
      </c>
      <c r="E958" t="s">
        <v>2264</v>
      </c>
      <c r="F958" t="s">
        <v>49</v>
      </c>
      <c r="G958" t="s">
        <v>2265</v>
      </c>
      <c r="H958" t="s">
        <v>2266</v>
      </c>
      <c r="J958" t="str">
        <f>HYPERLINK("https://www.facebook.com/454965103328545/posts/755944923230560?comment_id=939659524546806","https://www.facebook.com/454965103328545/posts/755944923230560?comment_id=939659524546806")</f>
        <v>https://www.facebook.com/454965103328545/posts/755944923230560?comment_id=939659524546806</v>
      </c>
      <c r="O958">
        <v>0</v>
      </c>
      <c r="P958">
        <v>0</v>
      </c>
      <c r="Q958">
        <v>0</v>
      </c>
      <c r="S958">
        <v>0</v>
      </c>
      <c r="T958">
        <v>0</v>
      </c>
      <c r="U958">
        <v>0</v>
      </c>
      <c r="W958" t="s">
        <v>62</v>
      </c>
    </row>
    <row r="959" spans="1:45" x14ac:dyDescent="0.35">
      <c r="A959" t="s">
        <v>45</v>
      </c>
      <c r="B959" t="s">
        <v>2238</v>
      </c>
      <c r="C959" t="s">
        <v>47</v>
      </c>
      <c r="D959" t="s">
        <v>2267</v>
      </c>
      <c r="E959" t="s">
        <v>2267</v>
      </c>
      <c r="F959" t="s">
        <v>49</v>
      </c>
      <c r="G959" t="s">
        <v>2268</v>
      </c>
      <c r="H959" t="s">
        <v>2269</v>
      </c>
      <c r="J959" t="str">
        <f>HYPERLINK("https://www.facebook.com/454965103328545/videos/1792369101228633?comment_id=3735009510106758","https://www.facebook.com/454965103328545/videos/1792369101228633?comment_id=3735009510106758")</f>
        <v>https://www.facebook.com/454965103328545/videos/1792369101228633?comment_id=3735009510106758</v>
      </c>
      <c r="O959">
        <v>0</v>
      </c>
      <c r="P959">
        <v>0</v>
      </c>
      <c r="Q959">
        <v>0</v>
      </c>
      <c r="S959">
        <v>0</v>
      </c>
      <c r="T959">
        <v>0</v>
      </c>
      <c r="U959">
        <v>0</v>
      </c>
      <c r="W959" t="s">
        <v>62</v>
      </c>
      <c r="AS959" t="s">
        <v>375</v>
      </c>
    </row>
    <row r="960" spans="1:45" x14ac:dyDescent="0.35">
      <c r="A960" t="s">
        <v>45</v>
      </c>
      <c r="B960" t="s">
        <v>2238</v>
      </c>
      <c r="C960" t="s">
        <v>47</v>
      </c>
      <c r="D960" t="s">
        <v>2270</v>
      </c>
      <c r="E960" t="s">
        <v>2270</v>
      </c>
      <c r="F960" t="s">
        <v>49</v>
      </c>
      <c r="G960" t="s">
        <v>2271</v>
      </c>
      <c r="H960" t="s">
        <v>2272</v>
      </c>
      <c r="J960" t="str">
        <f>HYPERLINK("https://www.facebook.com/357267201017935/inbox/7164644953613425/","https://www.facebook.com/357267201017935/inbox/7164644953613425/")</f>
        <v>https://www.facebook.com/357267201017935/inbox/7164644953613425/</v>
      </c>
      <c r="O960">
        <v>0</v>
      </c>
      <c r="P960">
        <v>0</v>
      </c>
      <c r="Q960">
        <v>0</v>
      </c>
      <c r="S960">
        <v>0</v>
      </c>
      <c r="T960">
        <v>0</v>
      </c>
      <c r="U960">
        <v>0</v>
      </c>
      <c r="W960" t="s">
        <v>52</v>
      </c>
      <c r="AS960" t="s">
        <v>375</v>
      </c>
    </row>
    <row r="961" spans="1:45" x14ac:dyDescent="0.35">
      <c r="A961" t="s">
        <v>45</v>
      </c>
      <c r="B961" t="s">
        <v>2238</v>
      </c>
      <c r="C961" t="s">
        <v>47</v>
      </c>
      <c r="D961" t="s">
        <v>2270</v>
      </c>
      <c r="E961" t="s">
        <v>2270</v>
      </c>
      <c r="F961" t="s">
        <v>49</v>
      </c>
      <c r="G961" t="s">
        <v>2273</v>
      </c>
      <c r="H961" t="s">
        <v>2274</v>
      </c>
      <c r="J961" t="str">
        <f>HYPERLINK("https://www.facebook.com/357267201017935/inbox/7164644953613425/","https://www.facebook.com/357267201017935/inbox/7164644953613425/")</f>
        <v>https://www.facebook.com/357267201017935/inbox/7164644953613425/</v>
      </c>
      <c r="O961">
        <v>0</v>
      </c>
      <c r="P961">
        <v>0</v>
      </c>
      <c r="Q961">
        <v>0</v>
      </c>
      <c r="S961">
        <v>0</v>
      </c>
      <c r="T961">
        <v>0</v>
      </c>
      <c r="U961">
        <v>0</v>
      </c>
      <c r="W961" t="s">
        <v>52</v>
      </c>
      <c r="AS961" t="s">
        <v>375</v>
      </c>
    </row>
    <row r="962" spans="1:45" x14ac:dyDescent="0.35">
      <c r="A962" t="s">
        <v>45</v>
      </c>
      <c r="B962" t="s">
        <v>2238</v>
      </c>
      <c r="C962" t="s">
        <v>47</v>
      </c>
      <c r="D962" t="s">
        <v>2275</v>
      </c>
      <c r="E962" t="s">
        <v>2275</v>
      </c>
      <c r="F962" t="s">
        <v>49</v>
      </c>
      <c r="G962" t="s">
        <v>2276</v>
      </c>
      <c r="H962" t="s">
        <v>2277</v>
      </c>
      <c r="J962" t="str">
        <f>HYPERLINK("https://www.facebook.com/454965103328545/posts/788577633300622?comment_id=323268763664105","https://www.facebook.com/454965103328545/posts/788577633300622?comment_id=323268763664105")</f>
        <v>https://www.facebook.com/454965103328545/posts/788577633300622?comment_id=323268763664105</v>
      </c>
      <c r="O962">
        <v>0</v>
      </c>
      <c r="P962">
        <v>0</v>
      </c>
      <c r="Q962">
        <v>0</v>
      </c>
      <c r="S962">
        <v>0</v>
      </c>
      <c r="T962">
        <v>0</v>
      </c>
      <c r="U962">
        <v>0</v>
      </c>
      <c r="W962" t="s">
        <v>62</v>
      </c>
    </row>
    <row r="963" spans="1:45" x14ac:dyDescent="0.35">
      <c r="A963" t="s">
        <v>45</v>
      </c>
      <c r="B963" t="s">
        <v>2238</v>
      </c>
      <c r="C963" t="s">
        <v>102</v>
      </c>
      <c r="D963" t="s">
        <v>2278</v>
      </c>
      <c r="E963" t="s">
        <v>2278</v>
      </c>
      <c r="F963" t="s">
        <v>76</v>
      </c>
      <c r="G963" t="s">
        <v>2279</v>
      </c>
      <c r="H963" t="s">
        <v>2280</v>
      </c>
      <c r="J963" t="str">
        <f>HYPERLINK("https://www.linkedin.com/feed/update/urn:li:ugcPost:7174068713506148352/?commentUrn=urn:li:comment:(urn:li:ugcPost:7174068713506148352,7174699142668034049)","https://www.linkedin.com/feed/update/urn:li:ugcPost:7174068713506148352/?commentUrn=urn:li:comment:(urn:li:ugcPost:7174068713506148352,7174699142668034049)")</f>
        <v>https://www.linkedin.com/feed/update/urn:li:ugcPost:7174068713506148352/?commentUrn=urn:li:comment:(urn:li:ugcPost:7174068713506148352,7174699142668034049)</v>
      </c>
      <c r="O963">
        <v>0</v>
      </c>
      <c r="P963">
        <v>0</v>
      </c>
      <c r="Q963">
        <v>0</v>
      </c>
      <c r="S963">
        <v>0</v>
      </c>
      <c r="T963">
        <v>0</v>
      </c>
      <c r="U963">
        <v>0</v>
      </c>
      <c r="W963" t="s">
        <v>62</v>
      </c>
    </row>
    <row r="964" spans="1:45" x14ac:dyDescent="0.35">
      <c r="A964" t="s">
        <v>45</v>
      </c>
      <c r="B964" t="s">
        <v>2238</v>
      </c>
      <c r="C964" t="s">
        <v>47</v>
      </c>
      <c r="D964" t="s">
        <v>1457</v>
      </c>
      <c r="E964" t="s">
        <v>1457</v>
      </c>
      <c r="F964" t="s">
        <v>76</v>
      </c>
      <c r="G964" t="s">
        <v>2281</v>
      </c>
      <c r="H964" t="s">
        <v>2282</v>
      </c>
      <c r="J964" t="str">
        <f>HYPERLINK("https://www.facebook.com/454965103328545/posts/788580793300306?comment_id=329177213463202&amp;reply_comment_id=1134596137897127","https://www.facebook.com/454965103328545/posts/788580793300306?comment_id=329177213463202&amp;reply_comment_id=1134596137897127")</f>
        <v>https://www.facebook.com/454965103328545/posts/788580793300306?comment_id=329177213463202&amp;reply_comment_id=1134596137897127</v>
      </c>
      <c r="O964">
        <v>0</v>
      </c>
      <c r="P964">
        <v>0</v>
      </c>
      <c r="Q964">
        <v>0</v>
      </c>
      <c r="S964">
        <v>0</v>
      </c>
      <c r="T964">
        <v>0</v>
      </c>
      <c r="U964">
        <v>0</v>
      </c>
      <c r="W964" t="s">
        <v>62</v>
      </c>
    </row>
    <row r="965" spans="1:45" x14ac:dyDescent="0.35">
      <c r="A965" t="s">
        <v>45</v>
      </c>
      <c r="B965" t="s">
        <v>2238</v>
      </c>
      <c r="C965" t="s">
        <v>139</v>
      </c>
      <c r="D965" t="s">
        <v>2283</v>
      </c>
      <c r="E965" t="s">
        <v>2284</v>
      </c>
      <c r="F965" t="s">
        <v>49</v>
      </c>
      <c r="G965" t="s">
        <v>2285</v>
      </c>
      <c r="H965" t="s">
        <v>2286</v>
      </c>
      <c r="J965" t="str">
        <f>HYPERLINK("https://twitter.com/ManishDwvd/status/1768928729995317514","https://twitter.com/ManishDwvd/status/1768928729995317514")</f>
        <v>https://twitter.com/ManishDwvd/status/1768928729995317514</v>
      </c>
      <c r="K965" t="s">
        <v>145</v>
      </c>
      <c r="O965">
        <v>0</v>
      </c>
      <c r="P965">
        <v>0</v>
      </c>
      <c r="Q965">
        <v>5</v>
      </c>
      <c r="R965" t="s">
        <v>582</v>
      </c>
      <c r="S965">
        <v>0</v>
      </c>
      <c r="T965">
        <v>0</v>
      </c>
      <c r="U965">
        <v>0</v>
      </c>
      <c r="W965" t="s">
        <v>146</v>
      </c>
    </row>
    <row r="966" spans="1:45" x14ac:dyDescent="0.35">
      <c r="A966" t="s">
        <v>45</v>
      </c>
      <c r="B966" t="s">
        <v>2238</v>
      </c>
      <c r="C966" t="s">
        <v>139</v>
      </c>
      <c r="D966" t="s">
        <v>2283</v>
      </c>
      <c r="E966" t="s">
        <v>2284</v>
      </c>
      <c r="F966" t="s">
        <v>49</v>
      </c>
      <c r="G966" t="s">
        <v>2287</v>
      </c>
      <c r="H966" t="s">
        <v>2288</v>
      </c>
      <c r="J966" t="str">
        <f>HYPERLINK("https://twitter.com/ManishDwvd/status/1768928431927173316","https://twitter.com/ManishDwvd/status/1768928431927173316")</f>
        <v>https://twitter.com/ManishDwvd/status/1768928431927173316</v>
      </c>
      <c r="K966" t="s">
        <v>145</v>
      </c>
      <c r="O966">
        <v>0</v>
      </c>
      <c r="P966">
        <v>0</v>
      </c>
      <c r="Q966">
        <v>5</v>
      </c>
      <c r="R966" t="s">
        <v>582</v>
      </c>
      <c r="S966">
        <v>0</v>
      </c>
      <c r="T966">
        <v>0</v>
      </c>
      <c r="U966">
        <v>0</v>
      </c>
      <c r="W966" t="s">
        <v>146</v>
      </c>
    </row>
    <row r="967" spans="1:45" x14ac:dyDescent="0.35">
      <c r="A967" t="s">
        <v>45</v>
      </c>
      <c r="B967" t="s">
        <v>2238</v>
      </c>
      <c r="C967" t="s">
        <v>102</v>
      </c>
      <c r="D967" t="s">
        <v>2284</v>
      </c>
      <c r="E967" t="s">
        <v>2284</v>
      </c>
      <c r="F967" t="s">
        <v>49</v>
      </c>
      <c r="G967" t="s">
        <v>2289</v>
      </c>
      <c r="H967" t="s">
        <v>2290</v>
      </c>
      <c r="J967" t="str">
        <f>HYPERLINK("https://www.linkedin.com/feed/update/urn:li:ugcPost:7174686585219637248","https://www.linkedin.com/feed/update/urn:li:ugcPost:7174686585219637248")</f>
        <v>https://www.linkedin.com/feed/update/urn:li:ugcPost:7174686585219637248</v>
      </c>
      <c r="O967">
        <v>0</v>
      </c>
      <c r="P967">
        <v>0</v>
      </c>
      <c r="Q967">
        <v>0</v>
      </c>
      <c r="S967">
        <v>0</v>
      </c>
      <c r="T967">
        <v>0</v>
      </c>
      <c r="U967">
        <v>0</v>
      </c>
      <c r="W967" t="s">
        <v>106</v>
      </c>
    </row>
    <row r="968" spans="1:45" x14ac:dyDescent="0.35">
      <c r="A968" t="s">
        <v>45</v>
      </c>
      <c r="B968" t="s">
        <v>2238</v>
      </c>
      <c r="C968" t="s">
        <v>47</v>
      </c>
      <c r="F968" t="s">
        <v>49</v>
      </c>
      <c r="G968" t="s">
        <v>2291</v>
      </c>
      <c r="H968" t="s">
        <v>2292</v>
      </c>
      <c r="J968" t="str">
        <f>HYPERLINK("https://www.facebook.com/1880470175416134_7264115456957162","https://www.facebook.com/1880470175416134_7264115456957162")</f>
        <v>https://www.facebook.com/1880470175416134_7264115456957162</v>
      </c>
      <c r="O968">
        <v>0</v>
      </c>
      <c r="P968">
        <v>0</v>
      </c>
      <c r="Q968">
        <v>0</v>
      </c>
      <c r="S968">
        <v>0</v>
      </c>
      <c r="T968">
        <v>0</v>
      </c>
      <c r="U968">
        <v>0</v>
      </c>
      <c r="W968" t="s">
        <v>106</v>
      </c>
    </row>
    <row r="969" spans="1:45" x14ac:dyDescent="0.35">
      <c r="A969" t="s">
        <v>45</v>
      </c>
      <c r="B969" t="s">
        <v>2238</v>
      </c>
      <c r="C969" t="s">
        <v>58</v>
      </c>
      <c r="D969" t="s">
        <v>2293</v>
      </c>
      <c r="E969" t="s">
        <v>2293</v>
      </c>
      <c r="F969" t="s">
        <v>49</v>
      </c>
      <c r="G969" t="s">
        <v>2294</v>
      </c>
      <c r="H969" t="s">
        <v>2295</v>
      </c>
      <c r="J969" t="str">
        <f>HYPERLINK("https://www.youtube.com/watch?v=xBZpva1bG_8","https://www.youtube.com/watch?v=xBZpva1bG_8")</f>
        <v>https://www.youtube.com/watch?v=xBZpva1bG_8</v>
      </c>
      <c r="O969">
        <v>0</v>
      </c>
      <c r="P969">
        <v>0</v>
      </c>
      <c r="Q969">
        <v>0</v>
      </c>
      <c r="S969">
        <v>0</v>
      </c>
      <c r="T969">
        <v>0</v>
      </c>
      <c r="U969">
        <v>0</v>
      </c>
      <c r="W969" t="s">
        <v>106</v>
      </c>
    </row>
    <row r="970" spans="1:45" x14ac:dyDescent="0.35">
      <c r="A970" t="s">
        <v>45</v>
      </c>
      <c r="B970" t="s">
        <v>2238</v>
      </c>
      <c r="C970" t="s">
        <v>58</v>
      </c>
      <c r="D970" t="s">
        <v>1452</v>
      </c>
      <c r="E970" t="s">
        <v>1452</v>
      </c>
      <c r="F970" t="s">
        <v>49</v>
      </c>
      <c r="G970" t="s">
        <v>2296</v>
      </c>
      <c r="H970" t="s">
        <v>2297</v>
      </c>
      <c r="J970" t="str">
        <f>HYPERLINK("https://www.youtube.com/watch?v=aiL0UyPDOCo","https://www.youtube.com/watch?v=aiL0UyPDOCo")</f>
        <v>https://www.youtube.com/watch?v=aiL0UyPDOCo</v>
      </c>
      <c r="O970">
        <v>0</v>
      </c>
      <c r="P970">
        <v>0</v>
      </c>
      <c r="Q970">
        <v>0</v>
      </c>
      <c r="S970">
        <v>0</v>
      </c>
      <c r="T970">
        <v>0</v>
      </c>
      <c r="U970">
        <v>0</v>
      </c>
      <c r="W970" t="s">
        <v>106</v>
      </c>
    </row>
    <row r="971" spans="1:45" x14ac:dyDescent="0.35">
      <c r="A971" t="s">
        <v>45</v>
      </c>
      <c r="B971" t="s">
        <v>2238</v>
      </c>
      <c r="C971" t="s">
        <v>58</v>
      </c>
      <c r="D971" t="s">
        <v>2298</v>
      </c>
      <c r="E971" t="s">
        <v>2298</v>
      </c>
      <c r="F971" t="s">
        <v>49</v>
      </c>
      <c r="G971" t="s">
        <v>2299</v>
      </c>
      <c r="H971" t="s">
        <v>2300</v>
      </c>
      <c r="J971" t="str">
        <f>HYPERLINK("https://www.youtube.com/watch?v=GjJSiLG1Voc","https://www.youtube.com/watch?v=GjJSiLG1Voc")</f>
        <v>https://www.youtube.com/watch?v=GjJSiLG1Voc</v>
      </c>
      <c r="O971">
        <v>0</v>
      </c>
      <c r="P971">
        <v>0</v>
      </c>
      <c r="Q971">
        <v>0</v>
      </c>
      <c r="S971">
        <v>0</v>
      </c>
      <c r="T971">
        <v>0</v>
      </c>
      <c r="U971">
        <v>0</v>
      </c>
      <c r="W971" t="s">
        <v>106</v>
      </c>
    </row>
    <row r="972" spans="1:45" x14ac:dyDescent="0.35">
      <c r="A972" t="s">
        <v>45</v>
      </c>
      <c r="B972" t="s">
        <v>2238</v>
      </c>
      <c r="C972" t="s">
        <v>63</v>
      </c>
      <c r="D972" t="s">
        <v>2301</v>
      </c>
      <c r="E972" t="s">
        <v>2301</v>
      </c>
      <c r="F972" t="s">
        <v>49</v>
      </c>
      <c r="G972" t="s">
        <v>2302</v>
      </c>
      <c r="H972" t="s">
        <v>2303</v>
      </c>
      <c r="J972" t="str">
        <f>HYPERLINK("https://www.instagram.com/p/C4fh70DAiTV/","https://www.instagram.com/p/C4fh70DAiTV/")</f>
        <v>https://www.instagram.com/p/C4fh70DAiTV/</v>
      </c>
      <c r="O972">
        <v>0</v>
      </c>
      <c r="P972">
        <v>0</v>
      </c>
      <c r="Q972">
        <v>0</v>
      </c>
      <c r="S972">
        <v>0</v>
      </c>
      <c r="T972">
        <v>0</v>
      </c>
      <c r="U972">
        <v>0</v>
      </c>
      <c r="W972" t="s">
        <v>62</v>
      </c>
    </row>
    <row r="973" spans="1:45" x14ac:dyDescent="0.35">
      <c r="A973" t="s">
        <v>45</v>
      </c>
      <c r="B973" t="s">
        <v>2238</v>
      </c>
      <c r="C973" t="s">
        <v>58</v>
      </c>
      <c r="D973" t="s">
        <v>2304</v>
      </c>
      <c r="E973" t="s">
        <v>2304</v>
      </c>
      <c r="F973" t="s">
        <v>49</v>
      </c>
      <c r="G973" t="s">
        <v>2305</v>
      </c>
      <c r="H973" t="s">
        <v>2306</v>
      </c>
      <c r="J973" t="str">
        <f>HYPERLINK("https://www.youtube.com/watch?v=DD3L29w9F5M&amp;lc=UgwExYabXl9qOKjksid4AaABAg","https://www.youtube.com/watch?v=DD3L29w9F5M&amp;lc=UgwExYabXl9qOKjksid4AaABAg")</f>
        <v>https://www.youtube.com/watch?v=DD3L29w9F5M&amp;lc=UgwExYabXl9qOKjksid4AaABAg</v>
      </c>
      <c r="O973">
        <v>0</v>
      </c>
      <c r="P973">
        <v>0</v>
      </c>
      <c r="Q973">
        <v>0</v>
      </c>
      <c r="S973">
        <v>0</v>
      </c>
      <c r="T973">
        <v>0</v>
      </c>
      <c r="U973">
        <v>0</v>
      </c>
      <c r="W973" t="s">
        <v>62</v>
      </c>
      <c r="AP973" t="s">
        <v>94</v>
      </c>
    </row>
    <row r="974" spans="1:45" x14ac:dyDescent="0.35">
      <c r="A974" t="s">
        <v>45</v>
      </c>
      <c r="B974" t="s">
        <v>2238</v>
      </c>
      <c r="C974" t="s">
        <v>58</v>
      </c>
      <c r="D974" t="s">
        <v>2304</v>
      </c>
      <c r="E974" t="s">
        <v>2304</v>
      </c>
      <c r="F974" t="s">
        <v>49</v>
      </c>
      <c r="G974" t="s">
        <v>2307</v>
      </c>
      <c r="H974" t="s">
        <v>2308</v>
      </c>
      <c r="J974" t="str">
        <f>HYPERLINK("https://www.youtube.com/watch?v=DD3L29w9F5M&amp;lc=UgxuDLhUHBf9pOnQWJJ4AaABAg","https://www.youtube.com/watch?v=DD3L29w9F5M&amp;lc=UgxuDLhUHBf9pOnQWJJ4AaABAg")</f>
        <v>https://www.youtube.com/watch?v=DD3L29w9F5M&amp;lc=UgxuDLhUHBf9pOnQWJJ4AaABAg</v>
      </c>
      <c r="O974">
        <v>0</v>
      </c>
      <c r="P974">
        <v>0</v>
      </c>
      <c r="Q974">
        <v>0</v>
      </c>
      <c r="S974">
        <v>0</v>
      </c>
      <c r="T974">
        <v>0</v>
      </c>
      <c r="U974">
        <v>0</v>
      </c>
      <c r="W974" t="s">
        <v>62</v>
      </c>
      <c r="AP974" t="s">
        <v>94</v>
      </c>
      <c r="AS974" t="s">
        <v>375</v>
      </c>
    </row>
    <row r="975" spans="1:45" x14ac:dyDescent="0.35">
      <c r="A975" t="s">
        <v>45</v>
      </c>
      <c r="B975" t="s">
        <v>2238</v>
      </c>
      <c r="C975" t="s">
        <v>47</v>
      </c>
      <c r="D975" t="s">
        <v>1984</v>
      </c>
      <c r="E975" t="s">
        <v>1984</v>
      </c>
      <c r="F975" t="s">
        <v>49</v>
      </c>
      <c r="G975" t="s">
        <v>50</v>
      </c>
      <c r="H975" t="s">
        <v>2309</v>
      </c>
      <c r="J975" t="str">
        <f>HYPERLINK("https://www.facebook.com/357267201017935/inbox/7153733281371259/","https://www.facebook.com/357267201017935/inbox/7153733281371259/")</f>
        <v>https://www.facebook.com/357267201017935/inbox/7153733281371259/</v>
      </c>
      <c r="O975">
        <v>0</v>
      </c>
      <c r="P975">
        <v>0</v>
      </c>
      <c r="Q975">
        <v>0</v>
      </c>
      <c r="S975">
        <v>0</v>
      </c>
      <c r="T975">
        <v>0</v>
      </c>
      <c r="U975">
        <v>0</v>
      </c>
      <c r="W975" t="s">
        <v>52</v>
      </c>
      <c r="AS975" t="s">
        <v>375</v>
      </c>
    </row>
    <row r="976" spans="1:45" x14ac:dyDescent="0.35">
      <c r="A976" t="s">
        <v>45</v>
      </c>
      <c r="B976" t="s">
        <v>2238</v>
      </c>
      <c r="C976" t="s">
        <v>63</v>
      </c>
      <c r="D976" t="s">
        <v>487</v>
      </c>
      <c r="E976" t="s">
        <v>487</v>
      </c>
      <c r="F976" t="s">
        <v>49</v>
      </c>
      <c r="G976" t="s">
        <v>2310</v>
      </c>
      <c r="H976" t="s">
        <v>2311</v>
      </c>
      <c r="J976" t="str">
        <f>HYPERLINK("https://www.instagram.com/reel/C4iIT3yIyID/","https://www.instagram.com/reel/C4iIT3yIyID/")</f>
        <v>https://www.instagram.com/reel/C4iIT3yIyID/</v>
      </c>
      <c r="O976">
        <v>0</v>
      </c>
      <c r="P976">
        <v>0</v>
      </c>
      <c r="Q976">
        <v>0</v>
      </c>
      <c r="S976">
        <v>0</v>
      </c>
      <c r="T976">
        <v>0</v>
      </c>
      <c r="U976">
        <v>0</v>
      </c>
      <c r="W976" t="s">
        <v>62</v>
      </c>
    </row>
    <row r="977" spans="1:45" x14ac:dyDescent="0.35">
      <c r="A977" t="s">
        <v>45</v>
      </c>
      <c r="B977" t="s">
        <v>2238</v>
      </c>
      <c r="C977" t="s">
        <v>47</v>
      </c>
      <c r="D977" t="s">
        <v>98</v>
      </c>
      <c r="E977" t="s">
        <v>98</v>
      </c>
      <c r="F977" t="s">
        <v>49</v>
      </c>
      <c r="G977" t="s">
        <v>2312</v>
      </c>
      <c r="H977" t="s">
        <v>2313</v>
      </c>
      <c r="J977" t="str">
        <f>HYPERLINK("https://www.facebook.com/454965103328545/posts/787618486729870?comment_id=404307852293456","https://www.facebook.com/454965103328545/posts/787618486729870?comment_id=404307852293456")</f>
        <v>https://www.facebook.com/454965103328545/posts/787618486729870?comment_id=404307852293456</v>
      </c>
      <c r="O977">
        <v>0</v>
      </c>
      <c r="P977">
        <v>0</v>
      </c>
      <c r="Q977">
        <v>0</v>
      </c>
      <c r="S977">
        <v>0</v>
      </c>
      <c r="T977">
        <v>0</v>
      </c>
      <c r="U977">
        <v>0</v>
      </c>
      <c r="W977" t="s">
        <v>62</v>
      </c>
    </row>
    <row r="978" spans="1:45" x14ac:dyDescent="0.35">
      <c r="A978" t="s">
        <v>45</v>
      </c>
      <c r="B978" t="s">
        <v>2238</v>
      </c>
      <c r="C978" t="s">
        <v>139</v>
      </c>
      <c r="D978" t="s">
        <v>726</v>
      </c>
      <c r="E978" t="s">
        <v>727</v>
      </c>
      <c r="F978" t="s">
        <v>49</v>
      </c>
      <c r="G978" t="s">
        <v>2314</v>
      </c>
      <c r="H978" t="s">
        <v>2315</v>
      </c>
      <c r="J978" t="str">
        <f>HYPERLINK("https://twitter.com/AkashYakov92580/status/1768857410758934956","https://twitter.com/AkashYakov92580/status/1768857410758934956")</f>
        <v>https://twitter.com/AkashYakov92580/status/1768857410758934956</v>
      </c>
      <c r="K978" t="s">
        <v>145</v>
      </c>
      <c r="O978">
        <v>0</v>
      </c>
      <c r="P978">
        <v>0</v>
      </c>
      <c r="Q978">
        <v>0</v>
      </c>
      <c r="S978">
        <v>0</v>
      </c>
      <c r="T978">
        <v>0</v>
      </c>
      <c r="U978">
        <v>0</v>
      </c>
      <c r="W978" t="s">
        <v>146</v>
      </c>
    </row>
    <row r="979" spans="1:45" x14ac:dyDescent="0.35">
      <c r="A979" t="s">
        <v>45</v>
      </c>
      <c r="B979" t="s">
        <v>2238</v>
      </c>
      <c r="C979" t="s">
        <v>139</v>
      </c>
      <c r="D979" t="s">
        <v>2201</v>
      </c>
      <c r="E979" t="s">
        <v>2202</v>
      </c>
      <c r="F979" t="s">
        <v>49</v>
      </c>
      <c r="G979" t="s">
        <v>2316</v>
      </c>
      <c r="H979" t="s">
        <v>2317</v>
      </c>
      <c r="J979" t="str">
        <f>HYPERLINK("https://twitter.com/sahuabhishek123/status/1768836276013473843","https://twitter.com/sahuabhishek123/status/1768836276013473843")</f>
        <v>https://twitter.com/sahuabhishek123/status/1768836276013473843</v>
      </c>
      <c r="K979" t="s">
        <v>145</v>
      </c>
      <c r="O979">
        <v>0</v>
      </c>
      <c r="P979">
        <v>0</v>
      </c>
      <c r="Q979">
        <v>0</v>
      </c>
      <c r="S979">
        <v>0</v>
      </c>
      <c r="T979">
        <v>0</v>
      </c>
      <c r="U979">
        <v>0</v>
      </c>
      <c r="W979" t="s">
        <v>146</v>
      </c>
      <c r="AO979" t="s">
        <v>67</v>
      </c>
      <c r="AP979" t="s">
        <v>94</v>
      </c>
    </row>
    <row r="980" spans="1:45" x14ac:dyDescent="0.35">
      <c r="A980" t="s">
        <v>45</v>
      </c>
      <c r="B980" t="s">
        <v>2238</v>
      </c>
      <c r="C980" t="s">
        <v>139</v>
      </c>
      <c r="D980" t="s">
        <v>726</v>
      </c>
      <c r="E980" t="s">
        <v>727</v>
      </c>
      <c r="F980" t="s">
        <v>49</v>
      </c>
      <c r="G980" t="s">
        <v>2318</v>
      </c>
      <c r="H980" t="s">
        <v>2319</v>
      </c>
      <c r="J980" t="str">
        <f>HYPERLINK("https://twitter.com/AkashYakov92580/status/1768833631274016785","https://twitter.com/AkashYakov92580/status/1768833631274016785")</f>
        <v>https://twitter.com/AkashYakov92580/status/1768833631274016785</v>
      </c>
      <c r="K980" t="s">
        <v>145</v>
      </c>
      <c r="O980">
        <v>0</v>
      </c>
      <c r="P980">
        <v>0</v>
      </c>
      <c r="Q980">
        <v>0</v>
      </c>
      <c r="S980">
        <v>0</v>
      </c>
      <c r="T980">
        <v>0</v>
      </c>
      <c r="U980">
        <v>0</v>
      </c>
      <c r="W980" t="s">
        <v>146</v>
      </c>
    </row>
    <row r="981" spans="1:45" x14ac:dyDescent="0.35">
      <c r="A981" t="s">
        <v>45</v>
      </c>
      <c r="B981" t="s">
        <v>2238</v>
      </c>
      <c r="C981" t="s">
        <v>58</v>
      </c>
      <c r="D981" t="s">
        <v>2320</v>
      </c>
      <c r="E981" t="s">
        <v>2320</v>
      </c>
      <c r="F981" t="s">
        <v>76</v>
      </c>
      <c r="G981" t="s">
        <v>2321</v>
      </c>
      <c r="H981" t="s">
        <v>2322</v>
      </c>
      <c r="J981" t="str">
        <f>HYPERLINK("https://www.youtube.com/watch?v=B5HPUqoXRhk","https://www.youtube.com/watch?v=B5HPUqoXRhk")</f>
        <v>https://www.youtube.com/watch?v=B5HPUqoXRhk</v>
      </c>
      <c r="O981">
        <v>0</v>
      </c>
      <c r="P981">
        <v>0</v>
      </c>
      <c r="Q981">
        <v>0</v>
      </c>
      <c r="S981">
        <v>0</v>
      </c>
      <c r="T981">
        <v>0</v>
      </c>
      <c r="U981">
        <v>0</v>
      </c>
      <c r="W981" t="s">
        <v>106</v>
      </c>
      <c r="AP981" t="s">
        <v>101</v>
      </c>
    </row>
    <row r="982" spans="1:45" x14ac:dyDescent="0.35">
      <c r="A982" t="s">
        <v>45</v>
      </c>
      <c r="B982" t="s">
        <v>2238</v>
      </c>
      <c r="C982" t="s">
        <v>139</v>
      </c>
      <c r="D982" t="s">
        <v>726</v>
      </c>
      <c r="E982" t="s">
        <v>727</v>
      </c>
      <c r="F982" t="s">
        <v>49</v>
      </c>
      <c r="G982" t="s">
        <v>2323</v>
      </c>
      <c r="H982" t="s">
        <v>2324</v>
      </c>
      <c r="J982" t="str">
        <f>HYPERLINK("https://twitter.com/AkashYakov92580/status/1768769297323794432","https://twitter.com/AkashYakov92580/status/1768769297323794432")</f>
        <v>https://twitter.com/AkashYakov92580/status/1768769297323794432</v>
      </c>
      <c r="K982" t="s">
        <v>145</v>
      </c>
      <c r="O982">
        <v>0</v>
      </c>
      <c r="P982">
        <v>0</v>
      </c>
      <c r="Q982">
        <v>0</v>
      </c>
      <c r="S982">
        <v>0</v>
      </c>
      <c r="T982">
        <v>0</v>
      </c>
      <c r="U982">
        <v>0</v>
      </c>
      <c r="W982" t="s">
        <v>146</v>
      </c>
    </row>
    <row r="983" spans="1:45" x14ac:dyDescent="0.35">
      <c r="A983" t="s">
        <v>45</v>
      </c>
      <c r="B983" t="s">
        <v>2238</v>
      </c>
      <c r="C983" t="s">
        <v>47</v>
      </c>
      <c r="D983" t="s">
        <v>2325</v>
      </c>
      <c r="E983" t="s">
        <v>2325</v>
      </c>
      <c r="F983" t="s">
        <v>49</v>
      </c>
      <c r="G983" t="s">
        <v>2326</v>
      </c>
      <c r="H983" t="s">
        <v>2327</v>
      </c>
      <c r="J983" t="str">
        <f>HYPERLINK("https://www.facebook.com/454965103328545/posts/788164420008610?comment_id=398854062772947","https://www.facebook.com/454965103328545/posts/788164420008610?comment_id=398854062772947")</f>
        <v>https://www.facebook.com/454965103328545/posts/788164420008610?comment_id=398854062772947</v>
      </c>
      <c r="O983">
        <v>0</v>
      </c>
      <c r="P983">
        <v>0</v>
      </c>
      <c r="Q983">
        <v>0</v>
      </c>
      <c r="S983">
        <v>0</v>
      </c>
      <c r="T983">
        <v>0</v>
      </c>
      <c r="U983">
        <v>0</v>
      </c>
      <c r="W983" t="s">
        <v>62</v>
      </c>
    </row>
    <row r="984" spans="1:45" x14ac:dyDescent="0.35">
      <c r="A984" t="s">
        <v>45</v>
      </c>
      <c r="B984" t="s">
        <v>2328</v>
      </c>
      <c r="C984" t="s">
        <v>47</v>
      </c>
      <c r="D984" t="s">
        <v>1598</v>
      </c>
      <c r="E984" t="s">
        <v>1598</v>
      </c>
      <c r="F984" t="s">
        <v>49</v>
      </c>
      <c r="G984" t="s">
        <v>2329</v>
      </c>
      <c r="H984" t="s">
        <v>2330</v>
      </c>
      <c r="J984" t="str">
        <f>HYPERLINK("https://www.facebook.com/357267201017935/inbox/5661451063932829/","https://www.facebook.com/357267201017935/inbox/5661451063932829/")</f>
        <v>https://www.facebook.com/357267201017935/inbox/5661451063932829/</v>
      </c>
      <c r="O984">
        <v>0</v>
      </c>
      <c r="P984">
        <v>0</v>
      </c>
      <c r="Q984">
        <v>0</v>
      </c>
      <c r="S984">
        <v>0</v>
      </c>
      <c r="T984">
        <v>0</v>
      </c>
      <c r="U984">
        <v>0</v>
      </c>
      <c r="W984" t="s">
        <v>52</v>
      </c>
    </row>
    <row r="985" spans="1:45" x14ac:dyDescent="0.35">
      <c r="A985" t="s">
        <v>45</v>
      </c>
      <c r="B985" t="s">
        <v>2328</v>
      </c>
      <c r="C985" t="s">
        <v>47</v>
      </c>
      <c r="D985" t="s">
        <v>1598</v>
      </c>
      <c r="E985" t="s">
        <v>1598</v>
      </c>
      <c r="F985" t="s">
        <v>49</v>
      </c>
      <c r="G985" t="s">
        <v>2331</v>
      </c>
      <c r="H985" t="s">
        <v>2332</v>
      </c>
      <c r="J985" t="str">
        <f>HYPERLINK("https://www.facebook.com/454965103328545/posts/763871475771238?comment_id=954676856331991","https://www.facebook.com/454965103328545/posts/763871475771238?comment_id=954676856331991")</f>
        <v>https://www.facebook.com/454965103328545/posts/763871475771238?comment_id=954676856331991</v>
      </c>
      <c r="O985">
        <v>0</v>
      </c>
      <c r="P985">
        <v>0</v>
      </c>
      <c r="Q985">
        <v>0</v>
      </c>
      <c r="S985">
        <v>0</v>
      </c>
      <c r="T985">
        <v>0</v>
      </c>
      <c r="U985">
        <v>0</v>
      </c>
      <c r="W985" t="s">
        <v>62</v>
      </c>
    </row>
    <row r="986" spans="1:45" x14ac:dyDescent="0.35">
      <c r="A986" t="s">
        <v>45</v>
      </c>
      <c r="B986" t="s">
        <v>2328</v>
      </c>
      <c r="C986" t="s">
        <v>47</v>
      </c>
      <c r="D986" t="s">
        <v>1598</v>
      </c>
      <c r="E986" t="s">
        <v>1598</v>
      </c>
      <c r="F986" t="s">
        <v>49</v>
      </c>
      <c r="G986" t="s">
        <v>2333</v>
      </c>
      <c r="H986" t="s">
        <v>2334</v>
      </c>
      <c r="J986" t="str">
        <f>HYPERLINK("https://www.facebook.com/454965103328545/posts/763871475771238?comment_id=383028971214378","https://www.facebook.com/454965103328545/posts/763871475771238?comment_id=383028971214378")</f>
        <v>https://www.facebook.com/454965103328545/posts/763871475771238?comment_id=383028971214378</v>
      </c>
      <c r="O986">
        <v>0</v>
      </c>
      <c r="P986">
        <v>0</v>
      </c>
      <c r="Q986">
        <v>0</v>
      </c>
      <c r="S986">
        <v>0</v>
      </c>
      <c r="T986">
        <v>0</v>
      </c>
      <c r="U986">
        <v>0</v>
      </c>
      <c r="W986" t="s">
        <v>62</v>
      </c>
    </row>
    <row r="987" spans="1:45" x14ac:dyDescent="0.35">
      <c r="A987" t="s">
        <v>45</v>
      </c>
      <c r="B987" t="s">
        <v>2328</v>
      </c>
      <c r="C987" t="s">
        <v>47</v>
      </c>
      <c r="D987" t="s">
        <v>2335</v>
      </c>
      <c r="E987" t="s">
        <v>2335</v>
      </c>
      <c r="F987" t="s">
        <v>49</v>
      </c>
      <c r="H987" t="s">
        <v>2336</v>
      </c>
      <c r="J987" t="str">
        <f>HYPERLINK("https://www.facebook.com/454965103328545/posts/788164420008610?comment_id=265550896594997","https://www.facebook.com/454965103328545/posts/788164420008610?comment_id=265550896594997")</f>
        <v>https://www.facebook.com/454965103328545/posts/788164420008610?comment_id=265550896594997</v>
      </c>
      <c r="O987">
        <v>0</v>
      </c>
      <c r="P987">
        <v>0</v>
      </c>
      <c r="Q987">
        <v>0</v>
      </c>
      <c r="S987">
        <v>0</v>
      </c>
      <c r="T987">
        <v>0</v>
      </c>
      <c r="U987">
        <v>0</v>
      </c>
      <c r="W987" t="s">
        <v>62</v>
      </c>
    </row>
    <row r="988" spans="1:45" x14ac:dyDescent="0.35">
      <c r="A988" t="s">
        <v>45</v>
      </c>
      <c r="B988" t="s">
        <v>2328</v>
      </c>
      <c r="C988" t="s">
        <v>47</v>
      </c>
      <c r="D988" t="s">
        <v>2335</v>
      </c>
      <c r="E988" t="s">
        <v>2335</v>
      </c>
      <c r="F988" t="s">
        <v>49</v>
      </c>
      <c r="H988" t="s">
        <v>2337</v>
      </c>
      <c r="J988" t="str">
        <f>HYPERLINK("https://www.facebook.com/454965103328545/posts/788164420008610?comment_id=369940259324675","https://www.facebook.com/454965103328545/posts/788164420008610?comment_id=369940259324675")</f>
        <v>https://www.facebook.com/454965103328545/posts/788164420008610?comment_id=369940259324675</v>
      </c>
      <c r="O988">
        <v>0</v>
      </c>
      <c r="P988">
        <v>0</v>
      </c>
      <c r="Q988">
        <v>0</v>
      </c>
      <c r="S988">
        <v>0</v>
      </c>
      <c r="T988">
        <v>0</v>
      </c>
      <c r="U988">
        <v>0</v>
      </c>
      <c r="W988" t="s">
        <v>62</v>
      </c>
    </row>
    <row r="989" spans="1:45" x14ac:dyDescent="0.35">
      <c r="A989" t="s">
        <v>45</v>
      </c>
      <c r="B989" t="s">
        <v>2328</v>
      </c>
      <c r="C989" t="s">
        <v>47</v>
      </c>
      <c r="D989" t="s">
        <v>2335</v>
      </c>
      <c r="E989" t="s">
        <v>2335</v>
      </c>
      <c r="F989" t="s">
        <v>76</v>
      </c>
      <c r="G989" t="s">
        <v>2338</v>
      </c>
      <c r="H989" t="s">
        <v>2339</v>
      </c>
      <c r="J989" t="str">
        <f>HYPERLINK("https://www.facebook.com/454965103328545/posts/788164420008610?comment_id=309762148439675","https://www.facebook.com/454965103328545/posts/788164420008610?comment_id=309762148439675")</f>
        <v>https://www.facebook.com/454965103328545/posts/788164420008610?comment_id=309762148439675</v>
      </c>
      <c r="O989">
        <v>0</v>
      </c>
      <c r="P989">
        <v>0</v>
      </c>
      <c r="Q989">
        <v>0</v>
      </c>
      <c r="S989">
        <v>0</v>
      </c>
      <c r="T989">
        <v>0</v>
      </c>
      <c r="U989">
        <v>0</v>
      </c>
      <c r="W989" t="s">
        <v>62</v>
      </c>
    </row>
    <row r="990" spans="1:45" x14ac:dyDescent="0.35">
      <c r="A990" t="s">
        <v>45</v>
      </c>
      <c r="B990" t="s">
        <v>2328</v>
      </c>
      <c r="C990" t="s">
        <v>47</v>
      </c>
      <c r="D990" t="s">
        <v>2340</v>
      </c>
      <c r="E990" t="s">
        <v>2340</v>
      </c>
      <c r="F990" t="s">
        <v>49</v>
      </c>
      <c r="G990" t="s">
        <v>2341</v>
      </c>
      <c r="H990" t="s">
        <v>2342</v>
      </c>
      <c r="J990" t="str">
        <f>HYPERLINK("https://www.facebook.com/454965103328545/posts/787618486729870?comment_id=1629597107780303&amp;reply_comment_id=401643255899385","https://www.facebook.com/454965103328545/posts/787618486729870?comment_id=1629597107780303&amp;reply_comment_id=401643255899385")</f>
        <v>https://www.facebook.com/454965103328545/posts/787618486729870?comment_id=1629597107780303&amp;reply_comment_id=401643255899385</v>
      </c>
      <c r="O990">
        <v>0</v>
      </c>
      <c r="P990">
        <v>0</v>
      </c>
      <c r="Q990">
        <v>0</v>
      </c>
      <c r="S990">
        <v>0</v>
      </c>
      <c r="T990">
        <v>0</v>
      </c>
      <c r="U990">
        <v>0</v>
      </c>
      <c r="W990" t="s">
        <v>62</v>
      </c>
      <c r="AP990" t="s">
        <v>147</v>
      </c>
    </row>
    <row r="991" spans="1:45" x14ac:dyDescent="0.35">
      <c r="A991" t="s">
        <v>45</v>
      </c>
      <c r="B991" t="s">
        <v>2328</v>
      </c>
      <c r="C991" t="s">
        <v>63</v>
      </c>
      <c r="D991" t="s">
        <v>2343</v>
      </c>
      <c r="E991" t="s">
        <v>2343</v>
      </c>
      <c r="F991" t="s">
        <v>49</v>
      </c>
      <c r="G991" t="s">
        <v>2344</v>
      </c>
      <c r="H991" t="s">
        <v>2345</v>
      </c>
      <c r="J991" t="str">
        <f>HYPERLINK("https://www.instagram.com/reel/C4iIT3yIyID/","https://www.instagram.com/reel/C4iIT3yIyID/")</f>
        <v>https://www.instagram.com/reel/C4iIT3yIyID/</v>
      </c>
      <c r="O991">
        <v>0</v>
      </c>
      <c r="P991">
        <v>0</v>
      </c>
      <c r="Q991">
        <v>0</v>
      </c>
      <c r="S991">
        <v>0</v>
      </c>
      <c r="T991">
        <v>0</v>
      </c>
      <c r="U991">
        <v>0</v>
      </c>
      <c r="W991" t="s">
        <v>62</v>
      </c>
      <c r="AS991" t="s">
        <v>375</v>
      </c>
    </row>
    <row r="992" spans="1:45" x14ac:dyDescent="0.35">
      <c r="A992" t="s">
        <v>45</v>
      </c>
      <c r="B992" t="s">
        <v>2328</v>
      </c>
      <c r="C992" t="s">
        <v>58</v>
      </c>
      <c r="D992" t="s">
        <v>2346</v>
      </c>
      <c r="E992" t="s">
        <v>2346</v>
      </c>
      <c r="F992" t="s">
        <v>76</v>
      </c>
      <c r="G992" t="s">
        <v>501</v>
      </c>
      <c r="H992" t="s">
        <v>2347</v>
      </c>
      <c r="J992" t="str">
        <f>HYPERLINK("https://www.youtube.com/watch?v=nNTi7GPdTsw&amp;lc=Ugy11BiDXLPq1y3A_tp4AaABAg","https://www.youtube.com/watch?v=nNTi7GPdTsw&amp;lc=Ugy11BiDXLPq1y3A_tp4AaABAg")</f>
        <v>https://www.youtube.com/watch?v=nNTi7GPdTsw&amp;lc=Ugy11BiDXLPq1y3A_tp4AaABAg</v>
      </c>
      <c r="O992">
        <v>0</v>
      </c>
      <c r="P992">
        <v>0</v>
      </c>
      <c r="Q992">
        <v>0</v>
      </c>
      <c r="S992">
        <v>0</v>
      </c>
      <c r="T992">
        <v>0</v>
      </c>
      <c r="U992">
        <v>0</v>
      </c>
      <c r="W992" t="s">
        <v>62</v>
      </c>
    </row>
    <row r="993" spans="1:45" x14ac:dyDescent="0.35">
      <c r="A993" t="s">
        <v>45</v>
      </c>
      <c r="B993" t="s">
        <v>2328</v>
      </c>
      <c r="C993" t="s">
        <v>47</v>
      </c>
      <c r="D993" t="s">
        <v>2348</v>
      </c>
      <c r="E993" t="s">
        <v>2348</v>
      </c>
      <c r="F993" t="s">
        <v>49</v>
      </c>
      <c r="G993" t="s">
        <v>2349</v>
      </c>
      <c r="H993" t="s">
        <v>2350</v>
      </c>
      <c r="J993" t="str">
        <f>HYPERLINK("https://www.facebook.com/357267201017935/inbox/6572004652877461/","https://www.facebook.com/357267201017935/inbox/6572004652877461/")</f>
        <v>https://www.facebook.com/357267201017935/inbox/6572004652877461/</v>
      </c>
      <c r="O993">
        <v>0</v>
      </c>
      <c r="P993">
        <v>0</v>
      </c>
      <c r="Q993">
        <v>0</v>
      </c>
      <c r="S993">
        <v>0</v>
      </c>
      <c r="T993">
        <v>0</v>
      </c>
      <c r="U993">
        <v>0</v>
      </c>
      <c r="W993" t="s">
        <v>52</v>
      </c>
    </row>
    <row r="994" spans="1:45" x14ac:dyDescent="0.35">
      <c r="A994" t="s">
        <v>45</v>
      </c>
      <c r="B994" t="s">
        <v>2328</v>
      </c>
      <c r="C994" t="s">
        <v>47</v>
      </c>
      <c r="D994" t="s">
        <v>2348</v>
      </c>
      <c r="E994" t="s">
        <v>2348</v>
      </c>
      <c r="F994" t="s">
        <v>49</v>
      </c>
      <c r="G994" t="s">
        <v>2351</v>
      </c>
      <c r="H994" t="s">
        <v>2352</v>
      </c>
      <c r="J994" t="str">
        <f>HYPERLINK("https://www.facebook.com/357267201017935/inbox/6572004652877461/","https://www.facebook.com/357267201017935/inbox/6572004652877461/")</f>
        <v>https://www.facebook.com/357267201017935/inbox/6572004652877461/</v>
      </c>
      <c r="O994">
        <v>0</v>
      </c>
      <c r="P994">
        <v>0</v>
      </c>
      <c r="Q994">
        <v>0</v>
      </c>
      <c r="S994">
        <v>0</v>
      </c>
      <c r="T994">
        <v>0</v>
      </c>
      <c r="U994">
        <v>0</v>
      </c>
      <c r="W994" t="s">
        <v>52</v>
      </c>
      <c r="Y994" t="s">
        <v>2353</v>
      </c>
      <c r="Z994" t="s">
        <v>613</v>
      </c>
      <c r="AA994" t="s">
        <v>614</v>
      </c>
    </row>
    <row r="995" spans="1:45" x14ac:dyDescent="0.35">
      <c r="A995" t="s">
        <v>45</v>
      </c>
      <c r="B995" t="s">
        <v>2328</v>
      </c>
      <c r="C995" t="s">
        <v>47</v>
      </c>
      <c r="D995" t="s">
        <v>1029</v>
      </c>
      <c r="E995" t="s">
        <v>1029</v>
      </c>
      <c r="F995" t="s">
        <v>49</v>
      </c>
      <c r="G995" t="s">
        <v>2354</v>
      </c>
      <c r="H995" t="s">
        <v>2355</v>
      </c>
      <c r="J995" t="str">
        <f>HYPERLINK("https://www.facebook.com/454965103328545/posts/788164420008610?comment_id=1458312231702295&amp;reply_comment_id=358848507147286","https://www.facebook.com/454965103328545/posts/788164420008610?comment_id=1458312231702295&amp;reply_comment_id=358848507147286")</f>
        <v>https://www.facebook.com/454965103328545/posts/788164420008610?comment_id=1458312231702295&amp;reply_comment_id=358848507147286</v>
      </c>
      <c r="O995">
        <v>0</v>
      </c>
      <c r="P995">
        <v>0</v>
      </c>
      <c r="Q995">
        <v>0</v>
      </c>
      <c r="S995">
        <v>0</v>
      </c>
      <c r="T995">
        <v>0</v>
      </c>
      <c r="U995">
        <v>0</v>
      </c>
      <c r="W995" t="s">
        <v>62</v>
      </c>
    </row>
    <row r="996" spans="1:45" x14ac:dyDescent="0.35">
      <c r="A996" t="s">
        <v>45</v>
      </c>
      <c r="B996" t="s">
        <v>2328</v>
      </c>
      <c r="C996" t="s">
        <v>47</v>
      </c>
      <c r="D996" t="s">
        <v>1029</v>
      </c>
      <c r="E996" t="s">
        <v>1029</v>
      </c>
      <c r="F996" t="s">
        <v>49</v>
      </c>
      <c r="G996" t="s">
        <v>2354</v>
      </c>
      <c r="H996" t="s">
        <v>2356</v>
      </c>
      <c r="J996" t="str">
        <f>HYPERLINK("https://www.facebook.com/454965103328545/posts/788164420008610?comment_id=1458312231702295&amp;reply_comment_id=352659361078792","https://www.facebook.com/454965103328545/posts/788164420008610?comment_id=1458312231702295&amp;reply_comment_id=352659361078792")</f>
        <v>https://www.facebook.com/454965103328545/posts/788164420008610?comment_id=1458312231702295&amp;reply_comment_id=352659361078792</v>
      </c>
      <c r="O996">
        <v>0</v>
      </c>
      <c r="P996">
        <v>0</v>
      </c>
      <c r="Q996">
        <v>0</v>
      </c>
      <c r="S996">
        <v>0</v>
      </c>
      <c r="T996">
        <v>0</v>
      </c>
      <c r="U996">
        <v>0</v>
      </c>
      <c r="W996" t="s">
        <v>62</v>
      </c>
    </row>
    <row r="997" spans="1:45" x14ac:dyDescent="0.35">
      <c r="A997" t="s">
        <v>45</v>
      </c>
      <c r="B997" t="s">
        <v>2328</v>
      </c>
      <c r="C997" t="s">
        <v>47</v>
      </c>
      <c r="D997" t="s">
        <v>2357</v>
      </c>
      <c r="E997" t="s">
        <v>2357</v>
      </c>
      <c r="F997" t="s">
        <v>49</v>
      </c>
      <c r="G997" t="s">
        <v>2358</v>
      </c>
      <c r="H997" t="s">
        <v>2359</v>
      </c>
      <c r="J997" t="str">
        <f>HYPERLINK("https://www.facebook.com/357267201017935/inbox/3728843897193565/","https://www.facebook.com/357267201017935/inbox/3728843897193565/")</f>
        <v>https://www.facebook.com/357267201017935/inbox/3728843897193565/</v>
      </c>
      <c r="O997">
        <v>0</v>
      </c>
      <c r="P997">
        <v>0</v>
      </c>
      <c r="Q997">
        <v>0</v>
      </c>
      <c r="S997">
        <v>0</v>
      </c>
      <c r="T997">
        <v>0</v>
      </c>
      <c r="U997">
        <v>0</v>
      </c>
      <c r="W997" t="s">
        <v>52</v>
      </c>
    </row>
    <row r="998" spans="1:45" x14ac:dyDescent="0.35">
      <c r="A998" t="s">
        <v>45</v>
      </c>
      <c r="B998" t="s">
        <v>2328</v>
      </c>
      <c r="C998" t="s">
        <v>139</v>
      </c>
      <c r="D998" t="s">
        <v>1975</v>
      </c>
      <c r="E998" t="s">
        <v>1976</v>
      </c>
      <c r="F998" t="s">
        <v>49</v>
      </c>
      <c r="G998" t="s">
        <v>2360</v>
      </c>
      <c r="H998" t="s">
        <v>2361</v>
      </c>
      <c r="J998" t="str">
        <f>HYPERLINK("https://twitter.com/Reyaz9599/status/1768618204421583018","https://twitter.com/Reyaz9599/status/1768618204421583018")</f>
        <v>https://twitter.com/Reyaz9599/status/1768618204421583018</v>
      </c>
      <c r="O998">
        <v>0</v>
      </c>
      <c r="P998">
        <v>0</v>
      </c>
      <c r="Q998">
        <v>35</v>
      </c>
      <c r="R998" t="s">
        <v>1979</v>
      </c>
      <c r="S998">
        <v>0</v>
      </c>
      <c r="T998">
        <v>0</v>
      </c>
      <c r="U998">
        <v>0</v>
      </c>
      <c r="W998" t="s">
        <v>52</v>
      </c>
      <c r="AP998" t="s">
        <v>147</v>
      </c>
      <c r="AS998" t="s">
        <v>375</v>
      </c>
    </row>
    <row r="999" spans="1:45" x14ac:dyDescent="0.35">
      <c r="A999" t="s">
        <v>45</v>
      </c>
      <c r="B999" t="s">
        <v>2328</v>
      </c>
      <c r="C999" t="s">
        <v>139</v>
      </c>
      <c r="D999" t="s">
        <v>1975</v>
      </c>
      <c r="E999" t="s">
        <v>1976</v>
      </c>
      <c r="F999" t="s">
        <v>142</v>
      </c>
      <c r="G999" t="s">
        <v>2362</v>
      </c>
      <c r="H999" t="s">
        <v>2363</v>
      </c>
      <c r="J999" t="str">
        <f>HYPERLINK("https://twitter.com/Reyaz9599/status/1768618171307635016","https://twitter.com/Reyaz9599/status/1768618171307635016")</f>
        <v>https://twitter.com/Reyaz9599/status/1768618171307635016</v>
      </c>
      <c r="O999">
        <v>0</v>
      </c>
      <c r="P999">
        <v>0</v>
      </c>
      <c r="Q999">
        <v>35</v>
      </c>
      <c r="R999" t="s">
        <v>1979</v>
      </c>
      <c r="S999">
        <v>0</v>
      </c>
      <c r="T999">
        <v>0</v>
      </c>
      <c r="U999">
        <v>0</v>
      </c>
      <c r="W999" t="s">
        <v>52</v>
      </c>
      <c r="AP999" t="s">
        <v>101</v>
      </c>
      <c r="AS999" t="s">
        <v>375</v>
      </c>
    </row>
    <row r="1000" spans="1:45" x14ac:dyDescent="0.35">
      <c r="A1000" t="s">
        <v>45</v>
      </c>
      <c r="B1000" t="s">
        <v>2328</v>
      </c>
      <c r="C1000" t="s">
        <v>139</v>
      </c>
      <c r="D1000" t="s">
        <v>1975</v>
      </c>
      <c r="E1000" t="s">
        <v>1976</v>
      </c>
      <c r="F1000" t="s">
        <v>49</v>
      </c>
      <c r="G1000" t="s">
        <v>2364</v>
      </c>
      <c r="H1000" t="s">
        <v>2365</v>
      </c>
      <c r="J1000" t="str">
        <f>HYPERLINK("https://twitter.com/Reyaz9599/status/1768617847343739046","https://twitter.com/Reyaz9599/status/1768617847343739046")</f>
        <v>https://twitter.com/Reyaz9599/status/1768617847343739046</v>
      </c>
      <c r="O1000">
        <v>0</v>
      </c>
      <c r="P1000">
        <v>0</v>
      </c>
      <c r="Q1000">
        <v>35</v>
      </c>
      <c r="R1000" t="s">
        <v>1979</v>
      </c>
      <c r="S1000">
        <v>0</v>
      </c>
      <c r="T1000">
        <v>0</v>
      </c>
      <c r="U1000">
        <v>0</v>
      </c>
      <c r="W1000" t="s">
        <v>146</v>
      </c>
    </row>
    <row r="1001" spans="1:45" x14ac:dyDescent="0.35">
      <c r="A1001" t="s">
        <v>45</v>
      </c>
      <c r="B1001" t="s">
        <v>2328</v>
      </c>
      <c r="C1001" t="s">
        <v>63</v>
      </c>
      <c r="D1001" t="s">
        <v>2366</v>
      </c>
      <c r="E1001" t="s">
        <v>2366</v>
      </c>
      <c r="F1001" t="s">
        <v>49</v>
      </c>
      <c r="G1001" t="s">
        <v>2367</v>
      </c>
      <c r="H1001" t="s">
        <v>2368</v>
      </c>
      <c r="J1001" t="str">
        <f>HYPERLINK("https://www.instagram.com/reel/C4iIT3yIyID/","https://www.instagram.com/reel/C4iIT3yIyID/")</f>
        <v>https://www.instagram.com/reel/C4iIT3yIyID/</v>
      </c>
      <c r="O1001">
        <v>0</v>
      </c>
      <c r="P1001">
        <v>0</v>
      </c>
      <c r="Q1001">
        <v>0</v>
      </c>
      <c r="S1001">
        <v>0</v>
      </c>
      <c r="T1001">
        <v>0</v>
      </c>
      <c r="U1001">
        <v>0</v>
      </c>
      <c r="W1001" t="s">
        <v>62</v>
      </c>
    </row>
    <row r="1002" spans="1:45" x14ac:dyDescent="0.35">
      <c r="A1002" t="s">
        <v>45</v>
      </c>
      <c r="B1002" t="s">
        <v>2328</v>
      </c>
      <c r="C1002" t="s">
        <v>47</v>
      </c>
      <c r="D1002" t="s">
        <v>445</v>
      </c>
      <c r="E1002" t="s">
        <v>445</v>
      </c>
      <c r="F1002" t="s">
        <v>49</v>
      </c>
      <c r="G1002" t="s">
        <v>475</v>
      </c>
      <c r="H1002" t="s">
        <v>2369</v>
      </c>
      <c r="J1002" t="str">
        <f>HYPERLINK("https://www.facebook.com/454965103328545/posts/788164420008610?comment_id=1108107117102584","https://www.facebook.com/454965103328545/posts/788164420008610?comment_id=1108107117102584")</f>
        <v>https://www.facebook.com/454965103328545/posts/788164420008610?comment_id=1108107117102584</v>
      </c>
      <c r="O1002">
        <v>0</v>
      </c>
      <c r="P1002">
        <v>0</v>
      </c>
      <c r="Q1002">
        <v>0</v>
      </c>
      <c r="S1002">
        <v>0</v>
      </c>
      <c r="T1002">
        <v>0</v>
      </c>
      <c r="U1002">
        <v>0</v>
      </c>
      <c r="W1002" t="s">
        <v>62</v>
      </c>
      <c r="AP1002" t="s">
        <v>101</v>
      </c>
    </row>
    <row r="1003" spans="1:45" x14ac:dyDescent="0.35">
      <c r="A1003" t="s">
        <v>45</v>
      </c>
      <c r="B1003" t="s">
        <v>2328</v>
      </c>
      <c r="C1003" t="s">
        <v>47</v>
      </c>
      <c r="D1003" t="s">
        <v>445</v>
      </c>
      <c r="E1003" t="s">
        <v>445</v>
      </c>
      <c r="F1003" t="s">
        <v>49</v>
      </c>
      <c r="G1003" t="s">
        <v>477</v>
      </c>
      <c r="H1003" t="s">
        <v>2370</v>
      </c>
      <c r="J1003" t="str">
        <f>HYPERLINK("https://www.facebook.com/454965103328545/posts/788164420008610?comment_id=469930268701310","https://www.facebook.com/454965103328545/posts/788164420008610?comment_id=469930268701310")</f>
        <v>https://www.facebook.com/454965103328545/posts/788164420008610?comment_id=469930268701310</v>
      </c>
      <c r="O1003">
        <v>0</v>
      </c>
      <c r="P1003">
        <v>0</v>
      </c>
      <c r="Q1003">
        <v>0</v>
      </c>
      <c r="S1003">
        <v>0</v>
      </c>
      <c r="T1003">
        <v>0</v>
      </c>
      <c r="U1003">
        <v>0</v>
      </c>
      <c r="W1003" t="s">
        <v>62</v>
      </c>
    </row>
    <row r="1004" spans="1:45" x14ac:dyDescent="0.35">
      <c r="A1004" t="s">
        <v>45</v>
      </c>
      <c r="B1004" t="s">
        <v>2328</v>
      </c>
      <c r="C1004" t="s">
        <v>47</v>
      </c>
      <c r="D1004" t="s">
        <v>445</v>
      </c>
      <c r="E1004" t="s">
        <v>445</v>
      </c>
      <c r="F1004" t="s">
        <v>142</v>
      </c>
      <c r="G1004" t="s">
        <v>473</v>
      </c>
      <c r="H1004" t="s">
        <v>2371</v>
      </c>
      <c r="J1004" t="str">
        <f>HYPERLINK("https://www.facebook.com/454965103328545/posts/788164420008610?comment_id=7258233437622166","https://www.facebook.com/454965103328545/posts/788164420008610?comment_id=7258233437622166")</f>
        <v>https://www.facebook.com/454965103328545/posts/788164420008610?comment_id=7258233437622166</v>
      </c>
      <c r="O1004">
        <v>0</v>
      </c>
      <c r="P1004">
        <v>0</v>
      </c>
      <c r="Q1004">
        <v>0</v>
      </c>
      <c r="S1004">
        <v>0</v>
      </c>
      <c r="T1004">
        <v>0</v>
      </c>
      <c r="U1004">
        <v>0</v>
      </c>
      <c r="W1004" t="s">
        <v>62</v>
      </c>
    </row>
    <row r="1005" spans="1:45" x14ac:dyDescent="0.35">
      <c r="A1005" t="s">
        <v>45</v>
      </c>
      <c r="B1005" t="s">
        <v>2328</v>
      </c>
      <c r="C1005" t="s">
        <v>47</v>
      </c>
      <c r="D1005" t="s">
        <v>445</v>
      </c>
      <c r="E1005" t="s">
        <v>445</v>
      </c>
      <c r="F1005" t="s">
        <v>49</v>
      </c>
      <c r="G1005" t="s">
        <v>477</v>
      </c>
      <c r="H1005" t="s">
        <v>2372</v>
      </c>
      <c r="J1005" t="str">
        <f>HYPERLINK("https://www.facebook.com/454965103328545/posts/788164420008610?comment_id=428094413224960","https://www.facebook.com/454965103328545/posts/788164420008610?comment_id=428094413224960")</f>
        <v>https://www.facebook.com/454965103328545/posts/788164420008610?comment_id=428094413224960</v>
      </c>
      <c r="O1005">
        <v>0</v>
      </c>
      <c r="P1005">
        <v>0</v>
      </c>
      <c r="Q1005">
        <v>0</v>
      </c>
      <c r="S1005">
        <v>0</v>
      </c>
      <c r="T1005">
        <v>0</v>
      </c>
      <c r="U1005">
        <v>0</v>
      </c>
      <c r="W1005" t="s">
        <v>62</v>
      </c>
    </row>
    <row r="1006" spans="1:45" x14ac:dyDescent="0.35">
      <c r="A1006" t="s">
        <v>45</v>
      </c>
      <c r="B1006" t="s">
        <v>2328</v>
      </c>
      <c r="C1006" t="s">
        <v>47</v>
      </c>
      <c r="D1006" t="s">
        <v>445</v>
      </c>
      <c r="E1006" t="s">
        <v>445</v>
      </c>
      <c r="F1006" t="s">
        <v>49</v>
      </c>
      <c r="G1006" t="s">
        <v>477</v>
      </c>
      <c r="H1006" t="s">
        <v>2373</v>
      </c>
      <c r="J1006" t="str">
        <f>HYPERLINK("https://www.facebook.com/454965103328545/posts/788164420008610?comment_id=7433702840008557","https://www.facebook.com/454965103328545/posts/788164420008610?comment_id=7433702840008557")</f>
        <v>https://www.facebook.com/454965103328545/posts/788164420008610?comment_id=7433702840008557</v>
      </c>
      <c r="O1006">
        <v>0</v>
      </c>
      <c r="P1006">
        <v>0</v>
      </c>
      <c r="Q1006">
        <v>0</v>
      </c>
      <c r="S1006">
        <v>0</v>
      </c>
      <c r="T1006">
        <v>0</v>
      </c>
      <c r="U1006">
        <v>0</v>
      </c>
      <c r="W1006" t="s">
        <v>62</v>
      </c>
    </row>
    <row r="1007" spans="1:45" x14ac:dyDescent="0.35">
      <c r="A1007" t="s">
        <v>45</v>
      </c>
      <c r="B1007" t="s">
        <v>2328</v>
      </c>
      <c r="C1007" t="s">
        <v>47</v>
      </c>
      <c r="D1007" t="s">
        <v>445</v>
      </c>
      <c r="E1007" t="s">
        <v>445</v>
      </c>
      <c r="F1007" t="s">
        <v>142</v>
      </c>
      <c r="G1007" t="s">
        <v>473</v>
      </c>
      <c r="H1007" t="s">
        <v>2374</v>
      </c>
      <c r="J1007" t="str">
        <f>HYPERLINK("https://www.facebook.com/454965103328545/posts/788164420008610?comment_id=982299053263604","https://www.facebook.com/454965103328545/posts/788164420008610?comment_id=982299053263604")</f>
        <v>https://www.facebook.com/454965103328545/posts/788164420008610?comment_id=982299053263604</v>
      </c>
      <c r="O1007">
        <v>0</v>
      </c>
      <c r="P1007">
        <v>0</v>
      </c>
      <c r="Q1007">
        <v>0</v>
      </c>
      <c r="S1007">
        <v>0</v>
      </c>
      <c r="T1007">
        <v>0</v>
      </c>
      <c r="U1007">
        <v>0</v>
      </c>
      <c r="W1007" t="s">
        <v>62</v>
      </c>
    </row>
    <row r="1008" spans="1:45" x14ac:dyDescent="0.35">
      <c r="A1008" t="s">
        <v>45</v>
      </c>
      <c r="B1008" t="s">
        <v>2328</v>
      </c>
      <c r="C1008" t="s">
        <v>47</v>
      </c>
      <c r="D1008" t="s">
        <v>445</v>
      </c>
      <c r="E1008" t="s">
        <v>445</v>
      </c>
      <c r="F1008" t="s">
        <v>142</v>
      </c>
      <c r="G1008" t="s">
        <v>473</v>
      </c>
      <c r="H1008" t="s">
        <v>2375</v>
      </c>
      <c r="J1008" t="str">
        <f>HYPERLINK("https://www.facebook.com/454965103328545/posts/788164420008610?comment_id=1798339200632534","https://www.facebook.com/454965103328545/posts/788164420008610?comment_id=1798339200632534")</f>
        <v>https://www.facebook.com/454965103328545/posts/788164420008610?comment_id=1798339200632534</v>
      </c>
      <c r="O1008">
        <v>0</v>
      </c>
      <c r="P1008">
        <v>0</v>
      </c>
      <c r="Q1008">
        <v>0</v>
      </c>
      <c r="S1008">
        <v>0</v>
      </c>
      <c r="T1008">
        <v>0</v>
      </c>
      <c r="U1008">
        <v>0</v>
      </c>
      <c r="W1008" t="s">
        <v>62</v>
      </c>
    </row>
    <row r="1009" spans="1:42" x14ac:dyDescent="0.35">
      <c r="A1009" t="s">
        <v>45</v>
      </c>
      <c r="B1009" t="s">
        <v>2328</v>
      </c>
      <c r="C1009" t="s">
        <v>47</v>
      </c>
      <c r="D1009" t="s">
        <v>445</v>
      </c>
      <c r="E1009" t="s">
        <v>445</v>
      </c>
      <c r="F1009" t="s">
        <v>49</v>
      </c>
      <c r="G1009" t="s">
        <v>477</v>
      </c>
      <c r="H1009" t="s">
        <v>2376</v>
      </c>
      <c r="J1009" t="str">
        <f>HYPERLINK("https://www.facebook.com/454965103328545/posts/788164420008610?comment_id=1101151244437741","https://www.facebook.com/454965103328545/posts/788164420008610?comment_id=1101151244437741")</f>
        <v>https://www.facebook.com/454965103328545/posts/788164420008610?comment_id=1101151244437741</v>
      </c>
      <c r="O1009">
        <v>0</v>
      </c>
      <c r="P1009">
        <v>0</v>
      </c>
      <c r="Q1009">
        <v>0</v>
      </c>
      <c r="S1009">
        <v>0</v>
      </c>
      <c r="T1009">
        <v>0</v>
      </c>
      <c r="U1009">
        <v>0</v>
      </c>
      <c r="W1009" t="s">
        <v>62</v>
      </c>
    </row>
    <row r="1010" spans="1:42" x14ac:dyDescent="0.35">
      <c r="A1010" t="s">
        <v>45</v>
      </c>
      <c r="B1010" t="s">
        <v>2328</v>
      </c>
      <c r="C1010" t="s">
        <v>47</v>
      </c>
      <c r="D1010" t="s">
        <v>445</v>
      </c>
      <c r="E1010" t="s">
        <v>445</v>
      </c>
      <c r="F1010" t="s">
        <v>142</v>
      </c>
      <c r="G1010" t="s">
        <v>473</v>
      </c>
      <c r="H1010" t="s">
        <v>2377</v>
      </c>
      <c r="J1010" t="str">
        <f>HYPERLINK("https://www.facebook.com/454965103328545/posts/788164420008610?comment_id=1079448666447432","https://www.facebook.com/454965103328545/posts/788164420008610?comment_id=1079448666447432")</f>
        <v>https://www.facebook.com/454965103328545/posts/788164420008610?comment_id=1079448666447432</v>
      </c>
      <c r="O1010">
        <v>0</v>
      </c>
      <c r="P1010">
        <v>0</v>
      </c>
      <c r="Q1010">
        <v>0</v>
      </c>
      <c r="S1010">
        <v>0</v>
      </c>
      <c r="T1010">
        <v>0</v>
      </c>
      <c r="U1010">
        <v>0</v>
      </c>
      <c r="W1010" t="s">
        <v>62</v>
      </c>
    </row>
    <row r="1011" spans="1:42" x14ac:dyDescent="0.35">
      <c r="A1011" t="s">
        <v>45</v>
      </c>
      <c r="B1011" t="s">
        <v>2328</v>
      </c>
      <c r="C1011" t="s">
        <v>47</v>
      </c>
      <c r="D1011" t="s">
        <v>445</v>
      </c>
      <c r="E1011" t="s">
        <v>445</v>
      </c>
      <c r="F1011" t="s">
        <v>49</v>
      </c>
      <c r="G1011" t="s">
        <v>477</v>
      </c>
      <c r="H1011" t="s">
        <v>2378</v>
      </c>
      <c r="J1011" t="str">
        <f>HYPERLINK("https://www.facebook.com/454965103328545/posts/788164420008610?comment_id=775551034492562","https://www.facebook.com/454965103328545/posts/788164420008610?comment_id=775551034492562")</f>
        <v>https://www.facebook.com/454965103328545/posts/788164420008610?comment_id=775551034492562</v>
      </c>
      <c r="O1011">
        <v>0</v>
      </c>
      <c r="P1011">
        <v>0</v>
      </c>
      <c r="Q1011">
        <v>0</v>
      </c>
      <c r="S1011">
        <v>0</v>
      </c>
      <c r="T1011">
        <v>0</v>
      </c>
      <c r="U1011">
        <v>0</v>
      </c>
      <c r="W1011" t="s">
        <v>62</v>
      </c>
    </row>
    <row r="1012" spans="1:42" x14ac:dyDescent="0.35">
      <c r="A1012" t="s">
        <v>45</v>
      </c>
      <c r="B1012" t="s">
        <v>2328</v>
      </c>
      <c r="C1012" t="s">
        <v>47</v>
      </c>
      <c r="D1012" t="s">
        <v>445</v>
      </c>
      <c r="E1012" t="s">
        <v>445</v>
      </c>
      <c r="F1012" t="s">
        <v>49</v>
      </c>
      <c r="G1012" t="s">
        <v>477</v>
      </c>
      <c r="H1012" t="s">
        <v>2379</v>
      </c>
      <c r="J1012" t="str">
        <f>HYPERLINK("https://www.facebook.com/454965103328545/posts/788164420008610?comment_id=1458312231702295","https://www.facebook.com/454965103328545/posts/788164420008610?comment_id=1458312231702295")</f>
        <v>https://www.facebook.com/454965103328545/posts/788164420008610?comment_id=1458312231702295</v>
      </c>
      <c r="O1012">
        <v>0</v>
      </c>
      <c r="P1012">
        <v>0</v>
      </c>
      <c r="Q1012">
        <v>0</v>
      </c>
      <c r="S1012">
        <v>0</v>
      </c>
      <c r="T1012">
        <v>0</v>
      </c>
      <c r="U1012">
        <v>0</v>
      </c>
      <c r="W1012" t="s">
        <v>62</v>
      </c>
    </row>
    <row r="1013" spans="1:42" x14ac:dyDescent="0.35">
      <c r="A1013" t="s">
        <v>45</v>
      </c>
      <c r="B1013" t="s">
        <v>2328</v>
      </c>
      <c r="C1013" t="s">
        <v>47</v>
      </c>
      <c r="D1013" t="s">
        <v>445</v>
      </c>
      <c r="E1013" t="s">
        <v>445</v>
      </c>
      <c r="F1013" t="s">
        <v>142</v>
      </c>
      <c r="G1013" t="s">
        <v>473</v>
      </c>
      <c r="H1013" t="s">
        <v>2380</v>
      </c>
      <c r="J1013" t="str">
        <f>HYPERLINK("https://www.facebook.com/454965103328545/posts/788164420008610?comment_id=1363854214282515","https://www.facebook.com/454965103328545/posts/788164420008610?comment_id=1363854214282515")</f>
        <v>https://www.facebook.com/454965103328545/posts/788164420008610?comment_id=1363854214282515</v>
      </c>
      <c r="O1013">
        <v>0</v>
      </c>
      <c r="P1013">
        <v>0</v>
      </c>
      <c r="Q1013">
        <v>0</v>
      </c>
      <c r="S1013">
        <v>0</v>
      </c>
      <c r="T1013">
        <v>0</v>
      </c>
      <c r="U1013">
        <v>0</v>
      </c>
      <c r="W1013" t="s">
        <v>62</v>
      </c>
    </row>
    <row r="1014" spans="1:42" x14ac:dyDescent="0.35">
      <c r="A1014" t="s">
        <v>45</v>
      </c>
      <c r="B1014" t="s">
        <v>2328</v>
      </c>
      <c r="C1014" t="s">
        <v>47</v>
      </c>
      <c r="D1014" t="s">
        <v>445</v>
      </c>
      <c r="E1014" t="s">
        <v>445</v>
      </c>
      <c r="F1014" t="s">
        <v>49</v>
      </c>
      <c r="G1014" t="s">
        <v>477</v>
      </c>
      <c r="H1014" t="s">
        <v>2381</v>
      </c>
      <c r="J1014" t="str">
        <f>HYPERLINK("https://www.facebook.com/454965103328545/posts/788164420008610?comment_id=7271081999581627","https://www.facebook.com/454965103328545/posts/788164420008610?comment_id=7271081999581627")</f>
        <v>https://www.facebook.com/454965103328545/posts/788164420008610?comment_id=7271081999581627</v>
      </c>
      <c r="O1014">
        <v>0</v>
      </c>
      <c r="P1014">
        <v>0</v>
      </c>
      <c r="Q1014">
        <v>0</v>
      </c>
      <c r="S1014">
        <v>0</v>
      </c>
      <c r="T1014">
        <v>0</v>
      </c>
      <c r="U1014">
        <v>0</v>
      </c>
      <c r="W1014" t="s">
        <v>62</v>
      </c>
    </row>
    <row r="1015" spans="1:42" x14ac:dyDescent="0.35">
      <c r="A1015" t="s">
        <v>45</v>
      </c>
      <c r="B1015" t="s">
        <v>2328</v>
      </c>
      <c r="C1015" t="s">
        <v>63</v>
      </c>
      <c r="D1015" t="s">
        <v>186</v>
      </c>
      <c r="E1015" t="s">
        <v>186</v>
      </c>
      <c r="F1015" t="s">
        <v>49</v>
      </c>
      <c r="G1015" t="s">
        <v>2382</v>
      </c>
      <c r="H1015" t="s">
        <v>2383</v>
      </c>
      <c r="J1015" t="str">
        <f>HYPERLINK("https://www.instagram.com/reel/C4iIT3yIyID/","https://www.instagram.com/reel/C4iIT3yIyID/")</f>
        <v>https://www.instagram.com/reel/C4iIT3yIyID/</v>
      </c>
      <c r="O1015">
        <v>0</v>
      </c>
      <c r="P1015">
        <v>0</v>
      </c>
      <c r="Q1015">
        <v>0</v>
      </c>
      <c r="S1015">
        <v>5</v>
      </c>
      <c r="T1015">
        <v>63</v>
      </c>
      <c r="U1015">
        <v>0</v>
      </c>
      <c r="W1015" t="s">
        <v>106</v>
      </c>
    </row>
    <row r="1016" spans="1:42" x14ac:dyDescent="0.35">
      <c r="A1016" t="s">
        <v>45</v>
      </c>
      <c r="B1016" t="s">
        <v>2328</v>
      </c>
      <c r="C1016" t="s">
        <v>47</v>
      </c>
      <c r="D1016" t="s">
        <v>45</v>
      </c>
      <c r="E1016" t="s">
        <v>45</v>
      </c>
      <c r="F1016" t="s">
        <v>49</v>
      </c>
      <c r="G1016" t="s">
        <v>2382</v>
      </c>
      <c r="H1016" t="s">
        <v>2384</v>
      </c>
      <c r="J1016" t="str">
        <f>HYPERLINK("https://www.facebook.com/357267201017935_788164420008610","https://www.facebook.com/357267201017935_788164420008610")</f>
        <v>https://www.facebook.com/357267201017935_788164420008610</v>
      </c>
      <c r="O1016">
        <v>0</v>
      </c>
      <c r="P1016">
        <v>0</v>
      </c>
      <c r="Q1016">
        <v>0</v>
      </c>
      <c r="S1016">
        <v>18</v>
      </c>
      <c r="T1016">
        <v>70</v>
      </c>
      <c r="U1016">
        <v>9</v>
      </c>
      <c r="W1016" t="s">
        <v>106</v>
      </c>
    </row>
    <row r="1017" spans="1:42" x14ac:dyDescent="0.35">
      <c r="A1017" t="s">
        <v>45</v>
      </c>
      <c r="B1017" t="s">
        <v>2328</v>
      </c>
      <c r="C1017" t="s">
        <v>139</v>
      </c>
      <c r="D1017" t="s">
        <v>190</v>
      </c>
      <c r="E1017" t="s">
        <v>45</v>
      </c>
      <c r="F1017" t="s">
        <v>49</v>
      </c>
      <c r="G1017" t="s">
        <v>2385</v>
      </c>
      <c r="H1017" t="s">
        <v>2386</v>
      </c>
      <c r="J1017" t="str">
        <f>HYPERLINK("https://twitter.com/FinoPaymntsBank/status/1768600532032045098","https://twitter.com/FinoPaymntsBank/status/1768600532032045098")</f>
        <v>https://twitter.com/FinoPaymntsBank/status/1768600532032045098</v>
      </c>
      <c r="K1017" t="s">
        <v>145</v>
      </c>
      <c r="O1017">
        <v>0</v>
      </c>
      <c r="P1017">
        <v>0</v>
      </c>
      <c r="Q1017">
        <v>8440</v>
      </c>
      <c r="R1017" t="s">
        <v>193</v>
      </c>
      <c r="S1017">
        <v>0</v>
      </c>
      <c r="T1017">
        <v>0</v>
      </c>
      <c r="U1017">
        <v>0</v>
      </c>
      <c r="W1017" t="s">
        <v>146</v>
      </c>
    </row>
    <row r="1018" spans="1:42" x14ac:dyDescent="0.35">
      <c r="A1018" t="s">
        <v>45</v>
      </c>
      <c r="B1018" t="s">
        <v>2328</v>
      </c>
      <c r="C1018" t="s">
        <v>139</v>
      </c>
      <c r="D1018" t="s">
        <v>2387</v>
      </c>
      <c r="E1018" t="s">
        <v>2388</v>
      </c>
      <c r="F1018" t="s">
        <v>49</v>
      </c>
      <c r="G1018" t="s">
        <v>2389</v>
      </c>
      <c r="H1018" t="s">
        <v>2390</v>
      </c>
      <c r="J1018" t="str">
        <f>HYPERLINK("https://twitter.com/vishnuagarwal64/status/1768599769289760837","https://twitter.com/vishnuagarwal64/status/1768599769289760837")</f>
        <v>https://twitter.com/vishnuagarwal64/status/1768599769289760837</v>
      </c>
      <c r="K1018" t="s">
        <v>145</v>
      </c>
      <c r="O1018">
        <v>0</v>
      </c>
      <c r="P1018">
        <v>0</v>
      </c>
      <c r="Q1018">
        <v>241</v>
      </c>
      <c r="R1018" t="s">
        <v>2391</v>
      </c>
      <c r="S1018">
        <v>0</v>
      </c>
      <c r="T1018">
        <v>0</v>
      </c>
      <c r="U1018">
        <v>0</v>
      </c>
      <c r="V1018" t="s">
        <v>642</v>
      </c>
      <c r="W1018" t="s">
        <v>146</v>
      </c>
    </row>
    <row r="1019" spans="1:42" x14ac:dyDescent="0.35">
      <c r="A1019" t="s">
        <v>45</v>
      </c>
      <c r="B1019" t="s">
        <v>2328</v>
      </c>
      <c r="C1019" t="s">
        <v>47</v>
      </c>
      <c r="D1019" t="s">
        <v>2335</v>
      </c>
      <c r="E1019" t="s">
        <v>2335</v>
      </c>
      <c r="F1019" t="s">
        <v>49</v>
      </c>
      <c r="H1019" t="s">
        <v>2392</v>
      </c>
      <c r="J1019" t="str">
        <f>HYPERLINK("https://www.facebook.com/454965103328545/posts/788580793300306?comment_id=420354383864910","https://www.facebook.com/454965103328545/posts/788580793300306?comment_id=420354383864910")</f>
        <v>https://www.facebook.com/454965103328545/posts/788580793300306?comment_id=420354383864910</v>
      </c>
      <c r="O1019">
        <v>0</v>
      </c>
      <c r="P1019">
        <v>0</v>
      </c>
      <c r="Q1019">
        <v>0</v>
      </c>
      <c r="S1019">
        <v>0</v>
      </c>
      <c r="T1019">
        <v>0</v>
      </c>
      <c r="U1019">
        <v>0</v>
      </c>
      <c r="W1019" t="s">
        <v>62</v>
      </c>
    </row>
    <row r="1020" spans="1:42" x14ac:dyDescent="0.35">
      <c r="A1020" t="s">
        <v>45</v>
      </c>
      <c r="B1020" t="s">
        <v>2328</v>
      </c>
      <c r="C1020" t="s">
        <v>58</v>
      </c>
      <c r="D1020" t="s">
        <v>2393</v>
      </c>
      <c r="E1020" t="s">
        <v>2393</v>
      </c>
      <c r="F1020" t="s">
        <v>49</v>
      </c>
      <c r="G1020" t="s">
        <v>2394</v>
      </c>
      <c r="H1020" t="s">
        <v>2395</v>
      </c>
      <c r="J1020" t="str">
        <f>HYPERLINK("https://www.youtube.com/watch?v=JO6-GWu7wZg&amp;lc=Ugw4g7tO0AHTNLH-QNR4AaABAg","https://www.youtube.com/watch?v=JO6-GWu7wZg&amp;lc=Ugw4g7tO0AHTNLH-QNR4AaABAg")</f>
        <v>https://www.youtube.com/watch?v=JO6-GWu7wZg&amp;lc=Ugw4g7tO0AHTNLH-QNR4AaABAg</v>
      </c>
      <c r="O1020">
        <v>0</v>
      </c>
      <c r="P1020">
        <v>0</v>
      </c>
      <c r="Q1020">
        <v>0</v>
      </c>
      <c r="S1020">
        <v>0</v>
      </c>
      <c r="T1020">
        <v>0</v>
      </c>
      <c r="U1020">
        <v>0</v>
      </c>
      <c r="W1020" t="s">
        <v>62</v>
      </c>
      <c r="AP1020" t="s">
        <v>94</v>
      </c>
    </row>
    <row r="1021" spans="1:42" x14ac:dyDescent="0.35">
      <c r="A1021" t="s">
        <v>45</v>
      </c>
      <c r="B1021" t="s">
        <v>2328</v>
      </c>
      <c r="C1021" t="s">
        <v>139</v>
      </c>
      <c r="D1021" t="s">
        <v>942</v>
      </c>
      <c r="E1021" t="s">
        <v>943</v>
      </c>
      <c r="F1021" t="s">
        <v>49</v>
      </c>
      <c r="G1021" t="s">
        <v>2396</v>
      </c>
      <c r="H1021" t="s">
        <v>2397</v>
      </c>
      <c r="J1021" t="str">
        <f>HYPERLINK("https://twitter.com/rajendras1819/status/1768580736523833744","https://twitter.com/rajendras1819/status/1768580736523833744")</f>
        <v>https://twitter.com/rajendras1819/status/1768580736523833744</v>
      </c>
      <c r="O1021">
        <v>0</v>
      </c>
      <c r="P1021">
        <v>0</v>
      </c>
      <c r="Q1021">
        <v>264</v>
      </c>
      <c r="R1021" t="s">
        <v>946</v>
      </c>
      <c r="S1021">
        <v>0</v>
      </c>
      <c r="T1021">
        <v>0</v>
      </c>
      <c r="U1021">
        <v>0</v>
      </c>
      <c r="W1021" t="s">
        <v>552</v>
      </c>
    </row>
    <row r="1022" spans="1:42" x14ac:dyDescent="0.35">
      <c r="A1022" t="s">
        <v>45</v>
      </c>
      <c r="B1022" t="s">
        <v>2328</v>
      </c>
      <c r="C1022" t="s">
        <v>47</v>
      </c>
      <c r="D1022" t="s">
        <v>445</v>
      </c>
      <c r="E1022" t="s">
        <v>445</v>
      </c>
      <c r="F1022" t="s">
        <v>49</v>
      </c>
      <c r="G1022" t="s">
        <v>475</v>
      </c>
      <c r="H1022" t="s">
        <v>2398</v>
      </c>
      <c r="J1022" t="str">
        <f>HYPERLINK("https://www.facebook.com/454965103328545/posts/788580793300306?comment_id=1624412715036775","https://www.facebook.com/454965103328545/posts/788580793300306?comment_id=1624412715036775")</f>
        <v>https://www.facebook.com/454965103328545/posts/788580793300306?comment_id=1624412715036775</v>
      </c>
      <c r="O1022">
        <v>0</v>
      </c>
      <c r="P1022">
        <v>0</v>
      </c>
      <c r="Q1022">
        <v>0</v>
      </c>
      <c r="S1022">
        <v>0</v>
      </c>
      <c r="T1022">
        <v>0</v>
      </c>
      <c r="U1022">
        <v>0</v>
      </c>
      <c r="W1022" t="s">
        <v>62</v>
      </c>
      <c r="AP1022" t="s">
        <v>101</v>
      </c>
    </row>
    <row r="1023" spans="1:42" x14ac:dyDescent="0.35">
      <c r="A1023" t="s">
        <v>45</v>
      </c>
      <c r="B1023" t="s">
        <v>2328</v>
      </c>
      <c r="C1023" t="s">
        <v>47</v>
      </c>
      <c r="D1023" t="s">
        <v>445</v>
      </c>
      <c r="E1023" t="s">
        <v>445</v>
      </c>
      <c r="F1023" t="s">
        <v>49</v>
      </c>
      <c r="G1023" t="s">
        <v>471</v>
      </c>
      <c r="H1023" t="s">
        <v>2399</v>
      </c>
      <c r="J1023" t="str">
        <f>HYPERLINK("https://www.facebook.com/454965103328545/posts/788580793300306?comment_id=411194384940535","https://www.facebook.com/454965103328545/posts/788580793300306?comment_id=411194384940535")</f>
        <v>https://www.facebook.com/454965103328545/posts/788580793300306?comment_id=411194384940535</v>
      </c>
      <c r="O1023">
        <v>0</v>
      </c>
      <c r="P1023">
        <v>0</v>
      </c>
      <c r="Q1023">
        <v>0</v>
      </c>
      <c r="S1023">
        <v>0</v>
      </c>
      <c r="T1023">
        <v>0</v>
      </c>
      <c r="U1023">
        <v>0</v>
      </c>
      <c r="W1023" t="s">
        <v>62</v>
      </c>
    </row>
    <row r="1024" spans="1:42" x14ac:dyDescent="0.35">
      <c r="A1024" t="s">
        <v>45</v>
      </c>
      <c r="B1024" t="s">
        <v>2328</v>
      </c>
      <c r="C1024" t="s">
        <v>47</v>
      </c>
      <c r="D1024" t="s">
        <v>445</v>
      </c>
      <c r="E1024" t="s">
        <v>445</v>
      </c>
      <c r="F1024" t="s">
        <v>49</v>
      </c>
      <c r="G1024" t="s">
        <v>2400</v>
      </c>
      <c r="H1024" t="s">
        <v>2401</v>
      </c>
      <c r="J1024" t="str">
        <f>HYPERLINK("https://www.facebook.com/454965103328545/posts/788580793300306?comment_id=3611666119085736","https://www.facebook.com/454965103328545/posts/788580793300306?comment_id=3611666119085736")</f>
        <v>https://www.facebook.com/454965103328545/posts/788580793300306?comment_id=3611666119085736</v>
      </c>
      <c r="O1024">
        <v>0</v>
      </c>
      <c r="P1024">
        <v>0</v>
      </c>
      <c r="Q1024">
        <v>0</v>
      </c>
      <c r="S1024">
        <v>0</v>
      </c>
      <c r="T1024">
        <v>0</v>
      </c>
      <c r="U1024">
        <v>0</v>
      </c>
      <c r="W1024" t="s">
        <v>62</v>
      </c>
    </row>
    <row r="1025" spans="1:42" x14ac:dyDescent="0.35">
      <c r="A1025" t="s">
        <v>45</v>
      </c>
      <c r="B1025" t="s">
        <v>2328</v>
      </c>
      <c r="C1025" t="s">
        <v>47</v>
      </c>
      <c r="D1025" t="s">
        <v>445</v>
      </c>
      <c r="E1025" t="s">
        <v>445</v>
      </c>
      <c r="F1025" t="s">
        <v>49</v>
      </c>
      <c r="G1025" t="s">
        <v>2402</v>
      </c>
      <c r="H1025" t="s">
        <v>2403</v>
      </c>
      <c r="J1025" t="str">
        <f>HYPERLINK("https://www.facebook.com/454965103328545/posts/788580793300306?comment_id=950524440004738","https://www.facebook.com/454965103328545/posts/788580793300306?comment_id=950524440004738")</f>
        <v>https://www.facebook.com/454965103328545/posts/788580793300306?comment_id=950524440004738</v>
      </c>
      <c r="O1025">
        <v>0</v>
      </c>
      <c r="P1025">
        <v>0</v>
      </c>
      <c r="Q1025">
        <v>0</v>
      </c>
      <c r="S1025">
        <v>0</v>
      </c>
      <c r="T1025">
        <v>0</v>
      </c>
      <c r="U1025">
        <v>0</v>
      </c>
      <c r="W1025" t="s">
        <v>62</v>
      </c>
    </row>
    <row r="1026" spans="1:42" x14ac:dyDescent="0.35">
      <c r="A1026" t="s">
        <v>45</v>
      </c>
      <c r="B1026" t="s">
        <v>2328</v>
      </c>
      <c r="C1026" t="s">
        <v>47</v>
      </c>
      <c r="D1026" t="s">
        <v>445</v>
      </c>
      <c r="E1026" t="s">
        <v>445</v>
      </c>
      <c r="F1026" t="s">
        <v>49</v>
      </c>
      <c r="G1026" t="s">
        <v>477</v>
      </c>
      <c r="H1026" t="s">
        <v>2404</v>
      </c>
      <c r="J1026" t="str">
        <f>HYPERLINK("https://www.facebook.com/454965103328545/posts/788580793300306?comment_id=1732658980558892","https://www.facebook.com/454965103328545/posts/788580793300306?comment_id=1732658980558892")</f>
        <v>https://www.facebook.com/454965103328545/posts/788580793300306?comment_id=1732658980558892</v>
      </c>
      <c r="O1026">
        <v>0</v>
      </c>
      <c r="P1026">
        <v>0</v>
      </c>
      <c r="Q1026">
        <v>0</v>
      </c>
      <c r="S1026">
        <v>0</v>
      </c>
      <c r="T1026">
        <v>0</v>
      </c>
      <c r="U1026">
        <v>0</v>
      </c>
      <c r="W1026" t="s">
        <v>62</v>
      </c>
    </row>
    <row r="1027" spans="1:42" x14ac:dyDescent="0.35">
      <c r="A1027" t="s">
        <v>45</v>
      </c>
      <c r="B1027" t="s">
        <v>2328</v>
      </c>
      <c r="C1027" t="s">
        <v>47</v>
      </c>
      <c r="D1027" t="s">
        <v>445</v>
      </c>
      <c r="E1027" t="s">
        <v>445</v>
      </c>
      <c r="F1027" t="s">
        <v>49</v>
      </c>
      <c r="G1027" t="s">
        <v>477</v>
      </c>
      <c r="H1027" t="s">
        <v>2405</v>
      </c>
      <c r="J1027" t="str">
        <f>HYPERLINK("https://www.facebook.com/454965103328545/posts/788580793300306?comment_id=329177213463202","https://www.facebook.com/454965103328545/posts/788580793300306?comment_id=329177213463202")</f>
        <v>https://www.facebook.com/454965103328545/posts/788580793300306?comment_id=329177213463202</v>
      </c>
      <c r="O1027">
        <v>0</v>
      </c>
      <c r="P1027">
        <v>0</v>
      </c>
      <c r="Q1027">
        <v>0</v>
      </c>
      <c r="S1027">
        <v>0</v>
      </c>
      <c r="T1027">
        <v>0</v>
      </c>
      <c r="U1027">
        <v>0</v>
      </c>
      <c r="W1027" t="s">
        <v>62</v>
      </c>
    </row>
    <row r="1028" spans="1:42" x14ac:dyDescent="0.35">
      <c r="A1028" t="s">
        <v>45</v>
      </c>
      <c r="B1028" t="s">
        <v>2328</v>
      </c>
      <c r="C1028" t="s">
        <v>47</v>
      </c>
      <c r="D1028" t="s">
        <v>445</v>
      </c>
      <c r="E1028" t="s">
        <v>445</v>
      </c>
      <c r="F1028" t="s">
        <v>142</v>
      </c>
      <c r="G1028" t="s">
        <v>473</v>
      </c>
      <c r="H1028" t="s">
        <v>2406</v>
      </c>
      <c r="J1028" t="str">
        <f>HYPERLINK("https://www.facebook.com/454965103328545/posts/788580793300306?comment_id=381104351407969","https://www.facebook.com/454965103328545/posts/788580793300306?comment_id=381104351407969")</f>
        <v>https://www.facebook.com/454965103328545/posts/788580793300306?comment_id=381104351407969</v>
      </c>
      <c r="O1028">
        <v>0</v>
      </c>
      <c r="P1028">
        <v>0</v>
      </c>
      <c r="Q1028">
        <v>0</v>
      </c>
      <c r="S1028">
        <v>0</v>
      </c>
      <c r="T1028">
        <v>0</v>
      </c>
      <c r="U1028">
        <v>0</v>
      </c>
      <c r="W1028" t="s">
        <v>62</v>
      </c>
    </row>
    <row r="1029" spans="1:42" x14ac:dyDescent="0.35">
      <c r="A1029" t="s">
        <v>45</v>
      </c>
      <c r="B1029" t="s">
        <v>2328</v>
      </c>
      <c r="C1029" t="s">
        <v>47</v>
      </c>
      <c r="D1029" t="s">
        <v>445</v>
      </c>
      <c r="E1029" t="s">
        <v>445</v>
      </c>
      <c r="F1029" t="s">
        <v>142</v>
      </c>
      <c r="G1029" t="s">
        <v>473</v>
      </c>
      <c r="H1029" t="s">
        <v>2407</v>
      </c>
      <c r="J1029" t="str">
        <f>HYPERLINK("https://www.facebook.com/454965103328545/posts/788580793300306?comment_id=1737573373314972","https://www.facebook.com/454965103328545/posts/788580793300306?comment_id=1737573373314972")</f>
        <v>https://www.facebook.com/454965103328545/posts/788580793300306?comment_id=1737573373314972</v>
      </c>
      <c r="O1029">
        <v>0</v>
      </c>
      <c r="P1029">
        <v>0</v>
      </c>
      <c r="Q1029">
        <v>0</v>
      </c>
      <c r="S1029">
        <v>0</v>
      </c>
      <c r="T1029">
        <v>0</v>
      </c>
      <c r="U1029">
        <v>0</v>
      </c>
      <c r="W1029" t="s">
        <v>62</v>
      </c>
    </row>
    <row r="1030" spans="1:42" x14ac:dyDescent="0.35">
      <c r="A1030" t="s">
        <v>45</v>
      </c>
      <c r="B1030" t="s">
        <v>2328</v>
      </c>
      <c r="C1030" t="s">
        <v>47</v>
      </c>
      <c r="D1030" t="s">
        <v>445</v>
      </c>
      <c r="E1030" t="s">
        <v>445</v>
      </c>
      <c r="F1030" t="s">
        <v>49</v>
      </c>
      <c r="G1030" t="s">
        <v>477</v>
      </c>
      <c r="H1030" t="s">
        <v>2408</v>
      </c>
      <c r="J1030" t="str">
        <f>HYPERLINK("https://www.facebook.com/454965103328545/posts/788580793300306?comment_id=717007563921026","https://www.facebook.com/454965103328545/posts/788580793300306?comment_id=717007563921026")</f>
        <v>https://www.facebook.com/454965103328545/posts/788580793300306?comment_id=717007563921026</v>
      </c>
      <c r="O1030">
        <v>0</v>
      </c>
      <c r="P1030">
        <v>0</v>
      </c>
      <c r="Q1030">
        <v>0</v>
      </c>
      <c r="S1030">
        <v>0</v>
      </c>
      <c r="T1030">
        <v>0</v>
      </c>
      <c r="U1030">
        <v>0</v>
      </c>
      <c r="W1030" t="s">
        <v>62</v>
      </c>
    </row>
    <row r="1031" spans="1:42" x14ac:dyDescent="0.35">
      <c r="A1031" t="s">
        <v>45</v>
      </c>
      <c r="B1031" t="s">
        <v>2328</v>
      </c>
      <c r="C1031" t="s">
        <v>47</v>
      </c>
      <c r="D1031" t="s">
        <v>445</v>
      </c>
      <c r="E1031" t="s">
        <v>445</v>
      </c>
      <c r="F1031" t="s">
        <v>142</v>
      </c>
      <c r="G1031" t="s">
        <v>473</v>
      </c>
      <c r="H1031" t="s">
        <v>2409</v>
      </c>
      <c r="J1031" t="str">
        <f>HYPERLINK("https://www.facebook.com/454965103328545/posts/788580793300306?comment_id=423655820332813","https://www.facebook.com/454965103328545/posts/788580793300306?comment_id=423655820332813")</f>
        <v>https://www.facebook.com/454965103328545/posts/788580793300306?comment_id=423655820332813</v>
      </c>
      <c r="O1031">
        <v>0</v>
      </c>
      <c r="P1031">
        <v>0</v>
      </c>
      <c r="Q1031">
        <v>0</v>
      </c>
      <c r="S1031">
        <v>0</v>
      </c>
      <c r="T1031">
        <v>0</v>
      </c>
      <c r="U1031">
        <v>0</v>
      </c>
      <c r="W1031" t="s">
        <v>62</v>
      </c>
    </row>
    <row r="1032" spans="1:42" x14ac:dyDescent="0.35">
      <c r="A1032" t="s">
        <v>45</v>
      </c>
      <c r="B1032" t="s">
        <v>2328</v>
      </c>
      <c r="C1032" t="s">
        <v>47</v>
      </c>
      <c r="D1032" t="s">
        <v>445</v>
      </c>
      <c r="E1032" t="s">
        <v>445</v>
      </c>
      <c r="F1032" t="s">
        <v>49</v>
      </c>
      <c r="G1032" t="s">
        <v>477</v>
      </c>
      <c r="H1032" t="s">
        <v>2410</v>
      </c>
      <c r="J1032" t="str">
        <f>HYPERLINK("https://www.facebook.com/454965103328545/posts/788580793300306?comment_id=1441516973128341","https://www.facebook.com/454965103328545/posts/788580793300306?comment_id=1441516973128341")</f>
        <v>https://www.facebook.com/454965103328545/posts/788580793300306?comment_id=1441516973128341</v>
      </c>
      <c r="O1032">
        <v>0</v>
      </c>
      <c r="P1032">
        <v>0</v>
      </c>
      <c r="Q1032">
        <v>0</v>
      </c>
      <c r="S1032">
        <v>0</v>
      </c>
      <c r="T1032">
        <v>0</v>
      </c>
      <c r="U1032">
        <v>0</v>
      </c>
      <c r="W1032" t="s">
        <v>62</v>
      </c>
    </row>
    <row r="1033" spans="1:42" x14ac:dyDescent="0.35">
      <c r="A1033" t="s">
        <v>45</v>
      </c>
      <c r="B1033" t="s">
        <v>2328</v>
      </c>
      <c r="C1033" t="s">
        <v>47</v>
      </c>
      <c r="D1033" t="s">
        <v>445</v>
      </c>
      <c r="E1033" t="s">
        <v>445</v>
      </c>
      <c r="F1033" t="s">
        <v>49</v>
      </c>
      <c r="G1033" t="s">
        <v>477</v>
      </c>
      <c r="H1033" t="s">
        <v>2411</v>
      </c>
      <c r="J1033" t="str">
        <f>HYPERLINK("https://www.facebook.com/454965103328545/posts/788580793300306?comment_id=326664397075925","https://www.facebook.com/454965103328545/posts/788580793300306?comment_id=326664397075925")</f>
        <v>https://www.facebook.com/454965103328545/posts/788580793300306?comment_id=326664397075925</v>
      </c>
      <c r="O1033">
        <v>0</v>
      </c>
      <c r="P1033">
        <v>0</v>
      </c>
      <c r="Q1033">
        <v>0</v>
      </c>
      <c r="S1033">
        <v>0</v>
      </c>
      <c r="T1033">
        <v>0</v>
      </c>
      <c r="U1033">
        <v>0</v>
      </c>
      <c r="W1033" t="s">
        <v>62</v>
      </c>
    </row>
    <row r="1034" spans="1:42" x14ac:dyDescent="0.35">
      <c r="A1034" t="s">
        <v>45</v>
      </c>
      <c r="B1034" t="s">
        <v>2328</v>
      </c>
      <c r="C1034" t="s">
        <v>47</v>
      </c>
      <c r="D1034" t="s">
        <v>445</v>
      </c>
      <c r="E1034" t="s">
        <v>445</v>
      </c>
      <c r="F1034" t="s">
        <v>142</v>
      </c>
      <c r="G1034" t="s">
        <v>473</v>
      </c>
      <c r="H1034" t="s">
        <v>2412</v>
      </c>
      <c r="J1034" t="str">
        <f>HYPERLINK("https://www.facebook.com/454965103328545/posts/788580793300306?comment_id=773186711024339","https://www.facebook.com/454965103328545/posts/788580793300306?comment_id=773186711024339")</f>
        <v>https://www.facebook.com/454965103328545/posts/788580793300306?comment_id=773186711024339</v>
      </c>
      <c r="O1034">
        <v>0</v>
      </c>
      <c r="P1034">
        <v>0</v>
      </c>
      <c r="Q1034">
        <v>0</v>
      </c>
      <c r="S1034">
        <v>0</v>
      </c>
      <c r="T1034">
        <v>0</v>
      </c>
      <c r="U1034">
        <v>0</v>
      </c>
      <c r="W1034" t="s">
        <v>62</v>
      </c>
    </row>
    <row r="1035" spans="1:42" x14ac:dyDescent="0.35">
      <c r="A1035" t="s">
        <v>45</v>
      </c>
      <c r="B1035" t="s">
        <v>2328</v>
      </c>
      <c r="C1035" t="s">
        <v>47</v>
      </c>
      <c r="D1035" t="s">
        <v>2413</v>
      </c>
      <c r="E1035" t="s">
        <v>2413</v>
      </c>
      <c r="F1035" t="s">
        <v>49</v>
      </c>
      <c r="G1035" t="s">
        <v>2414</v>
      </c>
      <c r="H1035" t="s">
        <v>2415</v>
      </c>
      <c r="J1035" t="str">
        <f>HYPERLINK("https://www.facebook.com/454965103328545/posts/788580793300306?comment_id=719312910381660","https://www.facebook.com/454965103328545/posts/788580793300306?comment_id=719312910381660")</f>
        <v>https://www.facebook.com/454965103328545/posts/788580793300306?comment_id=719312910381660</v>
      </c>
      <c r="O1035">
        <v>0</v>
      </c>
      <c r="P1035">
        <v>0</v>
      </c>
      <c r="Q1035">
        <v>0</v>
      </c>
      <c r="S1035">
        <v>0</v>
      </c>
      <c r="T1035">
        <v>0</v>
      </c>
      <c r="U1035">
        <v>0</v>
      </c>
      <c r="W1035" t="s">
        <v>62</v>
      </c>
      <c r="AP1035" t="s">
        <v>101</v>
      </c>
    </row>
    <row r="1036" spans="1:42" x14ac:dyDescent="0.35">
      <c r="A1036" t="s">
        <v>45</v>
      </c>
      <c r="B1036" t="s">
        <v>2328</v>
      </c>
      <c r="C1036" t="s">
        <v>63</v>
      </c>
      <c r="D1036" t="s">
        <v>186</v>
      </c>
      <c r="E1036" t="s">
        <v>186</v>
      </c>
      <c r="F1036" t="s">
        <v>49</v>
      </c>
      <c r="G1036" t="s">
        <v>2416</v>
      </c>
      <c r="H1036" t="s">
        <v>2417</v>
      </c>
      <c r="J1036" t="str">
        <f>HYPERLINK("https://www.instagram.com/p/C4h6j-7rgdn/","https://www.instagram.com/p/C4h6j-7rgdn/")</f>
        <v>https://www.instagram.com/p/C4h6j-7rgdn/</v>
      </c>
      <c r="O1036">
        <v>0</v>
      </c>
      <c r="P1036">
        <v>0</v>
      </c>
      <c r="Q1036">
        <v>0</v>
      </c>
      <c r="S1036">
        <v>0</v>
      </c>
      <c r="T1036">
        <v>43</v>
      </c>
      <c r="U1036">
        <v>0</v>
      </c>
      <c r="W1036" t="s">
        <v>106</v>
      </c>
    </row>
    <row r="1037" spans="1:42" x14ac:dyDescent="0.35">
      <c r="A1037" t="s">
        <v>45</v>
      </c>
      <c r="B1037" t="s">
        <v>2328</v>
      </c>
      <c r="C1037" t="s">
        <v>47</v>
      </c>
      <c r="D1037" t="s">
        <v>45</v>
      </c>
      <c r="E1037" t="s">
        <v>45</v>
      </c>
      <c r="F1037" t="s">
        <v>49</v>
      </c>
      <c r="G1037" t="s">
        <v>2416</v>
      </c>
      <c r="H1037" t="s">
        <v>2418</v>
      </c>
      <c r="J1037" t="str">
        <f>HYPERLINK("https://www.facebook.com/357267201017935_788580793300306","https://www.facebook.com/357267201017935_788580793300306")</f>
        <v>https://www.facebook.com/357267201017935_788580793300306</v>
      </c>
      <c r="O1037">
        <v>0</v>
      </c>
      <c r="P1037">
        <v>0</v>
      </c>
      <c r="Q1037">
        <v>0</v>
      </c>
      <c r="S1037">
        <v>15</v>
      </c>
      <c r="T1037">
        <v>52</v>
      </c>
      <c r="U1037">
        <v>3</v>
      </c>
      <c r="W1037" t="s">
        <v>106</v>
      </c>
    </row>
    <row r="1038" spans="1:42" x14ac:dyDescent="0.35">
      <c r="A1038" t="s">
        <v>45</v>
      </c>
      <c r="B1038" t="s">
        <v>2328</v>
      </c>
      <c r="C1038" t="s">
        <v>139</v>
      </c>
      <c r="D1038" t="s">
        <v>190</v>
      </c>
      <c r="E1038" t="s">
        <v>45</v>
      </c>
      <c r="F1038" t="s">
        <v>49</v>
      </c>
      <c r="G1038" t="s">
        <v>2396</v>
      </c>
      <c r="H1038" t="s">
        <v>2419</v>
      </c>
      <c r="J1038" t="str">
        <f>HYPERLINK("https://twitter.com/FinoPaymntsBank/status/1768570334674890892","https://twitter.com/FinoPaymntsBank/status/1768570334674890892")</f>
        <v>https://twitter.com/FinoPaymntsBank/status/1768570334674890892</v>
      </c>
      <c r="K1038" t="s">
        <v>145</v>
      </c>
      <c r="O1038">
        <v>0</v>
      </c>
      <c r="P1038">
        <v>0</v>
      </c>
      <c r="Q1038">
        <v>8442</v>
      </c>
      <c r="R1038" t="s">
        <v>193</v>
      </c>
      <c r="S1038">
        <v>0</v>
      </c>
      <c r="T1038">
        <v>0</v>
      </c>
      <c r="U1038">
        <v>0</v>
      </c>
      <c r="W1038" t="s">
        <v>146</v>
      </c>
    </row>
    <row r="1039" spans="1:42" x14ac:dyDescent="0.35">
      <c r="A1039" t="s">
        <v>45</v>
      </c>
      <c r="B1039" t="s">
        <v>2328</v>
      </c>
      <c r="C1039" t="s">
        <v>139</v>
      </c>
      <c r="D1039" t="s">
        <v>726</v>
      </c>
      <c r="E1039" t="s">
        <v>727</v>
      </c>
      <c r="F1039" t="s">
        <v>49</v>
      </c>
      <c r="G1039" t="s">
        <v>2420</v>
      </c>
      <c r="H1039" t="s">
        <v>2421</v>
      </c>
      <c r="J1039" t="str">
        <f>HYPERLINK("https://twitter.com/AkashYakov92580/status/1768569423596757303","https://twitter.com/AkashYakov92580/status/1768569423596757303")</f>
        <v>https://twitter.com/AkashYakov92580/status/1768569423596757303</v>
      </c>
      <c r="K1039" t="s">
        <v>145</v>
      </c>
      <c r="O1039">
        <v>0</v>
      </c>
      <c r="P1039">
        <v>0</v>
      </c>
      <c r="Q1039">
        <v>0</v>
      </c>
      <c r="S1039">
        <v>0</v>
      </c>
      <c r="T1039">
        <v>0</v>
      </c>
      <c r="U1039">
        <v>0</v>
      </c>
      <c r="W1039" t="s">
        <v>146</v>
      </c>
    </row>
    <row r="1040" spans="1:42" x14ac:dyDescent="0.35">
      <c r="A1040" t="s">
        <v>45</v>
      </c>
      <c r="B1040" t="s">
        <v>2328</v>
      </c>
      <c r="C1040" t="s">
        <v>139</v>
      </c>
      <c r="D1040" t="s">
        <v>2013</v>
      </c>
      <c r="E1040" t="s">
        <v>2014</v>
      </c>
      <c r="F1040" t="s">
        <v>49</v>
      </c>
      <c r="G1040" t="s">
        <v>2422</v>
      </c>
      <c r="H1040" t="s">
        <v>2423</v>
      </c>
      <c r="J1040" t="str">
        <f>HYPERLINK("https://twitter.com/acpdileep/status/1768567652845510880","https://twitter.com/acpdileep/status/1768567652845510880")</f>
        <v>https://twitter.com/acpdileep/status/1768567652845510880</v>
      </c>
      <c r="O1040">
        <v>0</v>
      </c>
      <c r="P1040">
        <v>0</v>
      </c>
      <c r="Q1040">
        <v>99</v>
      </c>
      <c r="R1040" t="s">
        <v>582</v>
      </c>
      <c r="S1040">
        <v>0</v>
      </c>
      <c r="T1040">
        <v>0</v>
      </c>
      <c r="U1040">
        <v>0</v>
      </c>
      <c r="W1040" t="s">
        <v>146</v>
      </c>
    </row>
    <row r="1041" spans="1:42" x14ac:dyDescent="0.35">
      <c r="A1041" t="s">
        <v>45</v>
      </c>
      <c r="B1041" t="s">
        <v>2328</v>
      </c>
      <c r="C1041" t="s">
        <v>139</v>
      </c>
      <c r="D1041" t="s">
        <v>2013</v>
      </c>
      <c r="E1041" t="s">
        <v>2014</v>
      </c>
      <c r="F1041" t="s">
        <v>49</v>
      </c>
      <c r="G1041" t="s">
        <v>2424</v>
      </c>
      <c r="H1041" t="s">
        <v>2425</v>
      </c>
      <c r="J1041" t="str">
        <f>HYPERLINK("https://twitter.com/acpdileep/status/1768565050975862833","https://twitter.com/acpdileep/status/1768565050975862833")</f>
        <v>https://twitter.com/acpdileep/status/1768565050975862833</v>
      </c>
      <c r="O1041">
        <v>0</v>
      </c>
      <c r="P1041">
        <v>0</v>
      </c>
      <c r="Q1041">
        <v>99</v>
      </c>
      <c r="R1041" t="s">
        <v>582</v>
      </c>
      <c r="S1041">
        <v>0</v>
      </c>
      <c r="T1041">
        <v>0</v>
      </c>
      <c r="U1041">
        <v>0</v>
      </c>
      <c r="W1041" t="s">
        <v>146</v>
      </c>
      <c r="AP1041" t="s">
        <v>147</v>
      </c>
    </row>
    <row r="1042" spans="1:42" x14ac:dyDescent="0.35">
      <c r="A1042" t="s">
        <v>45</v>
      </c>
      <c r="B1042" t="s">
        <v>2328</v>
      </c>
      <c r="C1042" t="s">
        <v>139</v>
      </c>
      <c r="D1042" t="s">
        <v>726</v>
      </c>
      <c r="E1042" t="s">
        <v>727</v>
      </c>
      <c r="F1042" t="s">
        <v>49</v>
      </c>
      <c r="G1042" t="s">
        <v>2426</v>
      </c>
      <c r="H1042" t="s">
        <v>2427</v>
      </c>
      <c r="J1042" t="str">
        <f>HYPERLINK("https://twitter.com/AkashYakov92580/status/1768563852453859395","https://twitter.com/AkashYakov92580/status/1768563852453859395")</f>
        <v>https://twitter.com/AkashYakov92580/status/1768563852453859395</v>
      </c>
      <c r="K1042" t="s">
        <v>145</v>
      </c>
      <c r="O1042">
        <v>0</v>
      </c>
      <c r="P1042">
        <v>0</v>
      </c>
      <c r="Q1042">
        <v>0</v>
      </c>
      <c r="S1042">
        <v>0</v>
      </c>
      <c r="T1042">
        <v>0</v>
      </c>
      <c r="U1042">
        <v>0</v>
      </c>
      <c r="W1042" t="s">
        <v>146</v>
      </c>
    </row>
    <row r="1043" spans="1:42" x14ac:dyDescent="0.35">
      <c r="A1043" t="s">
        <v>45</v>
      </c>
      <c r="B1043" t="s">
        <v>2328</v>
      </c>
      <c r="C1043" t="s">
        <v>139</v>
      </c>
      <c r="D1043" t="s">
        <v>726</v>
      </c>
      <c r="E1043" t="s">
        <v>727</v>
      </c>
      <c r="F1043" t="s">
        <v>49</v>
      </c>
      <c r="G1043" t="s">
        <v>2428</v>
      </c>
      <c r="H1043" t="s">
        <v>2429</v>
      </c>
      <c r="J1043" t="str">
        <f>HYPERLINK("https://twitter.com/AkashYakov92580/status/1768563381920030764","https://twitter.com/AkashYakov92580/status/1768563381920030764")</f>
        <v>https://twitter.com/AkashYakov92580/status/1768563381920030764</v>
      </c>
      <c r="K1043" t="s">
        <v>145</v>
      </c>
      <c r="O1043">
        <v>0</v>
      </c>
      <c r="P1043">
        <v>0</v>
      </c>
      <c r="Q1043">
        <v>0</v>
      </c>
      <c r="S1043">
        <v>0</v>
      </c>
      <c r="T1043">
        <v>0</v>
      </c>
      <c r="U1043">
        <v>0</v>
      </c>
      <c r="W1043" t="s">
        <v>146</v>
      </c>
    </row>
    <row r="1044" spans="1:42" x14ac:dyDescent="0.35">
      <c r="A1044" t="s">
        <v>45</v>
      </c>
      <c r="B1044" t="s">
        <v>2328</v>
      </c>
      <c r="C1044" t="s">
        <v>139</v>
      </c>
      <c r="D1044" t="s">
        <v>726</v>
      </c>
      <c r="E1044" t="s">
        <v>727</v>
      </c>
      <c r="F1044" t="s">
        <v>49</v>
      </c>
      <c r="G1044" t="s">
        <v>2430</v>
      </c>
      <c r="H1044" t="s">
        <v>2431</v>
      </c>
      <c r="J1044" t="str">
        <f>HYPERLINK("https://twitter.com/AkashYakov92580/status/1768561414141263996","https://twitter.com/AkashYakov92580/status/1768561414141263996")</f>
        <v>https://twitter.com/AkashYakov92580/status/1768561414141263996</v>
      </c>
      <c r="K1044" t="s">
        <v>145</v>
      </c>
      <c r="O1044">
        <v>0</v>
      </c>
      <c r="P1044">
        <v>0</v>
      </c>
      <c r="Q1044">
        <v>0</v>
      </c>
      <c r="S1044">
        <v>0</v>
      </c>
      <c r="T1044">
        <v>0</v>
      </c>
      <c r="U1044">
        <v>0</v>
      </c>
      <c r="W1044" t="s">
        <v>146</v>
      </c>
    </row>
    <row r="1045" spans="1:42" x14ac:dyDescent="0.35">
      <c r="A1045" t="s">
        <v>45</v>
      </c>
      <c r="B1045" t="s">
        <v>2328</v>
      </c>
      <c r="C1045" t="s">
        <v>139</v>
      </c>
      <c r="D1045" t="s">
        <v>2013</v>
      </c>
      <c r="E1045" t="s">
        <v>2014</v>
      </c>
      <c r="F1045" t="s">
        <v>142</v>
      </c>
      <c r="G1045" t="s">
        <v>2432</v>
      </c>
      <c r="H1045" t="s">
        <v>2433</v>
      </c>
      <c r="J1045" t="str">
        <f>HYPERLINK("https://twitter.com/acpdileep/status/1768561227528315172","https://twitter.com/acpdileep/status/1768561227528315172")</f>
        <v>https://twitter.com/acpdileep/status/1768561227528315172</v>
      </c>
      <c r="O1045">
        <v>0</v>
      </c>
      <c r="P1045">
        <v>0</v>
      </c>
      <c r="Q1045">
        <v>99</v>
      </c>
      <c r="R1045" t="s">
        <v>582</v>
      </c>
      <c r="S1045">
        <v>0</v>
      </c>
      <c r="T1045">
        <v>0</v>
      </c>
      <c r="U1045">
        <v>0</v>
      </c>
      <c r="W1045" t="s">
        <v>146</v>
      </c>
    </row>
    <row r="1046" spans="1:42" x14ac:dyDescent="0.35">
      <c r="A1046" t="s">
        <v>45</v>
      </c>
      <c r="B1046" t="s">
        <v>2328</v>
      </c>
      <c r="C1046" t="s">
        <v>47</v>
      </c>
      <c r="D1046" t="s">
        <v>2434</v>
      </c>
      <c r="E1046" t="s">
        <v>2434</v>
      </c>
      <c r="F1046" t="s">
        <v>49</v>
      </c>
      <c r="G1046" t="s">
        <v>2435</v>
      </c>
      <c r="H1046" t="s">
        <v>2436</v>
      </c>
      <c r="J1046" t="str">
        <f>HYPERLINK("https://www.facebook.com/550813220380256/posts/923237046471203","https://www.facebook.com/550813220380256/posts/923237046471203")</f>
        <v>https://www.facebook.com/550813220380256/posts/923237046471203</v>
      </c>
      <c r="O1046">
        <v>0</v>
      </c>
      <c r="P1046">
        <v>0</v>
      </c>
      <c r="Q1046">
        <v>0</v>
      </c>
      <c r="S1046">
        <v>0</v>
      </c>
      <c r="T1046">
        <v>0</v>
      </c>
      <c r="U1046">
        <v>0</v>
      </c>
      <c r="W1046" t="s">
        <v>106</v>
      </c>
    </row>
    <row r="1047" spans="1:42" x14ac:dyDescent="0.35">
      <c r="A1047" t="s">
        <v>45</v>
      </c>
      <c r="B1047" t="s">
        <v>2328</v>
      </c>
      <c r="C1047" t="s">
        <v>47</v>
      </c>
      <c r="F1047" t="s">
        <v>49</v>
      </c>
      <c r="G1047" t="s">
        <v>2435</v>
      </c>
      <c r="H1047" t="s">
        <v>2437</v>
      </c>
      <c r="J1047" t="str">
        <f>HYPERLINK("https://www.facebook.com/3836796876358033_3629710870617188","https://www.facebook.com/3836796876358033_3629710870617188")</f>
        <v>https://www.facebook.com/3836796876358033_3629710870617188</v>
      </c>
      <c r="O1047">
        <v>0</v>
      </c>
      <c r="P1047">
        <v>0</v>
      </c>
      <c r="Q1047">
        <v>0</v>
      </c>
      <c r="S1047">
        <v>0</v>
      </c>
      <c r="T1047">
        <v>0</v>
      </c>
      <c r="U1047">
        <v>0</v>
      </c>
      <c r="W1047" t="s">
        <v>106</v>
      </c>
    </row>
    <row r="1048" spans="1:42" x14ac:dyDescent="0.35">
      <c r="A1048" t="s">
        <v>45</v>
      </c>
      <c r="B1048" t="s">
        <v>2328</v>
      </c>
      <c r="C1048" t="s">
        <v>47</v>
      </c>
      <c r="D1048" t="s">
        <v>2438</v>
      </c>
      <c r="E1048" t="s">
        <v>2438</v>
      </c>
      <c r="F1048" t="s">
        <v>49</v>
      </c>
      <c r="G1048" t="s">
        <v>2439</v>
      </c>
      <c r="H1048" t="s">
        <v>2440</v>
      </c>
      <c r="J1048" t="str">
        <f>HYPERLINK("https://www.facebook.com/357267201017935/inbox/7160265257384728/","https://www.facebook.com/357267201017935/inbox/7160265257384728/")</f>
        <v>https://www.facebook.com/357267201017935/inbox/7160265257384728/</v>
      </c>
      <c r="O1048">
        <v>0</v>
      </c>
      <c r="P1048">
        <v>0</v>
      </c>
      <c r="Q1048">
        <v>0</v>
      </c>
      <c r="S1048">
        <v>0</v>
      </c>
      <c r="T1048">
        <v>0</v>
      </c>
      <c r="U1048">
        <v>0</v>
      </c>
      <c r="W1048" t="s">
        <v>52</v>
      </c>
    </row>
    <row r="1049" spans="1:42" x14ac:dyDescent="0.35">
      <c r="A1049" t="s">
        <v>45</v>
      </c>
      <c r="B1049" t="s">
        <v>2328</v>
      </c>
      <c r="C1049" t="s">
        <v>47</v>
      </c>
      <c r="D1049" t="s">
        <v>2441</v>
      </c>
      <c r="E1049" t="s">
        <v>2441</v>
      </c>
      <c r="F1049" t="s">
        <v>76</v>
      </c>
      <c r="G1049" t="s">
        <v>2442</v>
      </c>
      <c r="H1049" t="s">
        <v>2443</v>
      </c>
      <c r="J1049" t="str">
        <f>HYPERLINK("https://www.facebook.com/454965103328545/posts/788577633300622?comment_id=940169750974079","https://www.facebook.com/454965103328545/posts/788577633300622?comment_id=940169750974079")</f>
        <v>https://www.facebook.com/454965103328545/posts/788577633300622?comment_id=940169750974079</v>
      </c>
      <c r="O1049">
        <v>0</v>
      </c>
      <c r="P1049">
        <v>0</v>
      </c>
      <c r="Q1049">
        <v>0</v>
      </c>
      <c r="S1049">
        <v>0</v>
      </c>
      <c r="T1049">
        <v>0</v>
      </c>
      <c r="U1049">
        <v>0</v>
      </c>
      <c r="W1049" t="s">
        <v>62</v>
      </c>
    </row>
    <row r="1050" spans="1:42" x14ac:dyDescent="0.35">
      <c r="A1050" t="s">
        <v>45</v>
      </c>
      <c r="B1050" t="s">
        <v>2328</v>
      </c>
      <c r="C1050" t="s">
        <v>47</v>
      </c>
      <c r="D1050" t="s">
        <v>2413</v>
      </c>
      <c r="E1050" t="s">
        <v>2413</v>
      </c>
      <c r="F1050" t="s">
        <v>49</v>
      </c>
      <c r="G1050" t="s">
        <v>2444</v>
      </c>
      <c r="H1050" t="s">
        <v>2445</v>
      </c>
      <c r="J1050" t="str">
        <f>HYPERLINK("https://www.facebook.com/454965103328545/posts/788577633300622?comment_id=779103297045479","https://www.facebook.com/454965103328545/posts/788577633300622?comment_id=779103297045479")</f>
        <v>https://www.facebook.com/454965103328545/posts/788577633300622?comment_id=779103297045479</v>
      </c>
      <c r="O1050">
        <v>0</v>
      </c>
      <c r="P1050">
        <v>0</v>
      </c>
      <c r="Q1050">
        <v>0</v>
      </c>
      <c r="S1050">
        <v>0</v>
      </c>
      <c r="T1050">
        <v>0</v>
      </c>
      <c r="U1050">
        <v>0</v>
      </c>
      <c r="W1050" t="s">
        <v>62</v>
      </c>
    </row>
    <row r="1051" spans="1:42" x14ac:dyDescent="0.35">
      <c r="A1051" t="s">
        <v>45</v>
      </c>
      <c r="B1051" t="s">
        <v>2328</v>
      </c>
      <c r="C1051" t="s">
        <v>47</v>
      </c>
      <c r="D1051" t="s">
        <v>2335</v>
      </c>
      <c r="E1051" t="s">
        <v>2335</v>
      </c>
      <c r="F1051" t="s">
        <v>49</v>
      </c>
      <c r="G1051" t="s">
        <v>2446</v>
      </c>
      <c r="H1051" t="s">
        <v>2447</v>
      </c>
      <c r="J1051" t="str">
        <f>HYPERLINK("https://www.facebook.com/454965103328545/posts/788577633300622?comment_id=405322465428042","https://www.facebook.com/454965103328545/posts/788577633300622?comment_id=405322465428042")</f>
        <v>https://www.facebook.com/454965103328545/posts/788577633300622?comment_id=405322465428042</v>
      </c>
      <c r="O1051">
        <v>0</v>
      </c>
      <c r="P1051">
        <v>0</v>
      </c>
      <c r="Q1051">
        <v>0</v>
      </c>
      <c r="S1051">
        <v>0</v>
      </c>
      <c r="T1051">
        <v>0</v>
      </c>
      <c r="U1051">
        <v>0</v>
      </c>
      <c r="W1051" t="s">
        <v>62</v>
      </c>
    </row>
    <row r="1052" spans="1:42" x14ac:dyDescent="0.35">
      <c r="A1052" t="s">
        <v>45</v>
      </c>
      <c r="B1052" t="s">
        <v>2328</v>
      </c>
      <c r="C1052" t="s">
        <v>58</v>
      </c>
      <c r="D1052" t="s">
        <v>2448</v>
      </c>
      <c r="E1052" t="s">
        <v>2448</v>
      </c>
      <c r="F1052" t="s">
        <v>49</v>
      </c>
      <c r="G1052" t="s">
        <v>2449</v>
      </c>
      <c r="H1052" t="s">
        <v>2450</v>
      </c>
      <c r="J1052" t="str">
        <f>HYPERLINK("https://www.youtube.com/watch?v=Y0u8kJ1Zu6U","https://www.youtube.com/watch?v=Y0u8kJ1Zu6U")</f>
        <v>https://www.youtube.com/watch?v=Y0u8kJ1Zu6U</v>
      </c>
      <c r="O1052">
        <v>0</v>
      </c>
      <c r="P1052">
        <v>0</v>
      </c>
      <c r="Q1052">
        <v>0</v>
      </c>
      <c r="S1052">
        <v>0</v>
      </c>
      <c r="T1052">
        <v>0</v>
      </c>
      <c r="U1052">
        <v>0</v>
      </c>
      <c r="W1052" t="s">
        <v>106</v>
      </c>
    </row>
    <row r="1053" spans="1:42" x14ac:dyDescent="0.35">
      <c r="A1053" t="s">
        <v>45</v>
      </c>
      <c r="B1053" t="s">
        <v>2328</v>
      </c>
      <c r="C1053" t="s">
        <v>47</v>
      </c>
      <c r="D1053" t="s">
        <v>445</v>
      </c>
      <c r="E1053" t="s">
        <v>445</v>
      </c>
      <c r="F1053" t="s">
        <v>49</v>
      </c>
      <c r="G1053" t="s">
        <v>2451</v>
      </c>
      <c r="H1053" t="s">
        <v>2452</v>
      </c>
      <c r="J1053" t="str">
        <f>HYPERLINK("https://www.facebook.com/454965103328545/posts/788577633300622?comment_id=982825156601607","https://www.facebook.com/454965103328545/posts/788577633300622?comment_id=982825156601607")</f>
        <v>https://www.facebook.com/454965103328545/posts/788577633300622?comment_id=982825156601607</v>
      </c>
      <c r="O1053">
        <v>0</v>
      </c>
      <c r="P1053">
        <v>0</v>
      </c>
      <c r="Q1053">
        <v>0</v>
      </c>
      <c r="S1053">
        <v>0</v>
      </c>
      <c r="T1053">
        <v>0</v>
      </c>
      <c r="U1053">
        <v>0</v>
      </c>
      <c r="W1053" t="s">
        <v>62</v>
      </c>
    </row>
    <row r="1054" spans="1:42" x14ac:dyDescent="0.35">
      <c r="A1054" t="s">
        <v>45</v>
      </c>
      <c r="B1054" t="s">
        <v>2328</v>
      </c>
      <c r="C1054" t="s">
        <v>47</v>
      </c>
      <c r="D1054" t="s">
        <v>445</v>
      </c>
      <c r="E1054" t="s">
        <v>445</v>
      </c>
      <c r="F1054" t="s">
        <v>49</v>
      </c>
      <c r="G1054" t="s">
        <v>2453</v>
      </c>
      <c r="H1054" t="s">
        <v>2454</v>
      </c>
      <c r="J1054" t="str">
        <f>HYPERLINK("https://www.facebook.com/454965103328545/posts/788577633300622?comment_id=391448960403087","https://www.facebook.com/454965103328545/posts/788577633300622?comment_id=391448960403087")</f>
        <v>https://www.facebook.com/454965103328545/posts/788577633300622?comment_id=391448960403087</v>
      </c>
      <c r="O1054">
        <v>0</v>
      </c>
      <c r="P1054">
        <v>0</v>
      </c>
      <c r="Q1054">
        <v>0</v>
      </c>
      <c r="S1054">
        <v>0</v>
      </c>
      <c r="T1054">
        <v>0</v>
      </c>
      <c r="U1054">
        <v>0</v>
      </c>
      <c r="W1054" t="s">
        <v>62</v>
      </c>
    </row>
    <row r="1055" spans="1:42" x14ac:dyDescent="0.35">
      <c r="A1055" t="s">
        <v>45</v>
      </c>
      <c r="B1055" t="s">
        <v>2328</v>
      </c>
      <c r="C1055" t="s">
        <v>47</v>
      </c>
      <c r="D1055" t="s">
        <v>445</v>
      </c>
      <c r="E1055" t="s">
        <v>445</v>
      </c>
      <c r="F1055" t="s">
        <v>142</v>
      </c>
      <c r="G1055" t="s">
        <v>2455</v>
      </c>
      <c r="H1055" t="s">
        <v>2456</v>
      </c>
      <c r="J1055" t="str">
        <f>HYPERLINK("https://www.facebook.com/454965103328545/posts/788577633300622?comment_id=372969102273080","https://www.facebook.com/454965103328545/posts/788577633300622?comment_id=372969102273080")</f>
        <v>https://www.facebook.com/454965103328545/posts/788577633300622?comment_id=372969102273080</v>
      </c>
      <c r="O1055">
        <v>0</v>
      </c>
      <c r="P1055">
        <v>0</v>
      </c>
      <c r="Q1055">
        <v>0</v>
      </c>
      <c r="S1055">
        <v>0</v>
      </c>
      <c r="T1055">
        <v>0</v>
      </c>
      <c r="U1055">
        <v>0</v>
      </c>
      <c r="W1055" t="s">
        <v>62</v>
      </c>
    </row>
    <row r="1056" spans="1:42" x14ac:dyDescent="0.35">
      <c r="A1056" t="s">
        <v>45</v>
      </c>
      <c r="B1056" t="s">
        <v>2328</v>
      </c>
      <c r="C1056" t="s">
        <v>47</v>
      </c>
      <c r="D1056" t="s">
        <v>445</v>
      </c>
      <c r="E1056" t="s">
        <v>445</v>
      </c>
      <c r="F1056" t="s">
        <v>142</v>
      </c>
      <c r="G1056" t="s">
        <v>2457</v>
      </c>
      <c r="H1056" t="s">
        <v>2458</v>
      </c>
      <c r="J1056" t="str">
        <f>HYPERLINK("https://www.facebook.com/454965103328545/posts/788577633300622?comment_id=946055173924328","https://www.facebook.com/454965103328545/posts/788577633300622?comment_id=946055173924328")</f>
        <v>https://www.facebook.com/454965103328545/posts/788577633300622?comment_id=946055173924328</v>
      </c>
      <c r="O1056">
        <v>0</v>
      </c>
      <c r="P1056">
        <v>0</v>
      </c>
      <c r="Q1056">
        <v>0</v>
      </c>
      <c r="S1056">
        <v>0</v>
      </c>
      <c r="T1056">
        <v>0</v>
      </c>
      <c r="U1056">
        <v>0</v>
      </c>
      <c r="W1056" t="s">
        <v>62</v>
      </c>
    </row>
    <row r="1057" spans="1:23" x14ac:dyDescent="0.35">
      <c r="A1057" t="s">
        <v>45</v>
      </c>
      <c r="B1057" t="s">
        <v>2328</v>
      </c>
      <c r="C1057" t="s">
        <v>47</v>
      </c>
      <c r="D1057" t="s">
        <v>445</v>
      </c>
      <c r="E1057" t="s">
        <v>445</v>
      </c>
      <c r="F1057" t="s">
        <v>142</v>
      </c>
      <c r="G1057" t="s">
        <v>473</v>
      </c>
      <c r="H1057" t="s">
        <v>2459</v>
      </c>
      <c r="J1057" t="str">
        <f>HYPERLINK("https://www.facebook.com/454965103328545/posts/788577633300622?comment_id=434099239279359","https://www.facebook.com/454965103328545/posts/788577633300622?comment_id=434099239279359")</f>
        <v>https://www.facebook.com/454965103328545/posts/788577633300622?comment_id=434099239279359</v>
      </c>
      <c r="O1057">
        <v>0</v>
      </c>
      <c r="P1057">
        <v>0</v>
      </c>
      <c r="Q1057">
        <v>0</v>
      </c>
      <c r="S1057">
        <v>0</v>
      </c>
      <c r="T1057">
        <v>0</v>
      </c>
      <c r="U1057">
        <v>0</v>
      </c>
      <c r="W1057" t="s">
        <v>62</v>
      </c>
    </row>
    <row r="1058" spans="1:23" x14ac:dyDescent="0.35">
      <c r="A1058" t="s">
        <v>45</v>
      </c>
      <c r="B1058" t="s">
        <v>2328</v>
      </c>
      <c r="C1058" t="s">
        <v>47</v>
      </c>
      <c r="D1058" t="s">
        <v>445</v>
      </c>
      <c r="E1058" t="s">
        <v>445</v>
      </c>
      <c r="F1058" t="s">
        <v>49</v>
      </c>
      <c r="G1058" t="s">
        <v>477</v>
      </c>
      <c r="H1058" t="s">
        <v>2460</v>
      </c>
      <c r="J1058" t="str">
        <f>HYPERLINK("https://www.facebook.com/454965103328545/posts/788577633300622?comment_id=379048871608561","https://www.facebook.com/454965103328545/posts/788577633300622?comment_id=379048871608561")</f>
        <v>https://www.facebook.com/454965103328545/posts/788577633300622?comment_id=379048871608561</v>
      </c>
      <c r="O1058">
        <v>0</v>
      </c>
      <c r="P1058">
        <v>0</v>
      </c>
      <c r="Q1058">
        <v>0</v>
      </c>
      <c r="S1058">
        <v>0</v>
      </c>
      <c r="T1058">
        <v>0</v>
      </c>
      <c r="U1058">
        <v>0</v>
      </c>
      <c r="W1058" t="s">
        <v>62</v>
      </c>
    </row>
    <row r="1059" spans="1:23" x14ac:dyDescent="0.35">
      <c r="A1059" t="s">
        <v>45</v>
      </c>
      <c r="B1059" t="s">
        <v>2328</v>
      </c>
      <c r="C1059" t="s">
        <v>47</v>
      </c>
      <c r="D1059" t="s">
        <v>445</v>
      </c>
      <c r="E1059" t="s">
        <v>445</v>
      </c>
      <c r="F1059" t="s">
        <v>142</v>
      </c>
      <c r="G1059" t="s">
        <v>473</v>
      </c>
      <c r="H1059" t="s">
        <v>2461</v>
      </c>
      <c r="J1059" t="str">
        <f>HYPERLINK("https://www.facebook.com/454965103328545/posts/788577633300622?comment_id=1118016116060469","https://www.facebook.com/454965103328545/posts/788577633300622?comment_id=1118016116060469")</f>
        <v>https://www.facebook.com/454965103328545/posts/788577633300622?comment_id=1118016116060469</v>
      </c>
      <c r="O1059">
        <v>0</v>
      </c>
      <c r="P1059">
        <v>0</v>
      </c>
      <c r="Q1059">
        <v>0</v>
      </c>
      <c r="S1059">
        <v>0</v>
      </c>
      <c r="T1059">
        <v>0</v>
      </c>
      <c r="U1059">
        <v>0</v>
      </c>
      <c r="W1059" t="s">
        <v>62</v>
      </c>
    </row>
    <row r="1060" spans="1:23" x14ac:dyDescent="0.35">
      <c r="A1060" t="s">
        <v>45</v>
      </c>
      <c r="B1060" t="s">
        <v>2328</v>
      </c>
      <c r="C1060" t="s">
        <v>47</v>
      </c>
      <c r="D1060" t="s">
        <v>445</v>
      </c>
      <c r="E1060" t="s">
        <v>445</v>
      </c>
      <c r="F1060" t="s">
        <v>49</v>
      </c>
      <c r="G1060" t="s">
        <v>477</v>
      </c>
      <c r="H1060" t="s">
        <v>2462</v>
      </c>
      <c r="J1060" t="str">
        <f>HYPERLINK("https://www.facebook.com/454965103328545/posts/788577633300622?comment_id=805544364935273","https://www.facebook.com/454965103328545/posts/788577633300622?comment_id=805544364935273")</f>
        <v>https://www.facebook.com/454965103328545/posts/788577633300622?comment_id=805544364935273</v>
      </c>
      <c r="O1060">
        <v>0</v>
      </c>
      <c r="P1060">
        <v>0</v>
      </c>
      <c r="Q1060">
        <v>0</v>
      </c>
      <c r="S1060">
        <v>0</v>
      </c>
      <c r="T1060">
        <v>0</v>
      </c>
      <c r="U1060">
        <v>0</v>
      </c>
      <c r="W1060" t="s">
        <v>62</v>
      </c>
    </row>
    <row r="1061" spans="1:23" x14ac:dyDescent="0.35">
      <c r="A1061" t="s">
        <v>45</v>
      </c>
      <c r="B1061" t="s">
        <v>2328</v>
      </c>
      <c r="C1061" t="s">
        <v>47</v>
      </c>
      <c r="D1061" t="s">
        <v>445</v>
      </c>
      <c r="E1061" t="s">
        <v>445</v>
      </c>
      <c r="F1061" t="s">
        <v>142</v>
      </c>
      <c r="G1061" t="s">
        <v>473</v>
      </c>
      <c r="H1061" t="s">
        <v>2463</v>
      </c>
      <c r="J1061" t="str">
        <f>HYPERLINK("https://www.facebook.com/454965103328545/posts/788577633300622?comment_id=1578769939634871","https://www.facebook.com/454965103328545/posts/788577633300622?comment_id=1578769939634871")</f>
        <v>https://www.facebook.com/454965103328545/posts/788577633300622?comment_id=1578769939634871</v>
      </c>
      <c r="O1061">
        <v>0</v>
      </c>
      <c r="P1061">
        <v>0</v>
      </c>
      <c r="Q1061">
        <v>0</v>
      </c>
      <c r="S1061">
        <v>0</v>
      </c>
      <c r="T1061">
        <v>0</v>
      </c>
      <c r="U1061">
        <v>0</v>
      </c>
      <c r="W1061" t="s">
        <v>62</v>
      </c>
    </row>
    <row r="1062" spans="1:23" x14ac:dyDescent="0.35">
      <c r="A1062" t="s">
        <v>45</v>
      </c>
      <c r="B1062" t="s">
        <v>2328</v>
      </c>
      <c r="C1062" t="s">
        <v>47</v>
      </c>
      <c r="D1062" t="s">
        <v>445</v>
      </c>
      <c r="E1062" t="s">
        <v>445</v>
      </c>
      <c r="F1062" t="s">
        <v>49</v>
      </c>
      <c r="G1062" t="s">
        <v>477</v>
      </c>
      <c r="H1062" t="s">
        <v>2464</v>
      </c>
      <c r="J1062" t="str">
        <f>HYPERLINK("https://www.facebook.com/454965103328545/posts/788577633300622?comment_id=1442512873006045","https://www.facebook.com/454965103328545/posts/788577633300622?comment_id=1442512873006045")</f>
        <v>https://www.facebook.com/454965103328545/posts/788577633300622?comment_id=1442512873006045</v>
      </c>
      <c r="O1062">
        <v>0</v>
      </c>
      <c r="P1062">
        <v>0</v>
      </c>
      <c r="Q1062">
        <v>0</v>
      </c>
      <c r="S1062">
        <v>0</v>
      </c>
      <c r="T1062">
        <v>0</v>
      </c>
      <c r="U1062">
        <v>0</v>
      </c>
      <c r="W1062" t="s">
        <v>62</v>
      </c>
    </row>
    <row r="1063" spans="1:23" x14ac:dyDescent="0.35">
      <c r="A1063" t="s">
        <v>45</v>
      </c>
      <c r="B1063" t="s">
        <v>2328</v>
      </c>
      <c r="C1063" t="s">
        <v>47</v>
      </c>
      <c r="D1063" t="s">
        <v>445</v>
      </c>
      <c r="E1063" t="s">
        <v>445</v>
      </c>
      <c r="F1063" t="s">
        <v>142</v>
      </c>
      <c r="G1063" t="s">
        <v>473</v>
      </c>
      <c r="H1063" t="s">
        <v>2465</v>
      </c>
      <c r="J1063" t="str">
        <f>HYPERLINK("https://www.facebook.com/454965103328545/posts/788577633300622?comment_id=1023295542498360","https://www.facebook.com/454965103328545/posts/788577633300622?comment_id=1023295542498360")</f>
        <v>https://www.facebook.com/454965103328545/posts/788577633300622?comment_id=1023295542498360</v>
      </c>
      <c r="O1063">
        <v>0</v>
      </c>
      <c r="P1063">
        <v>0</v>
      </c>
      <c r="Q1063">
        <v>0</v>
      </c>
      <c r="S1063">
        <v>0</v>
      </c>
      <c r="T1063">
        <v>0</v>
      </c>
      <c r="U1063">
        <v>0</v>
      </c>
      <c r="W1063" t="s">
        <v>62</v>
      </c>
    </row>
    <row r="1064" spans="1:23" x14ac:dyDescent="0.35">
      <c r="A1064" t="s">
        <v>45</v>
      </c>
      <c r="B1064" t="s">
        <v>2328</v>
      </c>
      <c r="C1064" t="s">
        <v>47</v>
      </c>
      <c r="D1064" t="s">
        <v>445</v>
      </c>
      <c r="E1064" t="s">
        <v>445</v>
      </c>
      <c r="F1064" t="s">
        <v>49</v>
      </c>
      <c r="G1064" t="s">
        <v>477</v>
      </c>
      <c r="H1064" t="s">
        <v>2466</v>
      </c>
      <c r="J1064" t="str">
        <f>HYPERLINK("https://www.facebook.com/454965103328545/posts/788577633300622?comment_id=953781509610337","https://www.facebook.com/454965103328545/posts/788577633300622?comment_id=953781509610337")</f>
        <v>https://www.facebook.com/454965103328545/posts/788577633300622?comment_id=953781509610337</v>
      </c>
      <c r="O1064">
        <v>0</v>
      </c>
      <c r="P1064">
        <v>0</v>
      </c>
      <c r="Q1064">
        <v>0</v>
      </c>
      <c r="S1064">
        <v>0</v>
      </c>
      <c r="T1064">
        <v>0</v>
      </c>
      <c r="U1064">
        <v>0</v>
      </c>
      <c r="W1064" t="s">
        <v>62</v>
      </c>
    </row>
    <row r="1065" spans="1:23" x14ac:dyDescent="0.35">
      <c r="A1065" t="s">
        <v>45</v>
      </c>
      <c r="B1065" t="s">
        <v>2328</v>
      </c>
      <c r="C1065" t="s">
        <v>47</v>
      </c>
      <c r="D1065" t="s">
        <v>445</v>
      </c>
      <c r="E1065" t="s">
        <v>445</v>
      </c>
      <c r="F1065" t="s">
        <v>49</v>
      </c>
      <c r="G1065" t="s">
        <v>477</v>
      </c>
      <c r="H1065" t="s">
        <v>2467</v>
      </c>
      <c r="J1065" t="str">
        <f>HYPERLINK("https://www.facebook.com/454965103328545/posts/788577633300622?comment_id=420515537298681","https://www.facebook.com/454965103328545/posts/788577633300622?comment_id=420515537298681")</f>
        <v>https://www.facebook.com/454965103328545/posts/788577633300622?comment_id=420515537298681</v>
      </c>
      <c r="O1065">
        <v>0</v>
      </c>
      <c r="P1065">
        <v>0</v>
      </c>
      <c r="Q1065">
        <v>0</v>
      </c>
      <c r="S1065">
        <v>0</v>
      </c>
      <c r="T1065">
        <v>0</v>
      </c>
      <c r="U1065">
        <v>0</v>
      </c>
      <c r="W1065" t="s">
        <v>62</v>
      </c>
    </row>
    <row r="1066" spans="1:23" x14ac:dyDescent="0.35">
      <c r="A1066" t="s">
        <v>45</v>
      </c>
      <c r="B1066" t="s">
        <v>2328</v>
      </c>
      <c r="C1066" t="s">
        <v>47</v>
      </c>
      <c r="D1066" t="s">
        <v>445</v>
      </c>
      <c r="E1066" t="s">
        <v>445</v>
      </c>
      <c r="F1066" t="s">
        <v>142</v>
      </c>
      <c r="G1066" t="s">
        <v>473</v>
      </c>
      <c r="H1066" t="s">
        <v>2468</v>
      </c>
      <c r="J1066" t="str">
        <f>HYPERLINK("https://www.facebook.com/454965103328545/posts/788577633300622?comment_id=782530036652227","https://www.facebook.com/454965103328545/posts/788577633300622?comment_id=782530036652227")</f>
        <v>https://www.facebook.com/454965103328545/posts/788577633300622?comment_id=782530036652227</v>
      </c>
      <c r="O1066">
        <v>0</v>
      </c>
      <c r="P1066">
        <v>0</v>
      </c>
      <c r="Q1066">
        <v>0</v>
      </c>
      <c r="S1066">
        <v>0</v>
      </c>
      <c r="T1066">
        <v>0</v>
      </c>
      <c r="U1066">
        <v>0</v>
      </c>
      <c r="W1066" t="s">
        <v>62</v>
      </c>
    </row>
    <row r="1067" spans="1:23" x14ac:dyDescent="0.35">
      <c r="A1067" t="s">
        <v>45</v>
      </c>
      <c r="B1067" t="s">
        <v>2328</v>
      </c>
      <c r="C1067" t="s">
        <v>47</v>
      </c>
      <c r="D1067" t="s">
        <v>445</v>
      </c>
      <c r="E1067" t="s">
        <v>445</v>
      </c>
      <c r="F1067" t="s">
        <v>142</v>
      </c>
      <c r="G1067" t="s">
        <v>473</v>
      </c>
      <c r="H1067" t="s">
        <v>2469</v>
      </c>
      <c r="J1067" t="str">
        <f>HYPERLINK("https://www.facebook.com/454965103328545/posts/788577633300622?comment_id=934732804982262","https://www.facebook.com/454965103328545/posts/788577633300622?comment_id=934732804982262")</f>
        <v>https://www.facebook.com/454965103328545/posts/788577633300622?comment_id=934732804982262</v>
      </c>
      <c r="O1067">
        <v>0</v>
      </c>
      <c r="P1067">
        <v>0</v>
      </c>
      <c r="Q1067">
        <v>0</v>
      </c>
      <c r="S1067">
        <v>0</v>
      </c>
      <c r="T1067">
        <v>0</v>
      </c>
      <c r="U1067">
        <v>0</v>
      </c>
      <c r="W1067" t="s">
        <v>62</v>
      </c>
    </row>
    <row r="1068" spans="1:23" x14ac:dyDescent="0.35">
      <c r="A1068" t="s">
        <v>45</v>
      </c>
      <c r="B1068" t="s">
        <v>2328</v>
      </c>
      <c r="C1068" t="s">
        <v>139</v>
      </c>
      <c r="D1068" t="s">
        <v>726</v>
      </c>
      <c r="E1068" t="s">
        <v>727</v>
      </c>
      <c r="F1068" t="s">
        <v>49</v>
      </c>
      <c r="G1068" t="s">
        <v>2470</v>
      </c>
      <c r="H1068" t="s">
        <v>2471</v>
      </c>
      <c r="J1068" t="str">
        <f>HYPERLINK("https://twitter.com/AkashYakov92580/status/1768529142226813201","https://twitter.com/AkashYakov92580/status/1768529142226813201")</f>
        <v>https://twitter.com/AkashYakov92580/status/1768529142226813201</v>
      </c>
      <c r="K1068" t="s">
        <v>145</v>
      </c>
      <c r="O1068">
        <v>0</v>
      </c>
      <c r="P1068">
        <v>0</v>
      </c>
      <c r="Q1068">
        <v>0</v>
      </c>
      <c r="S1068">
        <v>0</v>
      </c>
      <c r="T1068">
        <v>0</v>
      </c>
      <c r="U1068">
        <v>0</v>
      </c>
      <c r="W1068" t="s">
        <v>146</v>
      </c>
    </row>
    <row r="1069" spans="1:23" x14ac:dyDescent="0.35">
      <c r="A1069" t="s">
        <v>45</v>
      </c>
      <c r="B1069" t="s">
        <v>2328</v>
      </c>
      <c r="C1069" t="s">
        <v>102</v>
      </c>
      <c r="D1069" t="s">
        <v>965</v>
      </c>
      <c r="E1069" t="s">
        <v>965</v>
      </c>
      <c r="F1069" t="s">
        <v>49</v>
      </c>
      <c r="G1069" t="s">
        <v>2472</v>
      </c>
      <c r="H1069" t="s">
        <v>2473</v>
      </c>
      <c r="J1069" t="str">
        <f>HYPERLINK("https://www.linkedin.com/feed/update/urn:li:share:7174293873068830720","https://www.linkedin.com/feed/update/urn:li:share:7174293873068830720")</f>
        <v>https://www.linkedin.com/feed/update/urn:li:share:7174293873068830720</v>
      </c>
      <c r="O1069">
        <v>0</v>
      </c>
      <c r="P1069">
        <v>0</v>
      </c>
      <c r="Q1069">
        <v>0</v>
      </c>
      <c r="S1069">
        <v>0</v>
      </c>
      <c r="T1069">
        <v>46</v>
      </c>
      <c r="U1069">
        <v>0</v>
      </c>
      <c r="W1069" t="s">
        <v>106</v>
      </c>
    </row>
    <row r="1070" spans="1:23" x14ac:dyDescent="0.35">
      <c r="A1070" t="s">
        <v>45</v>
      </c>
      <c r="B1070" t="s">
        <v>2328</v>
      </c>
      <c r="C1070" t="s">
        <v>102</v>
      </c>
      <c r="D1070" t="s">
        <v>965</v>
      </c>
      <c r="E1070" t="s">
        <v>965</v>
      </c>
      <c r="F1070" t="s">
        <v>49</v>
      </c>
      <c r="G1070" t="s">
        <v>2474</v>
      </c>
      <c r="H1070" t="s">
        <v>2475</v>
      </c>
      <c r="J1070" t="str">
        <f>HYPERLINK("https://www.linkedin.com/feed/update/urn:li:share:7174291986403737603","https://www.linkedin.com/feed/update/urn:li:share:7174291986403737603")</f>
        <v>https://www.linkedin.com/feed/update/urn:li:share:7174291986403737603</v>
      </c>
      <c r="O1070">
        <v>0</v>
      </c>
      <c r="P1070">
        <v>0</v>
      </c>
      <c r="Q1070">
        <v>0</v>
      </c>
      <c r="S1070">
        <v>0</v>
      </c>
      <c r="T1070">
        <v>39</v>
      </c>
      <c r="U1070">
        <v>0</v>
      </c>
      <c r="W1070" t="s">
        <v>106</v>
      </c>
    </row>
    <row r="1071" spans="1:23" x14ac:dyDescent="0.35">
      <c r="A1071" t="s">
        <v>45</v>
      </c>
      <c r="B1071" t="s">
        <v>2328</v>
      </c>
      <c r="C1071" t="s">
        <v>139</v>
      </c>
      <c r="D1071" t="s">
        <v>190</v>
      </c>
      <c r="E1071" t="s">
        <v>45</v>
      </c>
      <c r="F1071" t="s">
        <v>49</v>
      </c>
      <c r="G1071" t="s">
        <v>2476</v>
      </c>
      <c r="H1071" t="s">
        <v>2477</v>
      </c>
      <c r="J1071" t="str">
        <f>HYPERLINK("https://twitter.com/FinoPaymntsBank/status/1768525922506858814","https://twitter.com/FinoPaymntsBank/status/1768525922506858814")</f>
        <v>https://twitter.com/FinoPaymntsBank/status/1768525922506858814</v>
      </c>
      <c r="K1071" t="s">
        <v>145</v>
      </c>
      <c r="O1071">
        <v>0</v>
      </c>
      <c r="P1071">
        <v>0</v>
      </c>
      <c r="Q1071">
        <v>8442</v>
      </c>
      <c r="R1071" t="s">
        <v>193</v>
      </c>
      <c r="S1071">
        <v>0</v>
      </c>
      <c r="T1071">
        <v>0</v>
      </c>
      <c r="U1071">
        <v>0</v>
      </c>
      <c r="W1071" t="s">
        <v>146</v>
      </c>
    </row>
    <row r="1072" spans="1:23" x14ac:dyDescent="0.35">
      <c r="A1072" t="s">
        <v>45</v>
      </c>
      <c r="B1072" t="s">
        <v>2328</v>
      </c>
      <c r="C1072" t="s">
        <v>63</v>
      </c>
      <c r="D1072" t="s">
        <v>186</v>
      </c>
      <c r="E1072" t="s">
        <v>186</v>
      </c>
      <c r="F1072" t="s">
        <v>49</v>
      </c>
      <c r="G1072" t="s">
        <v>2478</v>
      </c>
      <c r="H1072" t="s">
        <v>2479</v>
      </c>
      <c r="J1072" t="str">
        <f>HYPERLINK("https://www.instagram.com/p/C4hmTw1vb-H/","https://www.instagram.com/p/C4hmTw1vb-H/")</f>
        <v>https://www.instagram.com/p/C4hmTw1vb-H/</v>
      </c>
      <c r="O1072">
        <v>0</v>
      </c>
      <c r="P1072">
        <v>0</v>
      </c>
      <c r="Q1072">
        <v>0</v>
      </c>
      <c r="S1072">
        <v>1</v>
      </c>
      <c r="T1072">
        <v>75</v>
      </c>
      <c r="U1072">
        <v>0</v>
      </c>
      <c r="W1072" t="s">
        <v>106</v>
      </c>
    </row>
    <row r="1073" spans="1:42" x14ac:dyDescent="0.35">
      <c r="A1073" t="s">
        <v>45</v>
      </c>
      <c r="B1073" t="s">
        <v>2328</v>
      </c>
      <c r="C1073" t="s">
        <v>47</v>
      </c>
      <c r="D1073" t="s">
        <v>45</v>
      </c>
      <c r="E1073" t="s">
        <v>45</v>
      </c>
      <c r="F1073" t="s">
        <v>49</v>
      </c>
      <c r="G1073" t="s">
        <v>2478</v>
      </c>
      <c r="H1073" t="s">
        <v>2480</v>
      </c>
      <c r="J1073" t="str">
        <f>HYPERLINK("https://www.facebook.com/357267201017935_788577633300622","https://www.facebook.com/357267201017935_788577633300622")</f>
        <v>https://www.facebook.com/357267201017935_788577633300622</v>
      </c>
      <c r="O1073">
        <v>0</v>
      </c>
      <c r="P1073">
        <v>0</v>
      </c>
      <c r="Q1073">
        <v>0</v>
      </c>
      <c r="S1073">
        <v>19</v>
      </c>
      <c r="T1073">
        <v>84</v>
      </c>
      <c r="U1073">
        <v>5</v>
      </c>
      <c r="W1073" t="s">
        <v>106</v>
      </c>
    </row>
    <row r="1074" spans="1:42" x14ac:dyDescent="0.35">
      <c r="A1074" t="s">
        <v>45</v>
      </c>
      <c r="B1074" t="s">
        <v>2328</v>
      </c>
      <c r="C1074" t="s">
        <v>47</v>
      </c>
      <c r="D1074" t="s">
        <v>445</v>
      </c>
      <c r="E1074" t="s">
        <v>445</v>
      </c>
      <c r="F1074" t="s">
        <v>49</v>
      </c>
      <c r="G1074" t="s">
        <v>1618</v>
      </c>
      <c r="H1074" t="s">
        <v>2481</v>
      </c>
      <c r="J1074" t="str">
        <f>HYPERLINK("https://www.facebook.com/454965103328545/posts/788234163334969?comment_id=377867298383545","https://www.facebook.com/454965103328545/posts/788234163334969?comment_id=377867298383545")</f>
        <v>https://www.facebook.com/454965103328545/posts/788234163334969?comment_id=377867298383545</v>
      </c>
      <c r="O1074">
        <v>0</v>
      </c>
      <c r="P1074">
        <v>0</v>
      </c>
      <c r="Q1074">
        <v>0</v>
      </c>
      <c r="S1074">
        <v>0</v>
      </c>
      <c r="T1074">
        <v>0</v>
      </c>
      <c r="U1074">
        <v>0</v>
      </c>
      <c r="W1074" t="s">
        <v>62</v>
      </c>
    </row>
    <row r="1075" spans="1:42" x14ac:dyDescent="0.35">
      <c r="A1075" t="s">
        <v>45</v>
      </c>
      <c r="B1075" t="s">
        <v>2328</v>
      </c>
      <c r="C1075" t="s">
        <v>58</v>
      </c>
      <c r="D1075" t="s">
        <v>2482</v>
      </c>
      <c r="E1075" t="s">
        <v>2482</v>
      </c>
      <c r="F1075" t="s">
        <v>49</v>
      </c>
      <c r="G1075" t="s">
        <v>2483</v>
      </c>
      <c r="H1075" t="s">
        <v>2484</v>
      </c>
      <c r="J1075" t="str">
        <f>HYPERLINK("https://www.youtube.com/watch?v=DD3L29w9F5M&amp;lc=UgzPSyTzGAapaFs26_V4AaABAg","https://www.youtube.com/watch?v=DD3L29w9F5M&amp;lc=UgzPSyTzGAapaFs26_V4AaABAg")</f>
        <v>https://www.youtube.com/watch?v=DD3L29w9F5M&amp;lc=UgzPSyTzGAapaFs26_V4AaABAg</v>
      </c>
      <c r="O1075">
        <v>0</v>
      </c>
      <c r="P1075">
        <v>0</v>
      </c>
      <c r="Q1075">
        <v>0</v>
      </c>
      <c r="S1075">
        <v>0</v>
      </c>
      <c r="T1075">
        <v>0</v>
      </c>
      <c r="U1075">
        <v>0</v>
      </c>
      <c r="W1075" t="s">
        <v>62</v>
      </c>
      <c r="AP1075" t="s">
        <v>147</v>
      </c>
    </row>
    <row r="1076" spans="1:42" x14ac:dyDescent="0.35">
      <c r="A1076" t="s">
        <v>45</v>
      </c>
      <c r="B1076" t="s">
        <v>2328</v>
      </c>
      <c r="C1076" t="s">
        <v>58</v>
      </c>
      <c r="D1076" t="s">
        <v>2482</v>
      </c>
      <c r="E1076" t="s">
        <v>2482</v>
      </c>
      <c r="F1076" t="s">
        <v>49</v>
      </c>
      <c r="G1076" t="s">
        <v>2485</v>
      </c>
      <c r="H1076" t="s">
        <v>2486</v>
      </c>
      <c r="J1076" t="str">
        <f>HYPERLINK("https://www.youtube.com/watch?v=DD3L29w9F5M&amp;lc=UgwjvrZu2A71sJu-olJ4AaABAg.A-jwH9PhFpQA1-4DEbRy-s","https://www.youtube.com/watch?v=DD3L29w9F5M&amp;lc=UgwjvrZu2A71sJu-olJ4AaABAg.A-jwH9PhFpQA1-4DEbRy-s")</f>
        <v>https://www.youtube.com/watch?v=DD3L29w9F5M&amp;lc=UgwjvrZu2A71sJu-olJ4AaABAg.A-jwH9PhFpQA1-4DEbRy-s</v>
      </c>
      <c r="O1076">
        <v>0</v>
      </c>
      <c r="P1076">
        <v>0</v>
      </c>
      <c r="Q1076">
        <v>0</v>
      </c>
      <c r="S1076">
        <v>0</v>
      </c>
      <c r="T1076">
        <v>0</v>
      </c>
      <c r="U1076">
        <v>0</v>
      </c>
      <c r="W1076" t="s">
        <v>62</v>
      </c>
      <c r="AP1076" t="s">
        <v>147</v>
      </c>
    </row>
    <row r="1077" spans="1:42" x14ac:dyDescent="0.35">
      <c r="A1077" t="s">
        <v>45</v>
      </c>
      <c r="B1077" t="s">
        <v>2328</v>
      </c>
      <c r="C1077" t="s">
        <v>47</v>
      </c>
      <c r="D1077" t="s">
        <v>2487</v>
      </c>
      <c r="E1077" t="s">
        <v>2487</v>
      </c>
      <c r="F1077" t="s">
        <v>49</v>
      </c>
      <c r="G1077" t="s">
        <v>2488</v>
      </c>
      <c r="H1077" t="s">
        <v>2489</v>
      </c>
      <c r="J1077" t="str">
        <f>HYPERLINK("https://www.facebook.com/357267201017935/inbox/7149884868422767/","https://www.facebook.com/357267201017935/inbox/7149884868422767/")</f>
        <v>https://www.facebook.com/357267201017935/inbox/7149884868422767/</v>
      </c>
      <c r="O1077">
        <v>0</v>
      </c>
      <c r="P1077">
        <v>0</v>
      </c>
      <c r="Q1077">
        <v>0</v>
      </c>
      <c r="S1077">
        <v>0</v>
      </c>
      <c r="T1077">
        <v>0</v>
      </c>
      <c r="U1077">
        <v>0</v>
      </c>
      <c r="W1077" t="s">
        <v>52</v>
      </c>
    </row>
    <row r="1078" spans="1:42" x14ac:dyDescent="0.35">
      <c r="A1078" t="s">
        <v>45</v>
      </c>
      <c r="B1078" t="s">
        <v>2328</v>
      </c>
      <c r="C1078" t="s">
        <v>139</v>
      </c>
      <c r="D1078" t="s">
        <v>942</v>
      </c>
      <c r="E1078" t="s">
        <v>943</v>
      </c>
      <c r="F1078" t="s">
        <v>49</v>
      </c>
      <c r="G1078" t="s">
        <v>2490</v>
      </c>
      <c r="H1078" t="s">
        <v>2491</v>
      </c>
      <c r="J1078" t="str">
        <f>HYPERLINK("https://twitter.com/rajendras1819/status/1768518379403649368","https://twitter.com/rajendras1819/status/1768518379403649368")</f>
        <v>https://twitter.com/rajendras1819/status/1768518379403649368</v>
      </c>
      <c r="O1078">
        <v>0</v>
      </c>
      <c r="P1078">
        <v>0</v>
      </c>
      <c r="Q1078">
        <v>263</v>
      </c>
      <c r="R1078" t="s">
        <v>946</v>
      </c>
      <c r="S1078">
        <v>0</v>
      </c>
      <c r="T1078">
        <v>0</v>
      </c>
      <c r="U1078">
        <v>0</v>
      </c>
      <c r="W1078" t="s">
        <v>146</v>
      </c>
    </row>
    <row r="1079" spans="1:42" x14ac:dyDescent="0.35">
      <c r="A1079" t="s">
        <v>45</v>
      </c>
      <c r="B1079" t="s">
        <v>2328</v>
      </c>
      <c r="C1079" t="s">
        <v>139</v>
      </c>
      <c r="D1079" t="s">
        <v>942</v>
      </c>
      <c r="E1079" t="s">
        <v>943</v>
      </c>
      <c r="F1079" t="s">
        <v>49</v>
      </c>
      <c r="G1079" t="s">
        <v>2492</v>
      </c>
      <c r="H1079" t="s">
        <v>2493</v>
      </c>
      <c r="J1079" t="str">
        <f>HYPERLINK("https://twitter.com/rajendras1819/status/1768518309337854100","https://twitter.com/rajendras1819/status/1768518309337854100")</f>
        <v>https://twitter.com/rajendras1819/status/1768518309337854100</v>
      </c>
      <c r="O1079">
        <v>0</v>
      </c>
      <c r="P1079">
        <v>0</v>
      </c>
      <c r="Q1079">
        <v>263</v>
      </c>
      <c r="R1079" t="s">
        <v>946</v>
      </c>
      <c r="S1079">
        <v>0</v>
      </c>
      <c r="T1079">
        <v>0</v>
      </c>
      <c r="U1079">
        <v>0</v>
      </c>
      <c r="W1079" t="s">
        <v>552</v>
      </c>
    </row>
    <row r="1080" spans="1:42" x14ac:dyDescent="0.35">
      <c r="A1080" t="s">
        <v>45</v>
      </c>
      <c r="B1080" t="s">
        <v>2328</v>
      </c>
      <c r="C1080" t="s">
        <v>58</v>
      </c>
      <c r="D1080" t="s">
        <v>45</v>
      </c>
      <c r="E1080" t="s">
        <v>45</v>
      </c>
      <c r="F1080" t="s">
        <v>49</v>
      </c>
      <c r="G1080" t="s">
        <v>2494</v>
      </c>
      <c r="H1080" t="s">
        <v>2495</v>
      </c>
      <c r="J1080" t="str">
        <f>HYPERLINK("https://www.youtube.com/watch?v=JO6-GWu7wZg","https://www.youtube.com/watch?v=JO6-GWu7wZg")</f>
        <v>https://www.youtube.com/watch?v=JO6-GWu7wZg</v>
      </c>
      <c r="O1080">
        <v>0</v>
      </c>
      <c r="P1080">
        <v>0</v>
      </c>
      <c r="Q1080">
        <v>0</v>
      </c>
      <c r="S1080">
        <v>0</v>
      </c>
      <c r="T1080">
        <v>0</v>
      </c>
      <c r="U1080">
        <v>0</v>
      </c>
      <c r="W1080" t="s">
        <v>106</v>
      </c>
    </row>
    <row r="1081" spans="1:42" x14ac:dyDescent="0.35">
      <c r="A1081" t="s">
        <v>45</v>
      </c>
      <c r="B1081" t="s">
        <v>2328</v>
      </c>
      <c r="C1081" t="s">
        <v>139</v>
      </c>
      <c r="D1081" t="s">
        <v>2496</v>
      </c>
      <c r="E1081" t="s">
        <v>2497</v>
      </c>
      <c r="F1081" t="s">
        <v>142</v>
      </c>
      <c r="G1081" t="s">
        <v>2234</v>
      </c>
      <c r="H1081" t="s">
        <v>2498</v>
      </c>
      <c r="J1081" t="str">
        <f>HYPERLINK("https://twitter.com/jitendra261988/status/1768518163417780251","https://twitter.com/jitendra261988/status/1768518163417780251")</f>
        <v>https://twitter.com/jitendra261988/status/1768518163417780251</v>
      </c>
      <c r="K1081" t="s">
        <v>145</v>
      </c>
      <c r="O1081">
        <v>0</v>
      </c>
      <c r="P1081">
        <v>0</v>
      </c>
      <c r="Q1081">
        <v>18</v>
      </c>
      <c r="S1081">
        <v>0</v>
      </c>
      <c r="T1081">
        <v>0</v>
      </c>
      <c r="U1081">
        <v>0</v>
      </c>
      <c r="W1081" t="s">
        <v>552</v>
      </c>
    </row>
    <row r="1082" spans="1:42" x14ac:dyDescent="0.35">
      <c r="A1082" t="s">
        <v>45</v>
      </c>
      <c r="B1082" t="s">
        <v>2328</v>
      </c>
      <c r="C1082" t="s">
        <v>139</v>
      </c>
      <c r="D1082" t="s">
        <v>2496</v>
      </c>
      <c r="E1082" t="s">
        <v>2497</v>
      </c>
      <c r="F1082" t="s">
        <v>142</v>
      </c>
      <c r="G1082" t="s">
        <v>2234</v>
      </c>
      <c r="H1082" t="s">
        <v>2499</v>
      </c>
      <c r="J1082" t="str">
        <f>HYPERLINK("https://twitter.com/jitendra261988/status/1768512468123324915","https://twitter.com/jitendra261988/status/1768512468123324915")</f>
        <v>https://twitter.com/jitendra261988/status/1768512468123324915</v>
      </c>
      <c r="K1082" t="s">
        <v>145</v>
      </c>
      <c r="O1082">
        <v>0</v>
      </c>
      <c r="P1082">
        <v>0</v>
      </c>
      <c r="Q1082">
        <v>18</v>
      </c>
      <c r="S1082">
        <v>0</v>
      </c>
      <c r="T1082">
        <v>0</v>
      </c>
      <c r="U1082">
        <v>0</v>
      </c>
      <c r="W1082" t="s">
        <v>146</v>
      </c>
    </row>
    <row r="1083" spans="1:42" x14ac:dyDescent="0.35">
      <c r="A1083" t="s">
        <v>45</v>
      </c>
      <c r="B1083" t="s">
        <v>2328</v>
      </c>
      <c r="C1083" t="s">
        <v>47</v>
      </c>
      <c r="D1083" t="s">
        <v>2500</v>
      </c>
      <c r="E1083" t="s">
        <v>2500</v>
      </c>
      <c r="F1083" t="s">
        <v>49</v>
      </c>
      <c r="G1083" t="s">
        <v>2501</v>
      </c>
      <c r="H1083" t="s">
        <v>2502</v>
      </c>
      <c r="J1083" t="str">
        <f>HYPERLINK("https://www.facebook.com/357267201017935/inbox/7159887137422540/","https://www.facebook.com/357267201017935/inbox/7159887137422540/")</f>
        <v>https://www.facebook.com/357267201017935/inbox/7159887137422540/</v>
      </c>
      <c r="O1083">
        <v>0</v>
      </c>
      <c r="P1083">
        <v>0</v>
      </c>
      <c r="Q1083">
        <v>0</v>
      </c>
      <c r="S1083">
        <v>0</v>
      </c>
      <c r="T1083">
        <v>0</v>
      </c>
      <c r="U1083">
        <v>0</v>
      </c>
      <c r="W1083" t="s">
        <v>52</v>
      </c>
      <c r="AP1083" t="s">
        <v>101</v>
      </c>
    </row>
    <row r="1084" spans="1:42" x14ac:dyDescent="0.35">
      <c r="A1084" t="s">
        <v>45</v>
      </c>
      <c r="B1084" t="s">
        <v>2328</v>
      </c>
      <c r="C1084" t="s">
        <v>47</v>
      </c>
      <c r="D1084" t="s">
        <v>2500</v>
      </c>
      <c r="E1084" t="s">
        <v>2500</v>
      </c>
      <c r="F1084" t="s">
        <v>49</v>
      </c>
      <c r="G1084" t="s">
        <v>2503</v>
      </c>
      <c r="H1084" t="s">
        <v>2504</v>
      </c>
      <c r="J1084" t="str">
        <f>HYPERLINK("https://www.facebook.com/357267201017935/inbox/7159887137422540/","https://www.facebook.com/357267201017935/inbox/7159887137422540/")</f>
        <v>https://www.facebook.com/357267201017935/inbox/7159887137422540/</v>
      </c>
      <c r="O1084">
        <v>0</v>
      </c>
      <c r="P1084">
        <v>0</v>
      </c>
      <c r="Q1084">
        <v>0</v>
      </c>
      <c r="S1084">
        <v>0</v>
      </c>
      <c r="T1084">
        <v>0</v>
      </c>
      <c r="U1084">
        <v>0</v>
      </c>
      <c r="W1084" t="s">
        <v>52</v>
      </c>
    </row>
    <row r="1085" spans="1:42" x14ac:dyDescent="0.35">
      <c r="A1085" t="s">
        <v>45</v>
      </c>
      <c r="B1085" t="s">
        <v>2328</v>
      </c>
      <c r="C1085" t="s">
        <v>47</v>
      </c>
      <c r="D1085" t="s">
        <v>2500</v>
      </c>
      <c r="E1085" t="s">
        <v>2500</v>
      </c>
      <c r="F1085" t="s">
        <v>49</v>
      </c>
      <c r="G1085" t="s">
        <v>50</v>
      </c>
      <c r="H1085" t="s">
        <v>2505</v>
      </c>
      <c r="J1085" t="str">
        <f>HYPERLINK("https://www.facebook.com/357267201017935/inbox/7159887137422540/","https://www.facebook.com/357267201017935/inbox/7159887137422540/")</f>
        <v>https://www.facebook.com/357267201017935/inbox/7159887137422540/</v>
      </c>
      <c r="O1085">
        <v>0</v>
      </c>
      <c r="P1085">
        <v>0</v>
      </c>
      <c r="Q1085">
        <v>0</v>
      </c>
      <c r="S1085">
        <v>0</v>
      </c>
      <c r="T1085">
        <v>0</v>
      </c>
      <c r="U1085">
        <v>0</v>
      </c>
      <c r="W1085" t="s">
        <v>52</v>
      </c>
    </row>
    <row r="1086" spans="1:42" x14ac:dyDescent="0.35">
      <c r="A1086" t="s">
        <v>45</v>
      </c>
      <c r="B1086" t="s">
        <v>2328</v>
      </c>
      <c r="C1086" t="s">
        <v>102</v>
      </c>
      <c r="D1086" t="s">
        <v>2506</v>
      </c>
      <c r="E1086" t="s">
        <v>2506</v>
      </c>
      <c r="F1086" t="s">
        <v>76</v>
      </c>
      <c r="G1086" t="s">
        <v>2507</v>
      </c>
      <c r="H1086" t="s">
        <v>2508</v>
      </c>
      <c r="J1086" t="str">
        <f>HYPERLINK("https://www.linkedin.com/feed/update/urn:li:activity:7174270405082243072","https://www.linkedin.com/feed/update/urn:li:activity:7174270405082243072")</f>
        <v>https://www.linkedin.com/feed/update/urn:li:activity:7174270405082243072</v>
      </c>
      <c r="O1086">
        <v>0</v>
      </c>
      <c r="P1086">
        <v>0</v>
      </c>
      <c r="Q1086">
        <v>0</v>
      </c>
      <c r="S1086">
        <v>0</v>
      </c>
      <c r="T1086">
        <v>0</v>
      </c>
      <c r="U1086">
        <v>0</v>
      </c>
      <c r="W1086" t="s">
        <v>106</v>
      </c>
    </row>
    <row r="1087" spans="1:42" x14ac:dyDescent="0.35">
      <c r="A1087" t="s">
        <v>45</v>
      </c>
      <c r="B1087" t="s">
        <v>2328</v>
      </c>
      <c r="C1087" t="s">
        <v>102</v>
      </c>
      <c r="D1087" t="s">
        <v>2509</v>
      </c>
      <c r="E1087" t="s">
        <v>2509</v>
      </c>
      <c r="F1087" t="s">
        <v>76</v>
      </c>
      <c r="G1087" t="s">
        <v>2510</v>
      </c>
      <c r="H1087" t="s">
        <v>2511</v>
      </c>
      <c r="J1087" t="str">
        <f>HYPERLINK("https://www.linkedin.com/feed/update/urn:li:activity:7174266665428283392","https://www.linkedin.com/feed/update/urn:li:activity:7174266665428283392")</f>
        <v>https://www.linkedin.com/feed/update/urn:li:activity:7174266665428283392</v>
      </c>
      <c r="O1087">
        <v>0</v>
      </c>
      <c r="P1087">
        <v>0</v>
      </c>
      <c r="Q1087">
        <v>0</v>
      </c>
      <c r="S1087">
        <v>0</v>
      </c>
      <c r="T1087">
        <v>0</v>
      </c>
      <c r="U1087">
        <v>0</v>
      </c>
      <c r="W1087" t="s">
        <v>106</v>
      </c>
    </row>
    <row r="1088" spans="1:42" x14ac:dyDescent="0.35">
      <c r="A1088" t="s">
        <v>45</v>
      </c>
      <c r="B1088" t="s">
        <v>2328</v>
      </c>
      <c r="C1088" t="s">
        <v>139</v>
      </c>
      <c r="D1088" t="s">
        <v>726</v>
      </c>
      <c r="E1088" t="s">
        <v>727</v>
      </c>
      <c r="F1088" t="s">
        <v>49</v>
      </c>
      <c r="G1088" t="s">
        <v>2512</v>
      </c>
      <c r="H1088" t="s">
        <v>2513</v>
      </c>
      <c r="J1088" t="str">
        <f>HYPERLINK("https://twitter.com/AkashYakov92580/status/1768497811924939004","https://twitter.com/AkashYakov92580/status/1768497811924939004")</f>
        <v>https://twitter.com/AkashYakov92580/status/1768497811924939004</v>
      </c>
      <c r="K1088" t="s">
        <v>145</v>
      </c>
      <c r="O1088">
        <v>0</v>
      </c>
      <c r="P1088">
        <v>0</v>
      </c>
      <c r="Q1088">
        <v>0</v>
      </c>
      <c r="S1088">
        <v>0</v>
      </c>
      <c r="T1088">
        <v>0</v>
      </c>
      <c r="U1088">
        <v>0</v>
      </c>
      <c r="W1088" t="s">
        <v>146</v>
      </c>
    </row>
    <row r="1089" spans="1:42" x14ac:dyDescent="0.35">
      <c r="A1089" t="s">
        <v>45</v>
      </c>
      <c r="B1089" t="s">
        <v>2328</v>
      </c>
      <c r="C1089" t="s">
        <v>139</v>
      </c>
      <c r="D1089" t="s">
        <v>726</v>
      </c>
      <c r="E1089" t="s">
        <v>727</v>
      </c>
      <c r="F1089" t="s">
        <v>49</v>
      </c>
      <c r="G1089" t="s">
        <v>2514</v>
      </c>
      <c r="H1089" t="s">
        <v>2515</v>
      </c>
      <c r="J1089" t="str">
        <f>HYPERLINK("https://twitter.com/AkashYakov92580/status/1768496316567712229","https://twitter.com/AkashYakov92580/status/1768496316567712229")</f>
        <v>https://twitter.com/AkashYakov92580/status/1768496316567712229</v>
      </c>
      <c r="K1089" t="s">
        <v>145</v>
      </c>
      <c r="O1089">
        <v>0</v>
      </c>
      <c r="P1089">
        <v>0</v>
      </c>
      <c r="Q1089">
        <v>0</v>
      </c>
      <c r="S1089">
        <v>0</v>
      </c>
      <c r="T1089">
        <v>0</v>
      </c>
      <c r="U1089">
        <v>0</v>
      </c>
      <c r="W1089" t="s">
        <v>146</v>
      </c>
    </row>
    <row r="1090" spans="1:42" x14ac:dyDescent="0.35">
      <c r="A1090" t="s">
        <v>45</v>
      </c>
      <c r="B1090" t="s">
        <v>2328</v>
      </c>
      <c r="C1090" t="s">
        <v>47</v>
      </c>
      <c r="D1090" t="s">
        <v>1117</v>
      </c>
      <c r="E1090" t="s">
        <v>1117</v>
      </c>
      <c r="F1090" t="s">
        <v>76</v>
      </c>
      <c r="G1090" t="s">
        <v>1118</v>
      </c>
      <c r="H1090" t="s">
        <v>2516</v>
      </c>
      <c r="J1090" t="str">
        <f>HYPERLINK("https://www.facebook.com/357267201017935/inbox/5367043763373562/","https://www.facebook.com/357267201017935/inbox/5367043763373562/")</f>
        <v>https://www.facebook.com/357267201017935/inbox/5367043763373562/</v>
      </c>
      <c r="O1090">
        <v>0</v>
      </c>
      <c r="P1090">
        <v>0</v>
      </c>
      <c r="Q1090">
        <v>0</v>
      </c>
      <c r="S1090">
        <v>0</v>
      </c>
      <c r="T1090">
        <v>0</v>
      </c>
      <c r="U1090">
        <v>0</v>
      </c>
      <c r="W1090" t="s">
        <v>52</v>
      </c>
    </row>
    <row r="1091" spans="1:42" x14ac:dyDescent="0.35">
      <c r="A1091" t="s">
        <v>45</v>
      </c>
      <c r="B1091" t="s">
        <v>2328</v>
      </c>
      <c r="C1091" t="s">
        <v>47</v>
      </c>
      <c r="D1091" t="s">
        <v>445</v>
      </c>
      <c r="E1091" t="s">
        <v>445</v>
      </c>
      <c r="F1091" t="s">
        <v>142</v>
      </c>
      <c r="G1091" t="s">
        <v>473</v>
      </c>
      <c r="H1091" t="s">
        <v>2517</v>
      </c>
      <c r="J1091" t="str">
        <f>HYPERLINK("https://www.facebook.com/454965103328545/posts/788234163334969?comment_id=1547051692533933","https://www.facebook.com/454965103328545/posts/788234163334969?comment_id=1547051692533933")</f>
        <v>https://www.facebook.com/454965103328545/posts/788234163334969?comment_id=1547051692533933</v>
      </c>
      <c r="O1091">
        <v>0</v>
      </c>
      <c r="P1091">
        <v>0</v>
      </c>
      <c r="Q1091">
        <v>0</v>
      </c>
      <c r="S1091">
        <v>0</v>
      </c>
      <c r="T1091">
        <v>0</v>
      </c>
      <c r="U1091">
        <v>0</v>
      </c>
      <c r="W1091" t="s">
        <v>62</v>
      </c>
    </row>
    <row r="1092" spans="1:42" x14ac:dyDescent="0.35">
      <c r="A1092" t="s">
        <v>45</v>
      </c>
      <c r="B1092" t="s">
        <v>2328</v>
      </c>
      <c r="C1092" t="s">
        <v>47</v>
      </c>
      <c r="D1092" t="s">
        <v>445</v>
      </c>
      <c r="E1092" t="s">
        <v>445</v>
      </c>
      <c r="F1092" t="s">
        <v>49</v>
      </c>
      <c r="G1092" t="s">
        <v>477</v>
      </c>
      <c r="H1092" t="s">
        <v>2518</v>
      </c>
      <c r="J1092" t="str">
        <f>HYPERLINK("https://www.facebook.com/454965103328545/posts/788234163334969?comment_id=1555239155429275","https://www.facebook.com/454965103328545/posts/788234163334969?comment_id=1555239155429275")</f>
        <v>https://www.facebook.com/454965103328545/posts/788234163334969?comment_id=1555239155429275</v>
      </c>
      <c r="O1092">
        <v>0</v>
      </c>
      <c r="P1092">
        <v>0</v>
      </c>
      <c r="Q1092">
        <v>0</v>
      </c>
      <c r="S1092">
        <v>0</v>
      </c>
      <c r="T1092">
        <v>0</v>
      </c>
      <c r="U1092">
        <v>0</v>
      </c>
      <c r="W1092" t="s">
        <v>62</v>
      </c>
    </row>
    <row r="1093" spans="1:42" x14ac:dyDescent="0.35">
      <c r="A1093" t="s">
        <v>45</v>
      </c>
      <c r="B1093" t="s">
        <v>2328</v>
      </c>
      <c r="C1093" t="s">
        <v>47</v>
      </c>
      <c r="D1093" t="s">
        <v>445</v>
      </c>
      <c r="E1093" t="s">
        <v>445</v>
      </c>
      <c r="F1093" t="s">
        <v>49</v>
      </c>
      <c r="G1093" t="s">
        <v>1618</v>
      </c>
      <c r="H1093" t="s">
        <v>2519</v>
      </c>
      <c r="J1093" t="str">
        <f>HYPERLINK("https://www.facebook.com/454965103328545/posts/788234163334969?comment_id=1129469304874187","https://www.facebook.com/454965103328545/posts/788234163334969?comment_id=1129469304874187")</f>
        <v>https://www.facebook.com/454965103328545/posts/788234163334969?comment_id=1129469304874187</v>
      </c>
      <c r="O1093">
        <v>0</v>
      </c>
      <c r="P1093">
        <v>0</v>
      </c>
      <c r="Q1093">
        <v>0</v>
      </c>
      <c r="S1093">
        <v>0</v>
      </c>
      <c r="T1093">
        <v>0</v>
      </c>
      <c r="U1093">
        <v>0</v>
      </c>
      <c r="W1093" t="s">
        <v>62</v>
      </c>
    </row>
    <row r="1094" spans="1:42" x14ac:dyDescent="0.35">
      <c r="A1094" t="s">
        <v>45</v>
      </c>
      <c r="B1094" t="s">
        <v>2328</v>
      </c>
      <c r="C1094" t="s">
        <v>47</v>
      </c>
      <c r="D1094" t="s">
        <v>445</v>
      </c>
      <c r="E1094" t="s">
        <v>445</v>
      </c>
      <c r="F1094" t="s">
        <v>49</v>
      </c>
      <c r="G1094" t="s">
        <v>2520</v>
      </c>
      <c r="H1094" t="s">
        <v>2521</v>
      </c>
      <c r="J1094" t="str">
        <f>HYPERLINK("https://www.facebook.com/454965103328545/posts/788234163334969?comment_id=1087807535881767","https://www.facebook.com/454965103328545/posts/788234163334969?comment_id=1087807535881767")</f>
        <v>https://www.facebook.com/454965103328545/posts/788234163334969?comment_id=1087807535881767</v>
      </c>
      <c r="O1094">
        <v>0</v>
      </c>
      <c r="P1094">
        <v>0</v>
      </c>
      <c r="Q1094">
        <v>0</v>
      </c>
      <c r="S1094">
        <v>0</v>
      </c>
      <c r="T1094">
        <v>0</v>
      </c>
      <c r="U1094">
        <v>0</v>
      </c>
      <c r="W1094" t="s">
        <v>62</v>
      </c>
    </row>
    <row r="1095" spans="1:42" x14ac:dyDescent="0.35">
      <c r="A1095" t="s">
        <v>45</v>
      </c>
      <c r="B1095" t="s">
        <v>2328</v>
      </c>
      <c r="C1095" t="s">
        <v>47</v>
      </c>
      <c r="D1095" t="s">
        <v>445</v>
      </c>
      <c r="E1095" t="s">
        <v>445</v>
      </c>
      <c r="F1095" t="s">
        <v>49</v>
      </c>
      <c r="G1095" t="s">
        <v>2522</v>
      </c>
      <c r="H1095" t="s">
        <v>2523</v>
      </c>
      <c r="J1095" t="str">
        <f>HYPERLINK("https://www.facebook.com/454965103328545/posts/788234163334969?comment_id=430560372756245","https://www.facebook.com/454965103328545/posts/788234163334969?comment_id=430560372756245")</f>
        <v>https://www.facebook.com/454965103328545/posts/788234163334969?comment_id=430560372756245</v>
      </c>
      <c r="O1095">
        <v>0</v>
      </c>
      <c r="P1095">
        <v>0</v>
      </c>
      <c r="Q1095">
        <v>0</v>
      </c>
      <c r="S1095">
        <v>0</v>
      </c>
      <c r="T1095">
        <v>0</v>
      </c>
      <c r="U1095">
        <v>0</v>
      </c>
      <c r="W1095" t="s">
        <v>62</v>
      </c>
      <c r="AP1095" t="s">
        <v>101</v>
      </c>
    </row>
    <row r="1096" spans="1:42" x14ac:dyDescent="0.35">
      <c r="A1096" t="s">
        <v>45</v>
      </c>
      <c r="B1096" t="s">
        <v>2328</v>
      </c>
      <c r="C1096" t="s">
        <v>47</v>
      </c>
      <c r="D1096" t="s">
        <v>445</v>
      </c>
      <c r="E1096" t="s">
        <v>445</v>
      </c>
      <c r="F1096" t="s">
        <v>49</v>
      </c>
      <c r="G1096" t="s">
        <v>2524</v>
      </c>
      <c r="H1096" t="s">
        <v>2525</v>
      </c>
      <c r="J1096" t="str">
        <f>HYPERLINK("https://www.facebook.com/454965103328545/posts/788234163334969?comment_id=427848033132741","https://www.facebook.com/454965103328545/posts/788234163334969?comment_id=427848033132741")</f>
        <v>https://www.facebook.com/454965103328545/posts/788234163334969?comment_id=427848033132741</v>
      </c>
      <c r="O1096">
        <v>0</v>
      </c>
      <c r="P1096">
        <v>0</v>
      </c>
      <c r="Q1096">
        <v>0</v>
      </c>
      <c r="S1096">
        <v>0</v>
      </c>
      <c r="T1096">
        <v>0</v>
      </c>
      <c r="U1096">
        <v>0</v>
      </c>
      <c r="W1096" t="s">
        <v>62</v>
      </c>
    </row>
    <row r="1097" spans="1:42" x14ac:dyDescent="0.35">
      <c r="A1097" t="s">
        <v>45</v>
      </c>
      <c r="B1097" t="s">
        <v>2328</v>
      </c>
      <c r="C1097" t="s">
        <v>47</v>
      </c>
      <c r="D1097" t="s">
        <v>445</v>
      </c>
      <c r="E1097" t="s">
        <v>445</v>
      </c>
      <c r="F1097" t="s">
        <v>49</v>
      </c>
      <c r="G1097" t="s">
        <v>477</v>
      </c>
      <c r="H1097" t="s">
        <v>2526</v>
      </c>
      <c r="J1097" t="str">
        <f>HYPERLINK("https://www.facebook.com/454965103328545/posts/788234163334969?comment_id=1071505020817113","https://www.facebook.com/454965103328545/posts/788234163334969?comment_id=1071505020817113")</f>
        <v>https://www.facebook.com/454965103328545/posts/788234163334969?comment_id=1071505020817113</v>
      </c>
      <c r="O1097">
        <v>0</v>
      </c>
      <c r="P1097">
        <v>0</v>
      </c>
      <c r="Q1097">
        <v>0</v>
      </c>
      <c r="S1097">
        <v>0</v>
      </c>
      <c r="T1097">
        <v>0</v>
      </c>
      <c r="U1097">
        <v>0</v>
      </c>
      <c r="W1097" t="s">
        <v>62</v>
      </c>
    </row>
    <row r="1098" spans="1:42" x14ac:dyDescent="0.35">
      <c r="A1098" t="s">
        <v>45</v>
      </c>
      <c r="B1098" t="s">
        <v>2328</v>
      </c>
      <c r="C1098" t="s">
        <v>47</v>
      </c>
      <c r="D1098" t="s">
        <v>445</v>
      </c>
      <c r="E1098" t="s">
        <v>445</v>
      </c>
      <c r="F1098" t="s">
        <v>49</v>
      </c>
      <c r="G1098" t="s">
        <v>477</v>
      </c>
      <c r="H1098" t="s">
        <v>2527</v>
      </c>
      <c r="J1098" t="str">
        <f>HYPERLINK("https://www.facebook.com/454965103328545/posts/788234163334969?comment_id=1143968886962801","https://www.facebook.com/454965103328545/posts/788234163334969?comment_id=1143968886962801")</f>
        <v>https://www.facebook.com/454965103328545/posts/788234163334969?comment_id=1143968886962801</v>
      </c>
      <c r="O1098">
        <v>0</v>
      </c>
      <c r="P1098">
        <v>0</v>
      </c>
      <c r="Q1098">
        <v>0</v>
      </c>
      <c r="S1098">
        <v>0</v>
      </c>
      <c r="T1098">
        <v>0</v>
      </c>
      <c r="U1098">
        <v>0</v>
      </c>
      <c r="W1098" t="s">
        <v>62</v>
      </c>
    </row>
    <row r="1099" spans="1:42" x14ac:dyDescent="0.35">
      <c r="A1099" t="s">
        <v>45</v>
      </c>
      <c r="B1099" t="s">
        <v>2328</v>
      </c>
      <c r="C1099" t="s">
        <v>47</v>
      </c>
      <c r="D1099" t="s">
        <v>445</v>
      </c>
      <c r="E1099" t="s">
        <v>445</v>
      </c>
      <c r="F1099" t="s">
        <v>49</v>
      </c>
      <c r="G1099" t="s">
        <v>477</v>
      </c>
      <c r="H1099" t="s">
        <v>2528</v>
      </c>
      <c r="J1099" t="str">
        <f>HYPERLINK("https://www.facebook.com/454965103328545/posts/788234163334969?comment_id=1960699347657596","https://www.facebook.com/454965103328545/posts/788234163334969?comment_id=1960699347657596")</f>
        <v>https://www.facebook.com/454965103328545/posts/788234163334969?comment_id=1960699347657596</v>
      </c>
      <c r="O1099">
        <v>0</v>
      </c>
      <c r="P1099">
        <v>0</v>
      </c>
      <c r="Q1099">
        <v>0</v>
      </c>
      <c r="S1099">
        <v>0</v>
      </c>
      <c r="T1099">
        <v>0</v>
      </c>
      <c r="U1099">
        <v>0</v>
      </c>
      <c r="W1099" t="s">
        <v>62</v>
      </c>
    </row>
    <row r="1100" spans="1:42" x14ac:dyDescent="0.35">
      <c r="A1100" t="s">
        <v>45</v>
      </c>
      <c r="B1100" t="s">
        <v>2328</v>
      </c>
      <c r="C1100" t="s">
        <v>47</v>
      </c>
      <c r="D1100" t="s">
        <v>445</v>
      </c>
      <c r="E1100" t="s">
        <v>445</v>
      </c>
      <c r="F1100" t="s">
        <v>49</v>
      </c>
      <c r="G1100" t="s">
        <v>477</v>
      </c>
      <c r="H1100" t="s">
        <v>2529</v>
      </c>
      <c r="J1100" t="str">
        <f>HYPERLINK("https://www.facebook.com/454965103328545/posts/788234163334969?comment_id=265289813292695","https://www.facebook.com/454965103328545/posts/788234163334969?comment_id=265289813292695")</f>
        <v>https://www.facebook.com/454965103328545/posts/788234163334969?comment_id=265289813292695</v>
      </c>
      <c r="O1100">
        <v>0</v>
      </c>
      <c r="P1100">
        <v>0</v>
      </c>
      <c r="Q1100">
        <v>0</v>
      </c>
      <c r="S1100">
        <v>0</v>
      </c>
      <c r="T1100">
        <v>0</v>
      </c>
      <c r="U1100">
        <v>0</v>
      </c>
      <c r="W1100" t="s">
        <v>62</v>
      </c>
    </row>
    <row r="1101" spans="1:42" x14ac:dyDescent="0.35">
      <c r="A1101" t="s">
        <v>45</v>
      </c>
      <c r="B1101" t="s">
        <v>2328</v>
      </c>
      <c r="C1101" t="s">
        <v>47</v>
      </c>
      <c r="D1101" t="s">
        <v>445</v>
      </c>
      <c r="E1101" t="s">
        <v>445</v>
      </c>
      <c r="F1101" t="s">
        <v>49</v>
      </c>
      <c r="G1101" t="s">
        <v>2530</v>
      </c>
      <c r="H1101" t="s">
        <v>2531</v>
      </c>
      <c r="J1101" t="str">
        <f>HYPERLINK("https://www.facebook.com/454965103328545/posts/787618486729870?comment_id=1629597107780303&amp;reply_comment_id=422803433628376","https://www.facebook.com/454965103328545/posts/787618486729870?comment_id=1629597107780303&amp;reply_comment_id=422803433628376")</f>
        <v>https://www.facebook.com/454965103328545/posts/787618486729870?comment_id=1629597107780303&amp;reply_comment_id=422803433628376</v>
      </c>
      <c r="O1101">
        <v>0</v>
      </c>
      <c r="P1101">
        <v>0</v>
      </c>
      <c r="Q1101">
        <v>0</v>
      </c>
      <c r="S1101">
        <v>0</v>
      </c>
      <c r="T1101">
        <v>0</v>
      </c>
      <c r="U1101">
        <v>0</v>
      </c>
      <c r="W1101" t="s">
        <v>62</v>
      </c>
      <c r="AP1101" t="s">
        <v>101</v>
      </c>
    </row>
    <row r="1102" spans="1:42" x14ac:dyDescent="0.35">
      <c r="A1102" t="s">
        <v>45</v>
      </c>
      <c r="B1102" t="s">
        <v>2328</v>
      </c>
      <c r="C1102" t="s">
        <v>102</v>
      </c>
      <c r="D1102" t="s">
        <v>2532</v>
      </c>
      <c r="E1102" t="s">
        <v>2532</v>
      </c>
      <c r="F1102" t="s">
        <v>76</v>
      </c>
      <c r="G1102" t="s">
        <v>2533</v>
      </c>
      <c r="H1102" t="s">
        <v>2534</v>
      </c>
      <c r="J1102" t="str">
        <f>HYPERLINK("https://www.linkedin.com/feed/update/urn:li:ugcPost:7174245067170177024","https://www.linkedin.com/feed/update/urn:li:ugcPost:7174245067170177024")</f>
        <v>https://www.linkedin.com/feed/update/urn:li:ugcPost:7174245067170177024</v>
      </c>
      <c r="O1102">
        <v>0</v>
      </c>
      <c r="P1102">
        <v>0</v>
      </c>
      <c r="Q1102">
        <v>0</v>
      </c>
      <c r="S1102">
        <v>0</v>
      </c>
      <c r="T1102">
        <v>0</v>
      </c>
      <c r="U1102">
        <v>0</v>
      </c>
      <c r="W1102" t="s">
        <v>106</v>
      </c>
      <c r="AO1102" t="s">
        <v>119</v>
      </c>
      <c r="AP1102" t="s">
        <v>101</v>
      </c>
    </row>
    <row r="1103" spans="1:42" x14ac:dyDescent="0.35">
      <c r="A1103" t="s">
        <v>45</v>
      </c>
      <c r="B1103" t="s">
        <v>2328</v>
      </c>
      <c r="C1103" t="s">
        <v>58</v>
      </c>
      <c r="D1103" t="s">
        <v>1406</v>
      </c>
      <c r="E1103" t="s">
        <v>1406</v>
      </c>
      <c r="F1103" t="s">
        <v>49</v>
      </c>
      <c r="G1103" t="s">
        <v>2535</v>
      </c>
      <c r="H1103" t="s">
        <v>2536</v>
      </c>
      <c r="J1103" t="str">
        <f>HYPERLINK("https://www.youtube.com/watch?v=9IHCR7FzOQU","https://www.youtube.com/watch?v=9IHCR7FzOQU")</f>
        <v>https://www.youtube.com/watch?v=9IHCR7FzOQU</v>
      </c>
      <c r="O1103">
        <v>0</v>
      </c>
      <c r="P1103">
        <v>0</v>
      </c>
      <c r="Q1103">
        <v>0</v>
      </c>
      <c r="S1103">
        <v>0</v>
      </c>
      <c r="T1103">
        <v>0</v>
      </c>
      <c r="U1103">
        <v>0</v>
      </c>
      <c r="W1103" t="s">
        <v>106</v>
      </c>
    </row>
    <row r="1104" spans="1:42" x14ac:dyDescent="0.35">
      <c r="A1104" t="s">
        <v>45</v>
      </c>
      <c r="B1104" t="s">
        <v>2328</v>
      </c>
      <c r="C1104" t="s">
        <v>139</v>
      </c>
      <c r="D1104" t="s">
        <v>942</v>
      </c>
      <c r="E1104" t="s">
        <v>943</v>
      </c>
      <c r="F1104" t="s">
        <v>49</v>
      </c>
      <c r="G1104" t="s">
        <v>2537</v>
      </c>
      <c r="H1104" t="s">
        <v>2538</v>
      </c>
      <c r="J1104" t="str">
        <f>HYPERLINK("https://twitter.com/rajendras1819/status/1768473840865382672","https://twitter.com/rajendras1819/status/1768473840865382672")</f>
        <v>https://twitter.com/rajendras1819/status/1768473840865382672</v>
      </c>
      <c r="O1104">
        <v>0</v>
      </c>
      <c r="P1104">
        <v>0</v>
      </c>
      <c r="Q1104">
        <v>263</v>
      </c>
      <c r="R1104" t="s">
        <v>946</v>
      </c>
      <c r="S1104">
        <v>0</v>
      </c>
      <c r="T1104">
        <v>0</v>
      </c>
      <c r="U1104">
        <v>0</v>
      </c>
      <c r="W1104" t="s">
        <v>552</v>
      </c>
    </row>
    <row r="1105" spans="1:42" x14ac:dyDescent="0.35">
      <c r="A1105" t="s">
        <v>45</v>
      </c>
      <c r="B1105" t="s">
        <v>2328</v>
      </c>
      <c r="C1105" t="s">
        <v>139</v>
      </c>
      <c r="D1105" t="s">
        <v>1807</v>
      </c>
      <c r="E1105" t="s">
        <v>1808</v>
      </c>
      <c r="F1105" t="s">
        <v>49</v>
      </c>
      <c r="G1105" t="s">
        <v>2537</v>
      </c>
      <c r="H1105" t="s">
        <v>2539</v>
      </c>
      <c r="J1105" t="str">
        <f>HYPERLINK("https://twitter.com/ShyamjeeJha/status/1768465852612120991","https://twitter.com/ShyamjeeJha/status/1768465852612120991")</f>
        <v>https://twitter.com/ShyamjeeJha/status/1768465852612120991</v>
      </c>
      <c r="K1105" t="s">
        <v>145</v>
      </c>
      <c r="O1105">
        <v>0</v>
      </c>
      <c r="P1105">
        <v>0</v>
      </c>
      <c r="Q1105">
        <v>153</v>
      </c>
      <c r="R1105" t="s">
        <v>1810</v>
      </c>
      <c r="S1105">
        <v>0</v>
      </c>
      <c r="T1105">
        <v>0</v>
      </c>
      <c r="U1105">
        <v>0</v>
      </c>
      <c r="W1105" t="s">
        <v>552</v>
      </c>
    </row>
    <row r="1106" spans="1:42" x14ac:dyDescent="0.35">
      <c r="A1106" t="s">
        <v>45</v>
      </c>
      <c r="B1106" t="s">
        <v>2328</v>
      </c>
      <c r="C1106" t="s">
        <v>139</v>
      </c>
      <c r="D1106" t="s">
        <v>190</v>
      </c>
      <c r="E1106" t="s">
        <v>45</v>
      </c>
      <c r="F1106" t="s">
        <v>49</v>
      </c>
      <c r="G1106" t="s">
        <v>2537</v>
      </c>
      <c r="H1106" t="s">
        <v>2540</v>
      </c>
      <c r="J1106" t="str">
        <f>HYPERLINK("https://twitter.com/FinoPaymntsBank/status/1768465349673115908","https://twitter.com/FinoPaymntsBank/status/1768465349673115908")</f>
        <v>https://twitter.com/FinoPaymntsBank/status/1768465349673115908</v>
      </c>
      <c r="K1106" t="s">
        <v>145</v>
      </c>
      <c r="O1106">
        <v>0</v>
      </c>
      <c r="P1106">
        <v>0</v>
      </c>
      <c r="Q1106">
        <v>8443</v>
      </c>
      <c r="R1106" t="s">
        <v>193</v>
      </c>
      <c r="S1106">
        <v>0</v>
      </c>
      <c r="T1106">
        <v>0</v>
      </c>
      <c r="U1106">
        <v>0</v>
      </c>
      <c r="W1106" t="s">
        <v>146</v>
      </c>
    </row>
    <row r="1107" spans="1:42" x14ac:dyDescent="0.35">
      <c r="A1107" t="s">
        <v>45</v>
      </c>
      <c r="B1107" t="s">
        <v>2328</v>
      </c>
      <c r="C1107" t="s">
        <v>47</v>
      </c>
      <c r="D1107" t="s">
        <v>45</v>
      </c>
      <c r="E1107" t="s">
        <v>45</v>
      </c>
      <c r="F1107" t="s">
        <v>49</v>
      </c>
      <c r="H1107" t="s">
        <v>2541</v>
      </c>
      <c r="J1107" t="str">
        <f>HYPERLINK("https://www.facebook.com/357267201017935_1146197559881575","https://www.facebook.com/357267201017935_1146197559881575")</f>
        <v>https://www.facebook.com/357267201017935_1146197559881575</v>
      </c>
      <c r="O1107">
        <v>0</v>
      </c>
      <c r="P1107">
        <v>0</v>
      </c>
      <c r="Q1107">
        <v>0</v>
      </c>
      <c r="S1107">
        <v>0</v>
      </c>
      <c r="T1107">
        <v>0</v>
      </c>
      <c r="U1107">
        <v>0</v>
      </c>
      <c r="W1107" t="s">
        <v>106</v>
      </c>
    </row>
    <row r="1108" spans="1:42" x14ac:dyDescent="0.35">
      <c r="A1108" t="s">
        <v>45</v>
      </c>
      <c r="B1108" t="s">
        <v>2328</v>
      </c>
      <c r="C1108" t="s">
        <v>47</v>
      </c>
      <c r="D1108" t="s">
        <v>45</v>
      </c>
      <c r="E1108" t="s">
        <v>45</v>
      </c>
      <c r="F1108" t="s">
        <v>49</v>
      </c>
      <c r="G1108" t="s">
        <v>2542</v>
      </c>
      <c r="H1108" t="s">
        <v>2543</v>
      </c>
      <c r="J1108" t="str">
        <f>HYPERLINK("https://www.facebook.com/357267201017935_788234163334969","https://www.facebook.com/357267201017935_788234163334969")</f>
        <v>https://www.facebook.com/357267201017935_788234163334969</v>
      </c>
      <c r="O1108">
        <v>0</v>
      </c>
      <c r="P1108">
        <v>0</v>
      </c>
      <c r="Q1108">
        <v>0</v>
      </c>
      <c r="S1108">
        <v>13</v>
      </c>
      <c r="T1108">
        <v>52</v>
      </c>
      <c r="U1108">
        <v>4</v>
      </c>
      <c r="W1108" t="s">
        <v>106</v>
      </c>
    </row>
    <row r="1109" spans="1:42" x14ac:dyDescent="0.35">
      <c r="A1109" t="s">
        <v>45</v>
      </c>
      <c r="B1109" t="s">
        <v>2328</v>
      </c>
      <c r="C1109" t="s">
        <v>63</v>
      </c>
      <c r="D1109" t="s">
        <v>186</v>
      </c>
      <c r="E1109" t="s">
        <v>186</v>
      </c>
      <c r="F1109" t="s">
        <v>49</v>
      </c>
      <c r="G1109" t="s">
        <v>2542</v>
      </c>
      <c r="H1109" t="s">
        <v>2544</v>
      </c>
      <c r="J1109" t="str">
        <f>HYPERLINK("https://www.instagram.com/reel/C4hKiW5BY4Q/","https://www.instagram.com/reel/C4hKiW5BY4Q/")</f>
        <v>https://www.instagram.com/reel/C4hKiW5BY4Q/</v>
      </c>
      <c r="O1109">
        <v>0</v>
      </c>
      <c r="P1109">
        <v>0</v>
      </c>
      <c r="Q1109">
        <v>0</v>
      </c>
      <c r="S1109">
        <v>2</v>
      </c>
      <c r="T1109">
        <v>58</v>
      </c>
      <c r="U1109">
        <v>0</v>
      </c>
      <c r="W1109" t="s">
        <v>106</v>
      </c>
    </row>
    <row r="1110" spans="1:42" x14ac:dyDescent="0.35">
      <c r="A1110" t="s">
        <v>45</v>
      </c>
      <c r="B1110" t="s">
        <v>2328</v>
      </c>
      <c r="C1110" t="s">
        <v>139</v>
      </c>
      <c r="D1110" t="s">
        <v>2545</v>
      </c>
      <c r="E1110" t="s">
        <v>2546</v>
      </c>
      <c r="F1110" t="s">
        <v>49</v>
      </c>
      <c r="G1110" t="s">
        <v>2547</v>
      </c>
      <c r="H1110" t="s">
        <v>2548</v>
      </c>
      <c r="J1110" t="str">
        <f>HYPERLINK("https://twitter.com/BrainGym_jr/status/1768444987912712399","https://twitter.com/BrainGym_jr/status/1768444987912712399")</f>
        <v>https://twitter.com/BrainGym_jr/status/1768444987912712399</v>
      </c>
      <c r="O1110">
        <v>0</v>
      </c>
      <c r="P1110">
        <v>0</v>
      </c>
      <c r="Q1110">
        <v>73</v>
      </c>
      <c r="R1110" t="s">
        <v>2549</v>
      </c>
      <c r="S1110">
        <v>0</v>
      </c>
      <c r="T1110">
        <v>0</v>
      </c>
      <c r="U1110">
        <v>0</v>
      </c>
      <c r="W1110" t="s">
        <v>552</v>
      </c>
    </row>
    <row r="1111" spans="1:42" x14ac:dyDescent="0.35">
      <c r="A1111" t="s">
        <v>45</v>
      </c>
      <c r="B1111" t="s">
        <v>2328</v>
      </c>
      <c r="C1111" t="s">
        <v>102</v>
      </c>
      <c r="D1111" t="s">
        <v>2550</v>
      </c>
      <c r="E1111" t="s">
        <v>2550</v>
      </c>
      <c r="F1111" t="s">
        <v>76</v>
      </c>
      <c r="G1111" t="s">
        <v>2551</v>
      </c>
      <c r="H1111" t="s">
        <v>2552</v>
      </c>
      <c r="J1111" t="str">
        <f>HYPERLINK("https://www.linkedin.com/feed/update/urn:li:activity:7172841634118647808","https://www.linkedin.com/feed/update/urn:li:activity:7172841634118647808")</f>
        <v>https://www.linkedin.com/feed/update/urn:li:activity:7172841634118647808</v>
      </c>
      <c r="O1111">
        <v>0</v>
      </c>
      <c r="P1111">
        <v>0</v>
      </c>
      <c r="Q1111">
        <v>0</v>
      </c>
      <c r="S1111">
        <v>0</v>
      </c>
      <c r="T1111">
        <v>0</v>
      </c>
      <c r="U1111">
        <v>0</v>
      </c>
      <c r="W1111" t="s">
        <v>106</v>
      </c>
    </row>
    <row r="1112" spans="1:42" x14ac:dyDescent="0.35">
      <c r="A1112" t="s">
        <v>45</v>
      </c>
      <c r="B1112" t="s">
        <v>2328</v>
      </c>
      <c r="C1112" t="s">
        <v>58</v>
      </c>
      <c r="D1112" t="s">
        <v>1139</v>
      </c>
      <c r="E1112" t="s">
        <v>1139</v>
      </c>
      <c r="F1112" t="s">
        <v>142</v>
      </c>
      <c r="G1112" t="s">
        <v>2553</v>
      </c>
      <c r="H1112" t="s">
        <v>2554</v>
      </c>
      <c r="J1112" t="str">
        <f>HYPERLINK("https://www.youtube.com/watch?v=jvOfDC_9vdI","https://www.youtube.com/watch?v=jvOfDC_9vdI")</f>
        <v>https://www.youtube.com/watch?v=jvOfDC_9vdI</v>
      </c>
      <c r="O1112">
        <v>0</v>
      </c>
      <c r="P1112">
        <v>0</v>
      </c>
      <c r="Q1112">
        <v>0</v>
      </c>
      <c r="S1112">
        <v>0</v>
      </c>
      <c r="T1112">
        <v>0</v>
      </c>
      <c r="U1112">
        <v>0</v>
      </c>
      <c r="W1112" t="s">
        <v>106</v>
      </c>
    </row>
    <row r="1113" spans="1:42" x14ac:dyDescent="0.35">
      <c r="A1113" t="s">
        <v>45</v>
      </c>
      <c r="B1113" t="s">
        <v>2328</v>
      </c>
      <c r="C1113" t="s">
        <v>139</v>
      </c>
      <c r="D1113" t="s">
        <v>2555</v>
      </c>
      <c r="E1113" t="s">
        <v>2556</v>
      </c>
      <c r="F1113" t="s">
        <v>142</v>
      </c>
      <c r="G1113" t="s">
        <v>2557</v>
      </c>
      <c r="H1113" t="s">
        <v>2558</v>
      </c>
      <c r="J1113" t="str">
        <f>HYPERLINK("https://twitter.com/DaijaDevi6934/status/1768428888085201188","https://twitter.com/DaijaDevi6934/status/1768428888085201188")</f>
        <v>https://twitter.com/DaijaDevi6934/status/1768428888085201188</v>
      </c>
      <c r="O1113">
        <v>0</v>
      </c>
      <c r="P1113">
        <v>0</v>
      </c>
      <c r="Q1113">
        <v>0</v>
      </c>
      <c r="S1113">
        <v>0</v>
      </c>
      <c r="T1113">
        <v>0</v>
      </c>
      <c r="U1113">
        <v>0</v>
      </c>
      <c r="W1113" t="s">
        <v>146</v>
      </c>
      <c r="AO1113" t="s">
        <v>119</v>
      </c>
    </row>
    <row r="1114" spans="1:42" x14ac:dyDescent="0.35">
      <c r="A1114" t="s">
        <v>45</v>
      </c>
      <c r="B1114" t="s">
        <v>2328</v>
      </c>
      <c r="C1114" t="s">
        <v>139</v>
      </c>
      <c r="D1114" t="s">
        <v>2559</v>
      </c>
      <c r="E1114" t="s">
        <v>2560</v>
      </c>
      <c r="F1114" t="s">
        <v>142</v>
      </c>
      <c r="G1114" t="s">
        <v>2561</v>
      </c>
      <c r="H1114" t="s">
        <v>2562</v>
      </c>
      <c r="J1114" t="str">
        <f>HYPERLINK("https://twitter.com/Khan_aryan_91/status/1768420142994899036","https://twitter.com/Khan_aryan_91/status/1768420142994899036")</f>
        <v>https://twitter.com/Khan_aryan_91/status/1768420142994899036</v>
      </c>
      <c r="K1114" t="s">
        <v>145</v>
      </c>
      <c r="O1114">
        <v>0</v>
      </c>
      <c r="P1114">
        <v>0</v>
      </c>
      <c r="Q1114">
        <v>0</v>
      </c>
      <c r="S1114">
        <v>0</v>
      </c>
      <c r="T1114">
        <v>0</v>
      </c>
      <c r="U1114">
        <v>0</v>
      </c>
      <c r="W1114" t="s">
        <v>146</v>
      </c>
    </row>
    <row r="1115" spans="1:42" x14ac:dyDescent="0.35">
      <c r="A1115" t="s">
        <v>45</v>
      </c>
      <c r="B1115" t="s">
        <v>2328</v>
      </c>
      <c r="C1115" t="s">
        <v>58</v>
      </c>
      <c r="D1115" t="s">
        <v>1679</v>
      </c>
      <c r="E1115" t="s">
        <v>1679</v>
      </c>
      <c r="F1115" t="s">
        <v>49</v>
      </c>
      <c r="G1115" t="s">
        <v>2563</v>
      </c>
      <c r="H1115" t="s">
        <v>2564</v>
      </c>
      <c r="J1115" t="str">
        <f>HYPERLINK("https://www.youtube.com/watch?v=NWa04nNxUXY","https://www.youtube.com/watch?v=NWa04nNxUXY")</f>
        <v>https://www.youtube.com/watch?v=NWa04nNxUXY</v>
      </c>
      <c r="O1115">
        <v>0</v>
      </c>
      <c r="P1115">
        <v>0</v>
      </c>
      <c r="Q1115">
        <v>0</v>
      </c>
      <c r="S1115">
        <v>0</v>
      </c>
      <c r="T1115">
        <v>0</v>
      </c>
      <c r="U1115">
        <v>0</v>
      </c>
      <c r="W1115" t="s">
        <v>106</v>
      </c>
    </row>
    <row r="1116" spans="1:42" x14ac:dyDescent="0.35">
      <c r="A1116" t="s">
        <v>45</v>
      </c>
      <c r="B1116" t="s">
        <v>2565</v>
      </c>
      <c r="C1116" t="s">
        <v>139</v>
      </c>
      <c r="D1116" t="s">
        <v>2566</v>
      </c>
      <c r="E1116" t="s">
        <v>2567</v>
      </c>
      <c r="F1116" t="s">
        <v>49</v>
      </c>
      <c r="G1116" t="s">
        <v>2568</v>
      </c>
      <c r="H1116" t="s">
        <v>2569</v>
      </c>
      <c r="J1116" t="str">
        <f>HYPERLINK("https://twitter.com/jeet_innocent/status/1768336171472687235","https://twitter.com/jeet_innocent/status/1768336171472687235")</f>
        <v>https://twitter.com/jeet_innocent/status/1768336171472687235</v>
      </c>
      <c r="K1116" t="s">
        <v>145</v>
      </c>
      <c r="O1116">
        <v>0</v>
      </c>
      <c r="P1116">
        <v>0</v>
      </c>
      <c r="Q1116">
        <v>17</v>
      </c>
      <c r="R1116" t="s">
        <v>2570</v>
      </c>
      <c r="S1116">
        <v>0</v>
      </c>
      <c r="T1116">
        <v>0</v>
      </c>
      <c r="U1116">
        <v>0</v>
      </c>
      <c r="W1116" t="s">
        <v>146</v>
      </c>
      <c r="AO1116" t="s">
        <v>119</v>
      </c>
    </row>
    <row r="1117" spans="1:42" x14ac:dyDescent="0.35">
      <c r="A1117" t="s">
        <v>45</v>
      </c>
      <c r="B1117" t="s">
        <v>2565</v>
      </c>
      <c r="C1117" t="s">
        <v>47</v>
      </c>
      <c r="D1117" t="s">
        <v>2340</v>
      </c>
      <c r="E1117" t="s">
        <v>2340</v>
      </c>
      <c r="F1117" t="s">
        <v>49</v>
      </c>
      <c r="G1117" t="s">
        <v>2571</v>
      </c>
      <c r="H1117" t="s">
        <v>2572</v>
      </c>
      <c r="J1117" t="str">
        <f>HYPERLINK("https://www.facebook.com/454965103328545/posts/787618486729870?comment_id=1629597107780303&amp;reply_comment_id=447863164248820","https://www.facebook.com/454965103328545/posts/787618486729870?comment_id=1629597107780303&amp;reply_comment_id=447863164248820")</f>
        <v>https://www.facebook.com/454965103328545/posts/787618486729870?comment_id=1629597107780303&amp;reply_comment_id=447863164248820</v>
      </c>
      <c r="O1117">
        <v>0</v>
      </c>
      <c r="P1117">
        <v>0</v>
      </c>
      <c r="Q1117">
        <v>0</v>
      </c>
      <c r="S1117">
        <v>0</v>
      </c>
      <c r="T1117">
        <v>0</v>
      </c>
      <c r="U1117">
        <v>0</v>
      </c>
      <c r="W1117" t="s">
        <v>62</v>
      </c>
      <c r="AO1117" t="s">
        <v>119</v>
      </c>
      <c r="AP1117" t="s">
        <v>101</v>
      </c>
    </row>
    <row r="1118" spans="1:42" x14ac:dyDescent="0.35">
      <c r="A1118" t="s">
        <v>45</v>
      </c>
      <c r="B1118" t="s">
        <v>2565</v>
      </c>
      <c r="C1118" t="s">
        <v>47</v>
      </c>
      <c r="D1118" t="s">
        <v>2340</v>
      </c>
      <c r="E1118" t="s">
        <v>2340</v>
      </c>
      <c r="F1118" t="s">
        <v>49</v>
      </c>
      <c r="G1118" t="s">
        <v>2573</v>
      </c>
      <c r="H1118" t="s">
        <v>2574</v>
      </c>
      <c r="J1118" t="str">
        <f>HYPERLINK("https://www.facebook.com/454965103328545/posts/787618486729870?comment_id=1559778801482641&amp;reply_comment_id=2204161093249130","https://www.facebook.com/454965103328545/posts/787618486729870?comment_id=1559778801482641&amp;reply_comment_id=2204161093249130")</f>
        <v>https://www.facebook.com/454965103328545/posts/787618486729870?comment_id=1559778801482641&amp;reply_comment_id=2204161093249130</v>
      </c>
      <c r="O1118">
        <v>0</v>
      </c>
      <c r="P1118">
        <v>0</v>
      </c>
      <c r="Q1118">
        <v>0</v>
      </c>
      <c r="S1118">
        <v>0</v>
      </c>
      <c r="T1118">
        <v>0</v>
      </c>
      <c r="U1118">
        <v>0</v>
      </c>
      <c r="W1118" t="s">
        <v>62</v>
      </c>
      <c r="AP1118" t="s">
        <v>94</v>
      </c>
    </row>
    <row r="1119" spans="1:42" x14ac:dyDescent="0.35">
      <c r="A1119" t="s">
        <v>45</v>
      </c>
      <c r="B1119" t="s">
        <v>2565</v>
      </c>
      <c r="C1119" t="s">
        <v>139</v>
      </c>
      <c r="D1119" t="s">
        <v>2566</v>
      </c>
      <c r="E1119" t="s">
        <v>2567</v>
      </c>
      <c r="F1119" t="s">
        <v>49</v>
      </c>
      <c r="G1119" t="s">
        <v>2575</v>
      </c>
      <c r="H1119" t="s">
        <v>2576</v>
      </c>
      <c r="J1119" t="str">
        <f>HYPERLINK("https://twitter.com/jeet_innocent/status/1768332957599859035","https://twitter.com/jeet_innocent/status/1768332957599859035")</f>
        <v>https://twitter.com/jeet_innocent/status/1768332957599859035</v>
      </c>
      <c r="K1119" t="s">
        <v>145</v>
      </c>
      <c r="O1119">
        <v>0</v>
      </c>
      <c r="P1119">
        <v>0</v>
      </c>
      <c r="Q1119">
        <v>17</v>
      </c>
      <c r="R1119" t="s">
        <v>2570</v>
      </c>
      <c r="S1119">
        <v>0</v>
      </c>
      <c r="T1119">
        <v>0</v>
      </c>
      <c r="U1119">
        <v>0</v>
      </c>
      <c r="W1119" t="s">
        <v>146</v>
      </c>
      <c r="AO1119" t="s">
        <v>119</v>
      </c>
    </row>
    <row r="1120" spans="1:42" x14ac:dyDescent="0.35">
      <c r="A1120" t="s">
        <v>45</v>
      </c>
      <c r="B1120" t="s">
        <v>2565</v>
      </c>
      <c r="C1120" t="s">
        <v>139</v>
      </c>
      <c r="D1120" t="s">
        <v>2577</v>
      </c>
      <c r="E1120" t="s">
        <v>2578</v>
      </c>
      <c r="F1120" t="s">
        <v>142</v>
      </c>
      <c r="G1120" t="s">
        <v>2579</v>
      </c>
      <c r="H1120" t="s">
        <v>2580</v>
      </c>
      <c r="J1120" t="str">
        <f>HYPERLINK("https://twitter.com/VarshaTaragi/status/1768329994760290545","https://twitter.com/VarshaTaragi/status/1768329994760290545")</f>
        <v>https://twitter.com/VarshaTaragi/status/1768329994760290545</v>
      </c>
      <c r="K1120" t="s">
        <v>1769</v>
      </c>
      <c r="O1120">
        <v>0</v>
      </c>
      <c r="P1120">
        <v>0</v>
      </c>
      <c r="Q1120">
        <v>0</v>
      </c>
      <c r="S1120">
        <v>0</v>
      </c>
      <c r="T1120">
        <v>0</v>
      </c>
      <c r="U1120">
        <v>0</v>
      </c>
      <c r="W1120" t="s">
        <v>146</v>
      </c>
    </row>
    <row r="1121" spans="1:42" x14ac:dyDescent="0.35">
      <c r="A1121" t="s">
        <v>45</v>
      </c>
      <c r="B1121" t="s">
        <v>2565</v>
      </c>
      <c r="C1121" t="s">
        <v>139</v>
      </c>
      <c r="D1121" t="s">
        <v>2577</v>
      </c>
      <c r="E1121" t="s">
        <v>2578</v>
      </c>
      <c r="F1121" t="s">
        <v>142</v>
      </c>
      <c r="G1121" t="s">
        <v>2581</v>
      </c>
      <c r="H1121" t="s">
        <v>2582</v>
      </c>
      <c r="J1121" t="str">
        <f>HYPERLINK("https://twitter.com/VarshaTaragi/status/1768329297427890518","https://twitter.com/VarshaTaragi/status/1768329297427890518")</f>
        <v>https://twitter.com/VarshaTaragi/status/1768329297427890518</v>
      </c>
      <c r="K1121" t="s">
        <v>1769</v>
      </c>
      <c r="O1121">
        <v>0</v>
      </c>
      <c r="P1121">
        <v>0</v>
      </c>
      <c r="Q1121">
        <v>0</v>
      </c>
      <c r="S1121">
        <v>0</v>
      </c>
      <c r="T1121">
        <v>0</v>
      </c>
      <c r="U1121">
        <v>0</v>
      </c>
      <c r="W1121" t="s">
        <v>552</v>
      </c>
      <c r="AO1121" t="s">
        <v>67</v>
      </c>
    </row>
    <row r="1122" spans="1:42" x14ac:dyDescent="0.35">
      <c r="A1122" t="s">
        <v>45</v>
      </c>
      <c r="B1122" t="s">
        <v>2565</v>
      </c>
      <c r="C1122" t="s">
        <v>47</v>
      </c>
      <c r="D1122" t="s">
        <v>2583</v>
      </c>
      <c r="E1122" t="s">
        <v>2583</v>
      </c>
      <c r="F1122" t="s">
        <v>49</v>
      </c>
      <c r="G1122" t="s">
        <v>2584</v>
      </c>
      <c r="H1122" t="s">
        <v>2585</v>
      </c>
      <c r="J1122" t="str">
        <f>HYPERLINK("https://www.facebook.com/357267201017935/posts/3069910089753619/?comment_id=431108522810347","https://www.facebook.com/357267201017935/posts/3069910089753619/?comment_id=431108522810347")</f>
        <v>https://www.facebook.com/357267201017935/posts/3069910089753619/?comment_id=431108522810347</v>
      </c>
      <c r="O1122">
        <v>0</v>
      </c>
      <c r="P1122">
        <v>0</v>
      </c>
      <c r="Q1122">
        <v>0</v>
      </c>
      <c r="S1122">
        <v>0</v>
      </c>
      <c r="T1122">
        <v>0</v>
      </c>
      <c r="U1122">
        <v>0</v>
      </c>
      <c r="W1122" t="s">
        <v>62</v>
      </c>
    </row>
    <row r="1123" spans="1:42" x14ac:dyDescent="0.35">
      <c r="A1123" t="s">
        <v>45</v>
      </c>
      <c r="B1123" t="s">
        <v>2565</v>
      </c>
      <c r="C1123" t="s">
        <v>47</v>
      </c>
      <c r="D1123" t="s">
        <v>2583</v>
      </c>
      <c r="E1123" t="s">
        <v>2583</v>
      </c>
      <c r="F1123" t="s">
        <v>49</v>
      </c>
      <c r="G1123" t="s">
        <v>459</v>
      </c>
      <c r="H1123" t="s">
        <v>2586</v>
      </c>
      <c r="J1123" t="str">
        <f>HYPERLINK("https://www.facebook.com/357267201017935/posts/3069910089753619/?comment_id=1113015716503945","https://www.facebook.com/357267201017935/posts/3069910089753619/?comment_id=1113015716503945")</f>
        <v>https://www.facebook.com/357267201017935/posts/3069910089753619/?comment_id=1113015716503945</v>
      </c>
      <c r="O1123">
        <v>0</v>
      </c>
      <c r="P1123">
        <v>0</v>
      </c>
      <c r="Q1123">
        <v>0</v>
      </c>
      <c r="S1123">
        <v>0</v>
      </c>
      <c r="T1123">
        <v>0</v>
      </c>
      <c r="U1123">
        <v>0</v>
      </c>
      <c r="W1123" t="s">
        <v>62</v>
      </c>
    </row>
    <row r="1124" spans="1:42" x14ac:dyDescent="0.35">
      <c r="A1124" t="s">
        <v>45</v>
      </c>
      <c r="B1124" t="s">
        <v>2565</v>
      </c>
      <c r="C1124" t="s">
        <v>47</v>
      </c>
      <c r="D1124" t="s">
        <v>2587</v>
      </c>
      <c r="E1124" t="s">
        <v>2587</v>
      </c>
      <c r="F1124" t="s">
        <v>49</v>
      </c>
      <c r="G1124" t="s">
        <v>2588</v>
      </c>
      <c r="H1124" t="s">
        <v>2589</v>
      </c>
      <c r="J1124" t="str">
        <f>HYPERLINK("https://www.facebook.com/454965103328545/posts/768713601953692?comment_id=1373223803565419&amp;reply_comment_id=1103332450897379","https://www.facebook.com/454965103328545/posts/768713601953692?comment_id=1373223803565419&amp;reply_comment_id=1103332450897379")</f>
        <v>https://www.facebook.com/454965103328545/posts/768713601953692?comment_id=1373223803565419&amp;reply_comment_id=1103332450897379</v>
      </c>
      <c r="O1124">
        <v>0</v>
      </c>
      <c r="P1124">
        <v>0</v>
      </c>
      <c r="Q1124">
        <v>0</v>
      </c>
      <c r="S1124">
        <v>0</v>
      </c>
      <c r="T1124">
        <v>0</v>
      </c>
      <c r="U1124">
        <v>0</v>
      </c>
      <c r="W1124" t="s">
        <v>62</v>
      </c>
      <c r="AP1124" t="s">
        <v>94</v>
      </c>
    </row>
    <row r="1125" spans="1:42" x14ac:dyDescent="0.35">
      <c r="A1125" t="s">
        <v>45</v>
      </c>
      <c r="B1125" t="s">
        <v>2565</v>
      </c>
      <c r="C1125" t="s">
        <v>139</v>
      </c>
      <c r="D1125" t="s">
        <v>942</v>
      </c>
      <c r="E1125" t="s">
        <v>943</v>
      </c>
      <c r="F1125" t="s">
        <v>49</v>
      </c>
      <c r="G1125" t="s">
        <v>2590</v>
      </c>
      <c r="H1125" t="s">
        <v>2591</v>
      </c>
      <c r="J1125" t="str">
        <f>HYPERLINK("https://twitter.com/rajendras1819/status/1768313708043026548","https://twitter.com/rajendras1819/status/1768313708043026548")</f>
        <v>https://twitter.com/rajendras1819/status/1768313708043026548</v>
      </c>
      <c r="O1125">
        <v>0</v>
      </c>
      <c r="P1125">
        <v>0</v>
      </c>
      <c r="Q1125">
        <v>263</v>
      </c>
      <c r="R1125" t="s">
        <v>946</v>
      </c>
      <c r="S1125">
        <v>0</v>
      </c>
      <c r="T1125">
        <v>0</v>
      </c>
      <c r="U1125">
        <v>0</v>
      </c>
      <c r="W1125" t="s">
        <v>146</v>
      </c>
    </row>
    <row r="1126" spans="1:42" x14ac:dyDescent="0.35">
      <c r="A1126" t="s">
        <v>45</v>
      </c>
      <c r="B1126" t="s">
        <v>2565</v>
      </c>
      <c r="C1126" t="s">
        <v>58</v>
      </c>
      <c r="D1126" t="s">
        <v>2592</v>
      </c>
      <c r="E1126" t="s">
        <v>2592</v>
      </c>
      <c r="F1126" t="s">
        <v>49</v>
      </c>
      <c r="G1126" t="s">
        <v>2593</v>
      </c>
      <c r="H1126" t="s">
        <v>2594</v>
      </c>
      <c r="J1126" t="str">
        <f>HYPERLINK("https://www.youtube.com/watch?v=dKnX4OfnItk","https://www.youtube.com/watch?v=dKnX4OfnItk")</f>
        <v>https://www.youtube.com/watch?v=dKnX4OfnItk</v>
      </c>
      <c r="O1126">
        <v>0</v>
      </c>
      <c r="P1126">
        <v>0</v>
      </c>
      <c r="Q1126">
        <v>0</v>
      </c>
      <c r="S1126">
        <v>0</v>
      </c>
      <c r="T1126">
        <v>0</v>
      </c>
      <c r="U1126">
        <v>0</v>
      </c>
      <c r="W1126" t="s">
        <v>106</v>
      </c>
    </row>
    <row r="1127" spans="1:42" x14ac:dyDescent="0.35">
      <c r="A1127" t="s">
        <v>45</v>
      </c>
      <c r="B1127" t="s">
        <v>2565</v>
      </c>
      <c r="C1127" t="s">
        <v>102</v>
      </c>
      <c r="D1127" t="s">
        <v>965</v>
      </c>
      <c r="E1127" t="s">
        <v>965</v>
      </c>
      <c r="F1127" t="s">
        <v>49</v>
      </c>
      <c r="G1127" t="s">
        <v>2595</v>
      </c>
      <c r="H1127" t="s">
        <v>2596</v>
      </c>
      <c r="J1127" t="str">
        <f>HYPERLINK("https://www.linkedin.com/feed/update/urn:li:ugcPost:7174068713506148352","https://www.linkedin.com/feed/update/urn:li:ugcPost:7174068713506148352")</f>
        <v>https://www.linkedin.com/feed/update/urn:li:ugcPost:7174068713506148352</v>
      </c>
      <c r="O1127">
        <v>0</v>
      </c>
      <c r="P1127">
        <v>0</v>
      </c>
      <c r="Q1127">
        <v>0</v>
      </c>
      <c r="S1127">
        <v>1</v>
      </c>
      <c r="T1127">
        <v>49</v>
      </c>
      <c r="U1127">
        <v>0</v>
      </c>
      <c r="W1127" t="s">
        <v>106</v>
      </c>
    </row>
    <row r="1128" spans="1:42" x14ac:dyDescent="0.35">
      <c r="A1128" t="s">
        <v>45</v>
      </c>
      <c r="B1128" t="s">
        <v>2565</v>
      </c>
      <c r="C1128" t="s">
        <v>58</v>
      </c>
      <c r="D1128" t="s">
        <v>2597</v>
      </c>
      <c r="E1128" t="s">
        <v>2597</v>
      </c>
      <c r="F1128" t="s">
        <v>49</v>
      </c>
      <c r="G1128" t="s">
        <v>2598</v>
      </c>
      <c r="H1128" t="s">
        <v>2599</v>
      </c>
      <c r="J1128" t="str">
        <f>HYPERLINK("https://www.youtube.com/watch?v=uk5iTMjZst8","https://www.youtube.com/watch?v=uk5iTMjZst8")</f>
        <v>https://www.youtube.com/watch?v=uk5iTMjZst8</v>
      </c>
      <c r="O1128">
        <v>0</v>
      </c>
      <c r="P1128">
        <v>0</v>
      </c>
      <c r="Q1128">
        <v>0</v>
      </c>
      <c r="S1128">
        <v>0</v>
      </c>
      <c r="T1128">
        <v>0</v>
      </c>
      <c r="U1128">
        <v>0</v>
      </c>
      <c r="W1128" t="s">
        <v>106</v>
      </c>
    </row>
    <row r="1129" spans="1:42" x14ac:dyDescent="0.35">
      <c r="A1129" t="s">
        <v>45</v>
      </c>
      <c r="B1129" t="s">
        <v>2565</v>
      </c>
      <c r="C1129" t="s">
        <v>102</v>
      </c>
      <c r="D1129" t="s">
        <v>2600</v>
      </c>
      <c r="E1129" t="s">
        <v>2600</v>
      </c>
      <c r="F1129" t="s">
        <v>49</v>
      </c>
      <c r="G1129" t="s">
        <v>2601</v>
      </c>
      <c r="H1129" t="s">
        <v>2602</v>
      </c>
      <c r="J1129" t="str">
        <f>HYPERLINK("https://www.linkedin.com/feed/update/urn:li:activity:7158447826098610177?commentUrn=urn:li:comment:(activity:7158447826098610177,7158486812011737088)&amp;replyUrn=urn:li:comment:(activity:7158447826098610177,7174057972908630016)","https://www.linkedin.com/feed/update/urn:li:activity:7158447826098610177?commentUrn=urn:li:comment:(activity:7158447826098610177,7158486812011737088)&amp;replyUrn=urn:li:comment:(activity:7158447826098610177,7174057972908630016)")</f>
        <v>https://www.linkedin.com/feed/update/urn:li:activity:7158447826098610177?commentUrn=urn:li:comment:(activity:7158447826098610177,7158486812011737088)&amp;replyUrn=urn:li:comment:(activity:7158447826098610177,7174057972908630016)</v>
      </c>
      <c r="O1129">
        <v>0</v>
      </c>
      <c r="P1129">
        <v>0</v>
      </c>
      <c r="Q1129">
        <v>0</v>
      </c>
      <c r="S1129">
        <v>0</v>
      </c>
      <c r="T1129">
        <v>0</v>
      </c>
      <c r="U1129">
        <v>0</v>
      </c>
      <c r="W1129" t="s">
        <v>62</v>
      </c>
    </row>
    <row r="1130" spans="1:42" x14ac:dyDescent="0.35">
      <c r="A1130" t="s">
        <v>45</v>
      </c>
      <c r="B1130" t="s">
        <v>2565</v>
      </c>
      <c r="C1130" t="s">
        <v>102</v>
      </c>
      <c r="D1130" t="s">
        <v>2600</v>
      </c>
      <c r="E1130" t="s">
        <v>2600</v>
      </c>
      <c r="F1130" t="s">
        <v>49</v>
      </c>
      <c r="G1130" t="s">
        <v>2603</v>
      </c>
      <c r="H1130" t="s">
        <v>2604</v>
      </c>
      <c r="J1130" t="str">
        <f>HYPERLINK("https://www.linkedin.com/feed/update/urn:li:activity:7158447826098610177?commentUrn=urn:li:comment:(activity:7158447826098610177,7158486812011737088)&amp;replyUrn=urn:li:comment:(activity:7158447826098610177,7174057791903436800)","https://www.linkedin.com/feed/update/urn:li:activity:7158447826098610177?commentUrn=urn:li:comment:(activity:7158447826098610177,7158486812011737088)&amp;replyUrn=urn:li:comment:(activity:7158447826098610177,7174057791903436800)")</f>
        <v>https://www.linkedin.com/feed/update/urn:li:activity:7158447826098610177?commentUrn=urn:li:comment:(activity:7158447826098610177,7158486812011737088)&amp;replyUrn=urn:li:comment:(activity:7158447826098610177,7174057791903436800)</v>
      </c>
      <c r="O1130">
        <v>0</v>
      </c>
      <c r="P1130">
        <v>0</v>
      </c>
      <c r="Q1130">
        <v>0</v>
      </c>
      <c r="S1130">
        <v>0</v>
      </c>
      <c r="T1130">
        <v>0</v>
      </c>
      <c r="U1130">
        <v>0</v>
      </c>
      <c r="W1130" t="s">
        <v>62</v>
      </c>
    </row>
    <row r="1131" spans="1:42" x14ac:dyDescent="0.35">
      <c r="A1131" t="s">
        <v>45</v>
      </c>
      <c r="B1131" t="s">
        <v>2565</v>
      </c>
      <c r="C1131" t="s">
        <v>139</v>
      </c>
      <c r="D1131" t="s">
        <v>726</v>
      </c>
      <c r="E1131" t="s">
        <v>727</v>
      </c>
      <c r="F1131" t="s">
        <v>49</v>
      </c>
      <c r="G1131" t="s">
        <v>2605</v>
      </c>
      <c r="H1131" t="s">
        <v>2606</v>
      </c>
      <c r="J1131" t="str">
        <f>HYPERLINK("https://twitter.com/AkashYakov92580/status/1768291144549720407","https://twitter.com/AkashYakov92580/status/1768291144549720407")</f>
        <v>https://twitter.com/AkashYakov92580/status/1768291144549720407</v>
      </c>
      <c r="K1131" t="s">
        <v>145</v>
      </c>
      <c r="O1131">
        <v>0</v>
      </c>
      <c r="P1131">
        <v>0</v>
      </c>
      <c r="Q1131">
        <v>0</v>
      </c>
      <c r="S1131">
        <v>0</v>
      </c>
      <c r="T1131">
        <v>0</v>
      </c>
      <c r="U1131">
        <v>0</v>
      </c>
      <c r="W1131" t="s">
        <v>146</v>
      </c>
    </row>
    <row r="1132" spans="1:42" x14ac:dyDescent="0.35">
      <c r="A1132" t="s">
        <v>45</v>
      </c>
      <c r="B1132" t="s">
        <v>2565</v>
      </c>
      <c r="C1132" t="s">
        <v>102</v>
      </c>
      <c r="D1132" t="s">
        <v>2607</v>
      </c>
      <c r="E1132" t="s">
        <v>2607</v>
      </c>
      <c r="F1132" t="s">
        <v>142</v>
      </c>
      <c r="G1132" t="s">
        <v>2608</v>
      </c>
      <c r="H1132" t="s">
        <v>2609</v>
      </c>
      <c r="J1132" t="str">
        <f>HYPERLINK("https://www.linkedin.com/feed/update/urn:li:activity:7174043497350590466","https://www.linkedin.com/feed/update/urn:li:activity:7174043497350590466")</f>
        <v>https://www.linkedin.com/feed/update/urn:li:activity:7174043497350590466</v>
      </c>
      <c r="O1132">
        <v>0</v>
      </c>
      <c r="P1132">
        <v>0</v>
      </c>
      <c r="Q1132">
        <v>0</v>
      </c>
      <c r="S1132">
        <v>0</v>
      </c>
      <c r="T1132">
        <v>0</v>
      </c>
      <c r="U1132">
        <v>0</v>
      </c>
      <c r="W1132" t="s">
        <v>106</v>
      </c>
      <c r="AO1132" t="s">
        <v>119</v>
      </c>
      <c r="AP1132" t="s">
        <v>147</v>
      </c>
    </row>
    <row r="1133" spans="1:42" x14ac:dyDescent="0.35">
      <c r="A1133" t="s">
        <v>45</v>
      </c>
      <c r="B1133" t="s">
        <v>2565</v>
      </c>
      <c r="C1133" t="s">
        <v>47</v>
      </c>
      <c r="D1133" t="s">
        <v>445</v>
      </c>
      <c r="E1133" t="s">
        <v>445</v>
      </c>
      <c r="F1133" t="s">
        <v>49</v>
      </c>
      <c r="G1133" t="s">
        <v>477</v>
      </c>
      <c r="H1133" t="s">
        <v>2610</v>
      </c>
      <c r="J1133" t="str">
        <f>HYPERLINK("https://www.facebook.com/454965103328545/posts/787618486729870?comment_id=1629597107780303","https://www.facebook.com/454965103328545/posts/787618486729870?comment_id=1629597107780303")</f>
        <v>https://www.facebook.com/454965103328545/posts/787618486729870?comment_id=1629597107780303</v>
      </c>
      <c r="O1133">
        <v>0</v>
      </c>
      <c r="P1133">
        <v>0</v>
      </c>
      <c r="Q1133">
        <v>0</v>
      </c>
      <c r="S1133">
        <v>0</v>
      </c>
      <c r="T1133">
        <v>0</v>
      </c>
      <c r="U1133">
        <v>0</v>
      </c>
      <c r="W1133" t="s">
        <v>62</v>
      </c>
    </row>
    <row r="1134" spans="1:42" x14ac:dyDescent="0.35">
      <c r="A1134" t="s">
        <v>45</v>
      </c>
      <c r="B1134" t="s">
        <v>2565</v>
      </c>
      <c r="C1134" t="s">
        <v>47</v>
      </c>
      <c r="D1134" t="s">
        <v>445</v>
      </c>
      <c r="E1134" t="s">
        <v>445</v>
      </c>
      <c r="F1134" t="s">
        <v>49</v>
      </c>
      <c r="G1134" t="s">
        <v>477</v>
      </c>
      <c r="H1134" t="s">
        <v>2611</v>
      </c>
      <c r="J1134" t="str">
        <f>HYPERLINK("https://www.facebook.com/454965103328545/posts/787618486729870?comment_id=940580110570263","https://www.facebook.com/454965103328545/posts/787618486729870?comment_id=940580110570263")</f>
        <v>https://www.facebook.com/454965103328545/posts/787618486729870?comment_id=940580110570263</v>
      </c>
      <c r="O1134">
        <v>0</v>
      </c>
      <c r="P1134">
        <v>0</v>
      </c>
      <c r="Q1134">
        <v>0</v>
      </c>
      <c r="S1134">
        <v>0</v>
      </c>
      <c r="T1134">
        <v>0</v>
      </c>
      <c r="U1134">
        <v>0</v>
      </c>
      <c r="W1134" t="s">
        <v>62</v>
      </c>
    </row>
    <row r="1135" spans="1:42" x14ac:dyDescent="0.35">
      <c r="A1135" t="s">
        <v>45</v>
      </c>
      <c r="B1135" t="s">
        <v>2565</v>
      </c>
      <c r="C1135" t="s">
        <v>47</v>
      </c>
      <c r="D1135" t="s">
        <v>445</v>
      </c>
      <c r="E1135" t="s">
        <v>445</v>
      </c>
      <c r="F1135" t="s">
        <v>49</v>
      </c>
      <c r="G1135" t="s">
        <v>477</v>
      </c>
      <c r="H1135" t="s">
        <v>2612</v>
      </c>
      <c r="J1135" t="str">
        <f>HYPERLINK("https://www.facebook.com/454965103328545/posts/787618486729870?comment_id=265887719899720","https://www.facebook.com/454965103328545/posts/787618486729870?comment_id=265887719899720")</f>
        <v>https://www.facebook.com/454965103328545/posts/787618486729870?comment_id=265887719899720</v>
      </c>
      <c r="O1135">
        <v>0</v>
      </c>
      <c r="P1135">
        <v>0</v>
      </c>
      <c r="Q1135">
        <v>0</v>
      </c>
      <c r="S1135">
        <v>0</v>
      </c>
      <c r="T1135">
        <v>0</v>
      </c>
      <c r="U1135">
        <v>0</v>
      </c>
      <c r="W1135" t="s">
        <v>62</v>
      </c>
    </row>
    <row r="1136" spans="1:42" x14ac:dyDescent="0.35">
      <c r="A1136" t="s">
        <v>45</v>
      </c>
      <c r="B1136" t="s">
        <v>2565</v>
      </c>
      <c r="C1136" t="s">
        <v>47</v>
      </c>
      <c r="D1136" t="s">
        <v>860</v>
      </c>
      <c r="E1136" t="s">
        <v>860</v>
      </c>
      <c r="F1136" t="s">
        <v>49</v>
      </c>
      <c r="G1136" t="s">
        <v>2613</v>
      </c>
      <c r="H1136" t="s">
        <v>2614</v>
      </c>
      <c r="J1136" t="str">
        <f>HYPERLINK("https://www.facebook.com/357267201017935/inbox/7157331627678091/","https://www.facebook.com/357267201017935/inbox/7157331627678091/")</f>
        <v>https://www.facebook.com/357267201017935/inbox/7157331627678091/</v>
      </c>
      <c r="O1136">
        <v>0</v>
      </c>
      <c r="P1136">
        <v>0</v>
      </c>
      <c r="Q1136">
        <v>0</v>
      </c>
      <c r="S1136">
        <v>0</v>
      </c>
      <c r="T1136">
        <v>0</v>
      </c>
      <c r="U1136">
        <v>0</v>
      </c>
      <c r="W1136" t="s">
        <v>52</v>
      </c>
      <c r="AP1136" t="s">
        <v>101</v>
      </c>
    </row>
    <row r="1137" spans="1:42" x14ac:dyDescent="0.35">
      <c r="A1137" t="s">
        <v>45</v>
      </c>
      <c r="B1137" t="s">
        <v>2565</v>
      </c>
      <c r="C1137" t="s">
        <v>47</v>
      </c>
      <c r="D1137" t="s">
        <v>860</v>
      </c>
      <c r="E1137" t="s">
        <v>860</v>
      </c>
      <c r="F1137" t="s">
        <v>49</v>
      </c>
      <c r="G1137" t="s">
        <v>373</v>
      </c>
      <c r="H1137" t="s">
        <v>2615</v>
      </c>
      <c r="J1137" t="str">
        <f>HYPERLINK("https://www.facebook.com/357267201017935/inbox/7157331627678091/","https://www.facebook.com/357267201017935/inbox/7157331627678091/")</f>
        <v>https://www.facebook.com/357267201017935/inbox/7157331627678091/</v>
      </c>
      <c r="O1137">
        <v>0</v>
      </c>
      <c r="P1137">
        <v>0</v>
      </c>
      <c r="Q1137">
        <v>0</v>
      </c>
      <c r="S1137">
        <v>0</v>
      </c>
      <c r="T1137">
        <v>0</v>
      </c>
      <c r="U1137">
        <v>0</v>
      </c>
      <c r="W1137" t="s">
        <v>52</v>
      </c>
    </row>
    <row r="1138" spans="1:42" x14ac:dyDescent="0.35">
      <c r="A1138" t="s">
        <v>45</v>
      </c>
      <c r="B1138" t="s">
        <v>2565</v>
      </c>
      <c r="C1138" t="s">
        <v>139</v>
      </c>
      <c r="D1138" t="s">
        <v>2616</v>
      </c>
      <c r="E1138" t="s">
        <v>2617</v>
      </c>
      <c r="F1138" t="s">
        <v>49</v>
      </c>
      <c r="G1138" t="s">
        <v>2618</v>
      </c>
      <c r="H1138" t="s">
        <v>2619</v>
      </c>
      <c r="J1138" t="str">
        <f>HYPERLINK("https://twitter.com/Zahir9959/status/1768261546382414139","https://twitter.com/Zahir9959/status/1768261546382414139")</f>
        <v>https://twitter.com/Zahir9959/status/1768261546382414139</v>
      </c>
      <c r="K1138" t="s">
        <v>145</v>
      </c>
      <c r="O1138">
        <v>0</v>
      </c>
      <c r="P1138">
        <v>0</v>
      </c>
      <c r="Q1138">
        <v>0</v>
      </c>
      <c r="S1138">
        <v>0</v>
      </c>
      <c r="T1138">
        <v>0</v>
      </c>
      <c r="U1138">
        <v>0</v>
      </c>
      <c r="W1138" t="s">
        <v>146</v>
      </c>
      <c r="AP1138" t="s">
        <v>147</v>
      </c>
    </row>
    <row r="1139" spans="1:42" x14ac:dyDescent="0.35">
      <c r="A1139" t="s">
        <v>45</v>
      </c>
      <c r="B1139" t="s">
        <v>2565</v>
      </c>
      <c r="C1139" t="s">
        <v>58</v>
      </c>
      <c r="D1139" t="s">
        <v>2620</v>
      </c>
      <c r="E1139" t="s">
        <v>2620</v>
      </c>
      <c r="F1139" t="s">
        <v>142</v>
      </c>
      <c r="G1139" t="s">
        <v>2621</v>
      </c>
      <c r="H1139" t="s">
        <v>2622</v>
      </c>
      <c r="J1139" t="str">
        <f>HYPERLINK("https://www.youtube.com/watch?v=hB7Fj31SVHQ&amp;lc=Ugz7oSPKbh17mRV1m6p4AaABAg","https://www.youtube.com/watch?v=hB7Fj31SVHQ&amp;lc=Ugz7oSPKbh17mRV1m6p4AaABAg")</f>
        <v>https://www.youtube.com/watch?v=hB7Fj31SVHQ&amp;lc=Ugz7oSPKbh17mRV1m6p4AaABAg</v>
      </c>
      <c r="O1139">
        <v>0</v>
      </c>
      <c r="P1139">
        <v>0</v>
      </c>
      <c r="Q1139">
        <v>0</v>
      </c>
      <c r="S1139">
        <v>0</v>
      </c>
      <c r="T1139">
        <v>0</v>
      </c>
      <c r="U1139">
        <v>0</v>
      </c>
      <c r="W1139" t="s">
        <v>62</v>
      </c>
    </row>
    <row r="1140" spans="1:42" x14ac:dyDescent="0.35">
      <c r="A1140" t="s">
        <v>45</v>
      </c>
      <c r="B1140" t="s">
        <v>2565</v>
      </c>
      <c r="C1140" t="s">
        <v>58</v>
      </c>
      <c r="D1140" t="s">
        <v>2620</v>
      </c>
      <c r="E1140" t="s">
        <v>2620</v>
      </c>
      <c r="F1140" t="s">
        <v>142</v>
      </c>
      <c r="G1140" t="s">
        <v>2623</v>
      </c>
      <c r="H1140" t="s">
        <v>2624</v>
      </c>
      <c r="J1140" t="str">
        <f>HYPERLINK("https://www.youtube.com/watch?v=1kWUb2wTJwc&amp;lc=Ugwbd29dT7DQwhaOlmV4AaABAg","https://www.youtube.com/watch?v=1kWUb2wTJwc&amp;lc=Ugwbd29dT7DQwhaOlmV4AaABAg")</f>
        <v>https://www.youtube.com/watch?v=1kWUb2wTJwc&amp;lc=Ugwbd29dT7DQwhaOlmV4AaABAg</v>
      </c>
      <c r="O1140">
        <v>0</v>
      </c>
      <c r="P1140">
        <v>0</v>
      </c>
      <c r="Q1140">
        <v>0</v>
      </c>
      <c r="S1140">
        <v>0</v>
      </c>
      <c r="T1140">
        <v>0</v>
      </c>
      <c r="U1140">
        <v>0</v>
      </c>
      <c r="W1140" t="s">
        <v>62</v>
      </c>
    </row>
    <row r="1141" spans="1:42" x14ac:dyDescent="0.35">
      <c r="A1141" t="s">
        <v>45</v>
      </c>
      <c r="B1141" t="s">
        <v>2565</v>
      </c>
      <c r="C1141" t="s">
        <v>139</v>
      </c>
      <c r="D1141" t="s">
        <v>726</v>
      </c>
      <c r="E1141" t="s">
        <v>727</v>
      </c>
      <c r="F1141" t="s">
        <v>49</v>
      </c>
      <c r="G1141" t="s">
        <v>2625</v>
      </c>
      <c r="H1141" t="s">
        <v>2626</v>
      </c>
      <c r="J1141" t="str">
        <f>HYPERLINK("https://twitter.com/AkashYakov92580/status/1768253200208142456","https://twitter.com/AkashYakov92580/status/1768253200208142456")</f>
        <v>https://twitter.com/AkashYakov92580/status/1768253200208142456</v>
      </c>
      <c r="K1141" t="s">
        <v>145</v>
      </c>
      <c r="O1141">
        <v>0</v>
      </c>
      <c r="P1141">
        <v>0</v>
      </c>
      <c r="Q1141">
        <v>0</v>
      </c>
      <c r="S1141">
        <v>0</v>
      </c>
      <c r="T1141">
        <v>0</v>
      </c>
      <c r="U1141">
        <v>0</v>
      </c>
      <c r="W1141" t="s">
        <v>146</v>
      </c>
    </row>
    <row r="1142" spans="1:42" x14ac:dyDescent="0.35">
      <c r="A1142" t="s">
        <v>45</v>
      </c>
      <c r="B1142" t="s">
        <v>2565</v>
      </c>
      <c r="C1142" t="s">
        <v>47</v>
      </c>
      <c r="D1142" t="s">
        <v>445</v>
      </c>
      <c r="E1142" t="s">
        <v>445</v>
      </c>
      <c r="F1142" t="s">
        <v>49</v>
      </c>
      <c r="G1142" t="s">
        <v>1257</v>
      </c>
      <c r="H1142" t="s">
        <v>2627</v>
      </c>
      <c r="J1142" t="str">
        <f>HYPERLINK("https://www.facebook.com/454965103328545/posts/787618486729870?comment_id=389066057201835","https://www.facebook.com/454965103328545/posts/787618486729870?comment_id=389066057201835")</f>
        <v>https://www.facebook.com/454965103328545/posts/787618486729870?comment_id=389066057201835</v>
      </c>
      <c r="O1142">
        <v>0</v>
      </c>
      <c r="P1142">
        <v>0</v>
      </c>
      <c r="Q1142">
        <v>0</v>
      </c>
      <c r="S1142">
        <v>0</v>
      </c>
      <c r="T1142">
        <v>0</v>
      </c>
      <c r="U1142">
        <v>0</v>
      </c>
      <c r="W1142" t="s">
        <v>62</v>
      </c>
    </row>
    <row r="1143" spans="1:42" x14ac:dyDescent="0.35">
      <c r="A1143" t="s">
        <v>45</v>
      </c>
      <c r="B1143" t="s">
        <v>2565</v>
      </c>
      <c r="C1143" t="s">
        <v>102</v>
      </c>
      <c r="D1143" t="s">
        <v>2628</v>
      </c>
      <c r="E1143" t="s">
        <v>2628</v>
      </c>
      <c r="F1143" t="s">
        <v>49</v>
      </c>
      <c r="G1143" t="s">
        <v>2629</v>
      </c>
      <c r="H1143" t="s">
        <v>2630</v>
      </c>
      <c r="J1143" t="str">
        <f>HYPERLINK("https://www.linkedin.com/feed/update/urn:li:activity:7174016746629132289","https://www.linkedin.com/feed/update/urn:li:activity:7174016746629132289")</f>
        <v>https://www.linkedin.com/feed/update/urn:li:activity:7174016746629132289</v>
      </c>
      <c r="O1143">
        <v>0</v>
      </c>
      <c r="P1143">
        <v>0</v>
      </c>
      <c r="Q1143">
        <v>0</v>
      </c>
      <c r="S1143">
        <v>0</v>
      </c>
      <c r="T1143">
        <v>0</v>
      </c>
      <c r="U1143">
        <v>0</v>
      </c>
      <c r="W1143" t="s">
        <v>106</v>
      </c>
    </row>
    <row r="1144" spans="1:42" x14ac:dyDescent="0.35">
      <c r="A1144" t="s">
        <v>45</v>
      </c>
      <c r="B1144" t="s">
        <v>2565</v>
      </c>
      <c r="C1144" t="s">
        <v>139</v>
      </c>
      <c r="D1144" t="s">
        <v>726</v>
      </c>
      <c r="E1144" t="s">
        <v>727</v>
      </c>
      <c r="F1144" t="s">
        <v>49</v>
      </c>
      <c r="G1144" t="s">
        <v>2631</v>
      </c>
      <c r="H1144" t="s">
        <v>2632</v>
      </c>
      <c r="J1144" t="str">
        <f>HYPERLINK("https://twitter.com/AkashYakov92580/status/1768249925073330220","https://twitter.com/AkashYakov92580/status/1768249925073330220")</f>
        <v>https://twitter.com/AkashYakov92580/status/1768249925073330220</v>
      </c>
      <c r="K1144" t="s">
        <v>145</v>
      </c>
      <c r="O1144">
        <v>0</v>
      </c>
      <c r="P1144">
        <v>0</v>
      </c>
      <c r="Q1144">
        <v>0</v>
      </c>
      <c r="S1144">
        <v>0</v>
      </c>
      <c r="T1144">
        <v>0</v>
      </c>
      <c r="U1144">
        <v>0</v>
      </c>
      <c r="W1144" t="s">
        <v>146</v>
      </c>
    </row>
    <row r="1145" spans="1:42" x14ac:dyDescent="0.35">
      <c r="A1145" t="s">
        <v>45</v>
      </c>
      <c r="B1145" t="s">
        <v>2565</v>
      </c>
      <c r="C1145" t="s">
        <v>47</v>
      </c>
      <c r="D1145" t="s">
        <v>1029</v>
      </c>
      <c r="E1145" t="s">
        <v>1029</v>
      </c>
      <c r="F1145" t="s">
        <v>49</v>
      </c>
      <c r="G1145" t="s">
        <v>2354</v>
      </c>
      <c r="H1145" t="s">
        <v>2633</v>
      </c>
      <c r="J1145" t="str">
        <f>HYPERLINK("https://www.facebook.com/454965103328545/posts/787618486729870?comment_id=1202358274071922","https://www.facebook.com/454965103328545/posts/787618486729870?comment_id=1202358274071922")</f>
        <v>https://www.facebook.com/454965103328545/posts/787618486729870?comment_id=1202358274071922</v>
      </c>
      <c r="O1145">
        <v>0</v>
      </c>
      <c r="P1145">
        <v>0</v>
      </c>
      <c r="Q1145">
        <v>0</v>
      </c>
      <c r="S1145">
        <v>0</v>
      </c>
      <c r="T1145">
        <v>0</v>
      </c>
      <c r="U1145">
        <v>0</v>
      </c>
      <c r="W1145" t="s">
        <v>62</v>
      </c>
    </row>
    <row r="1146" spans="1:42" x14ac:dyDescent="0.35">
      <c r="A1146" t="s">
        <v>45</v>
      </c>
      <c r="B1146" t="s">
        <v>2565</v>
      </c>
      <c r="C1146" t="s">
        <v>47</v>
      </c>
      <c r="D1146" t="s">
        <v>1029</v>
      </c>
      <c r="E1146" t="s">
        <v>1029</v>
      </c>
      <c r="F1146" t="s">
        <v>49</v>
      </c>
      <c r="G1146" t="s">
        <v>2354</v>
      </c>
      <c r="H1146" t="s">
        <v>2634</v>
      </c>
      <c r="J1146" t="str">
        <f>HYPERLINK("https://www.facebook.com/454965103328545/posts/787618486729870?comment_id=1370472280335076","https://www.facebook.com/454965103328545/posts/787618486729870?comment_id=1370472280335076")</f>
        <v>https://www.facebook.com/454965103328545/posts/787618486729870?comment_id=1370472280335076</v>
      </c>
      <c r="O1146">
        <v>0</v>
      </c>
      <c r="P1146">
        <v>0</v>
      </c>
      <c r="Q1146">
        <v>0</v>
      </c>
      <c r="S1146">
        <v>0</v>
      </c>
      <c r="T1146">
        <v>0</v>
      </c>
      <c r="U1146">
        <v>0</v>
      </c>
      <c r="W1146" t="s">
        <v>62</v>
      </c>
    </row>
    <row r="1147" spans="1:42" x14ac:dyDescent="0.35">
      <c r="A1147" t="s">
        <v>45</v>
      </c>
      <c r="B1147" t="s">
        <v>2565</v>
      </c>
      <c r="C1147" t="s">
        <v>47</v>
      </c>
      <c r="D1147" t="s">
        <v>1029</v>
      </c>
      <c r="E1147" t="s">
        <v>1029</v>
      </c>
      <c r="F1147" t="s">
        <v>49</v>
      </c>
      <c r="G1147" t="s">
        <v>2354</v>
      </c>
      <c r="H1147" t="s">
        <v>2635</v>
      </c>
      <c r="J1147" t="str">
        <f>HYPERLINK("https://www.facebook.com/454965103328545/posts/787618486729870?comment_id=2631638313671872","https://www.facebook.com/454965103328545/posts/787618486729870?comment_id=2631638313671872")</f>
        <v>https://www.facebook.com/454965103328545/posts/787618486729870?comment_id=2631638313671872</v>
      </c>
      <c r="O1147">
        <v>0</v>
      </c>
      <c r="P1147">
        <v>0</v>
      </c>
      <c r="Q1147">
        <v>0</v>
      </c>
      <c r="S1147">
        <v>0</v>
      </c>
      <c r="T1147">
        <v>0</v>
      </c>
      <c r="U1147">
        <v>0</v>
      </c>
      <c r="W1147" t="s">
        <v>62</v>
      </c>
    </row>
    <row r="1148" spans="1:42" x14ac:dyDescent="0.35">
      <c r="A1148" t="s">
        <v>45</v>
      </c>
      <c r="B1148" t="s">
        <v>2565</v>
      </c>
      <c r="C1148" t="s">
        <v>47</v>
      </c>
      <c r="D1148" t="s">
        <v>1029</v>
      </c>
      <c r="E1148" t="s">
        <v>1029</v>
      </c>
      <c r="F1148" t="s">
        <v>49</v>
      </c>
      <c r="G1148" t="s">
        <v>2354</v>
      </c>
      <c r="H1148" t="s">
        <v>2636</v>
      </c>
      <c r="J1148" t="str">
        <f>HYPERLINK("https://www.facebook.com/454965103328545/posts/787618486729870?comment_id=338042672022109","https://www.facebook.com/454965103328545/posts/787618486729870?comment_id=338042672022109")</f>
        <v>https://www.facebook.com/454965103328545/posts/787618486729870?comment_id=338042672022109</v>
      </c>
      <c r="O1148">
        <v>0</v>
      </c>
      <c r="P1148">
        <v>0</v>
      </c>
      <c r="Q1148">
        <v>0</v>
      </c>
      <c r="S1148">
        <v>0</v>
      </c>
      <c r="T1148">
        <v>0</v>
      </c>
      <c r="U1148">
        <v>0</v>
      </c>
      <c r="W1148" t="s">
        <v>62</v>
      </c>
    </row>
    <row r="1149" spans="1:42" x14ac:dyDescent="0.35">
      <c r="A1149" t="s">
        <v>45</v>
      </c>
      <c r="B1149" t="s">
        <v>2565</v>
      </c>
      <c r="C1149" t="s">
        <v>47</v>
      </c>
      <c r="D1149" t="s">
        <v>1029</v>
      </c>
      <c r="E1149" t="s">
        <v>1029</v>
      </c>
      <c r="F1149" t="s">
        <v>49</v>
      </c>
      <c r="G1149" t="s">
        <v>2354</v>
      </c>
      <c r="H1149" t="s">
        <v>2637</v>
      </c>
      <c r="J1149" t="str">
        <f>HYPERLINK("https://www.facebook.com/454965103328545/posts/787618486729870?comment_id=1830469090750421","https://www.facebook.com/454965103328545/posts/787618486729870?comment_id=1830469090750421")</f>
        <v>https://www.facebook.com/454965103328545/posts/787618486729870?comment_id=1830469090750421</v>
      </c>
      <c r="O1149">
        <v>0</v>
      </c>
      <c r="P1149">
        <v>0</v>
      </c>
      <c r="Q1149">
        <v>0</v>
      </c>
      <c r="S1149">
        <v>0</v>
      </c>
      <c r="T1149">
        <v>0</v>
      </c>
      <c r="U1149">
        <v>0</v>
      </c>
      <c r="W1149" t="s">
        <v>62</v>
      </c>
    </row>
    <row r="1150" spans="1:42" x14ac:dyDescent="0.35">
      <c r="A1150" t="s">
        <v>45</v>
      </c>
      <c r="B1150" t="s">
        <v>2565</v>
      </c>
      <c r="C1150" t="s">
        <v>47</v>
      </c>
      <c r="D1150" t="s">
        <v>1029</v>
      </c>
      <c r="E1150" t="s">
        <v>1029</v>
      </c>
      <c r="F1150" t="s">
        <v>49</v>
      </c>
      <c r="G1150" t="s">
        <v>2354</v>
      </c>
      <c r="H1150" t="s">
        <v>2638</v>
      </c>
      <c r="J1150" t="str">
        <f>HYPERLINK("https://www.facebook.com/454965103328545/posts/787618486729870?comment_id=1148234972998688","https://www.facebook.com/454965103328545/posts/787618486729870?comment_id=1148234972998688")</f>
        <v>https://www.facebook.com/454965103328545/posts/787618486729870?comment_id=1148234972998688</v>
      </c>
      <c r="O1150">
        <v>0</v>
      </c>
      <c r="P1150">
        <v>0</v>
      </c>
      <c r="Q1150">
        <v>0</v>
      </c>
      <c r="S1150">
        <v>0</v>
      </c>
      <c r="T1150">
        <v>0</v>
      </c>
      <c r="U1150">
        <v>0</v>
      </c>
      <c r="W1150" t="s">
        <v>62</v>
      </c>
    </row>
    <row r="1151" spans="1:42" x14ac:dyDescent="0.35">
      <c r="A1151" t="s">
        <v>45</v>
      </c>
      <c r="B1151" t="s">
        <v>2565</v>
      </c>
      <c r="C1151" t="s">
        <v>47</v>
      </c>
      <c r="D1151" t="s">
        <v>1029</v>
      </c>
      <c r="E1151" t="s">
        <v>1029</v>
      </c>
      <c r="F1151" t="s">
        <v>49</v>
      </c>
      <c r="G1151" t="s">
        <v>2354</v>
      </c>
      <c r="H1151" t="s">
        <v>2639</v>
      </c>
      <c r="J1151" t="str">
        <f>HYPERLINK("https://www.facebook.com/454965103328545/posts/787618486729870?comment_id=925562499302102","https://www.facebook.com/454965103328545/posts/787618486729870?comment_id=925562499302102")</f>
        <v>https://www.facebook.com/454965103328545/posts/787618486729870?comment_id=925562499302102</v>
      </c>
      <c r="O1151">
        <v>0</v>
      </c>
      <c r="P1151">
        <v>0</v>
      </c>
      <c r="Q1151">
        <v>0</v>
      </c>
      <c r="S1151">
        <v>0</v>
      </c>
      <c r="T1151">
        <v>0</v>
      </c>
      <c r="U1151">
        <v>0</v>
      </c>
      <c r="W1151" t="s">
        <v>62</v>
      </c>
    </row>
    <row r="1152" spans="1:42" x14ac:dyDescent="0.35">
      <c r="A1152" t="s">
        <v>45</v>
      </c>
      <c r="B1152" t="s">
        <v>2565</v>
      </c>
      <c r="C1152" t="s">
        <v>47</v>
      </c>
      <c r="D1152" t="s">
        <v>1029</v>
      </c>
      <c r="E1152" t="s">
        <v>1029</v>
      </c>
      <c r="F1152" t="s">
        <v>49</v>
      </c>
      <c r="G1152" t="s">
        <v>2354</v>
      </c>
      <c r="H1152" t="s">
        <v>2640</v>
      </c>
      <c r="J1152" t="str">
        <f>HYPERLINK("https://www.facebook.com/454965103328545/posts/787618486729870?comment_id=933189734769747","https://www.facebook.com/454965103328545/posts/787618486729870?comment_id=933189734769747")</f>
        <v>https://www.facebook.com/454965103328545/posts/787618486729870?comment_id=933189734769747</v>
      </c>
      <c r="O1152">
        <v>0</v>
      </c>
      <c r="P1152">
        <v>0</v>
      </c>
      <c r="Q1152">
        <v>0</v>
      </c>
      <c r="S1152">
        <v>0</v>
      </c>
      <c r="T1152">
        <v>0</v>
      </c>
      <c r="U1152">
        <v>0</v>
      </c>
      <c r="W1152" t="s">
        <v>62</v>
      </c>
    </row>
    <row r="1153" spans="1:23" x14ac:dyDescent="0.35">
      <c r="A1153" t="s">
        <v>45</v>
      </c>
      <c r="B1153" t="s">
        <v>2565</v>
      </c>
      <c r="C1153" t="s">
        <v>47</v>
      </c>
      <c r="D1153" t="s">
        <v>1029</v>
      </c>
      <c r="E1153" t="s">
        <v>1029</v>
      </c>
      <c r="F1153" t="s">
        <v>49</v>
      </c>
      <c r="G1153" t="s">
        <v>2354</v>
      </c>
      <c r="H1153" t="s">
        <v>2641</v>
      </c>
      <c r="J1153" t="str">
        <f>HYPERLINK("https://www.facebook.com/454965103328545/posts/787618486729870?comment_id=1083356866280751","https://www.facebook.com/454965103328545/posts/787618486729870?comment_id=1083356866280751")</f>
        <v>https://www.facebook.com/454965103328545/posts/787618486729870?comment_id=1083356866280751</v>
      </c>
      <c r="O1153">
        <v>0</v>
      </c>
      <c r="P1153">
        <v>0</v>
      </c>
      <c r="Q1153">
        <v>0</v>
      </c>
      <c r="S1153">
        <v>0</v>
      </c>
      <c r="T1153">
        <v>0</v>
      </c>
      <c r="U1153">
        <v>0</v>
      </c>
      <c r="W1153" t="s">
        <v>62</v>
      </c>
    </row>
    <row r="1154" spans="1:23" x14ac:dyDescent="0.35">
      <c r="A1154" t="s">
        <v>45</v>
      </c>
      <c r="B1154" t="s">
        <v>2565</v>
      </c>
      <c r="C1154" t="s">
        <v>47</v>
      </c>
      <c r="D1154" t="s">
        <v>1029</v>
      </c>
      <c r="E1154" t="s">
        <v>1029</v>
      </c>
      <c r="F1154" t="s">
        <v>49</v>
      </c>
      <c r="G1154" t="s">
        <v>2354</v>
      </c>
      <c r="H1154" t="s">
        <v>2642</v>
      </c>
      <c r="J1154" t="str">
        <f>HYPERLINK("https://www.facebook.com/454965103328545/posts/787618486729870?comment_id=896367992285465","https://www.facebook.com/454965103328545/posts/787618486729870?comment_id=896367992285465")</f>
        <v>https://www.facebook.com/454965103328545/posts/787618486729870?comment_id=896367992285465</v>
      </c>
      <c r="O1154">
        <v>0</v>
      </c>
      <c r="P1154">
        <v>0</v>
      </c>
      <c r="Q1154">
        <v>0</v>
      </c>
      <c r="S1154">
        <v>0</v>
      </c>
      <c r="T1154">
        <v>0</v>
      </c>
      <c r="U1154">
        <v>0</v>
      </c>
      <c r="W1154" t="s">
        <v>62</v>
      </c>
    </row>
    <row r="1155" spans="1:23" x14ac:dyDescent="0.35">
      <c r="A1155" t="s">
        <v>45</v>
      </c>
      <c r="B1155" t="s">
        <v>2565</v>
      </c>
      <c r="C1155" t="s">
        <v>47</v>
      </c>
      <c r="D1155" t="s">
        <v>1029</v>
      </c>
      <c r="E1155" t="s">
        <v>1029</v>
      </c>
      <c r="F1155" t="s">
        <v>49</v>
      </c>
      <c r="G1155" t="s">
        <v>2354</v>
      </c>
      <c r="H1155" t="s">
        <v>2643</v>
      </c>
      <c r="J1155" t="str">
        <f>HYPERLINK("https://www.facebook.com/454965103328545/posts/787618486729870?comment_id=3591702504374781","https://www.facebook.com/454965103328545/posts/787618486729870?comment_id=3591702504374781")</f>
        <v>https://www.facebook.com/454965103328545/posts/787618486729870?comment_id=3591702504374781</v>
      </c>
      <c r="O1155">
        <v>0</v>
      </c>
      <c r="P1155">
        <v>0</v>
      </c>
      <c r="Q1155">
        <v>0</v>
      </c>
      <c r="S1155">
        <v>0</v>
      </c>
      <c r="T1155">
        <v>0</v>
      </c>
      <c r="U1155">
        <v>0</v>
      </c>
      <c r="W1155" t="s">
        <v>62</v>
      </c>
    </row>
    <row r="1156" spans="1:23" x14ac:dyDescent="0.35">
      <c r="A1156" t="s">
        <v>45</v>
      </c>
      <c r="B1156" t="s">
        <v>2565</v>
      </c>
      <c r="C1156" t="s">
        <v>139</v>
      </c>
      <c r="D1156" t="s">
        <v>726</v>
      </c>
      <c r="E1156" t="s">
        <v>727</v>
      </c>
      <c r="F1156" t="s">
        <v>49</v>
      </c>
      <c r="G1156" t="s">
        <v>2644</v>
      </c>
      <c r="H1156" t="s">
        <v>2645</v>
      </c>
      <c r="J1156" t="str">
        <f>HYPERLINK("https://twitter.com/AkashYakov92580/status/1768247657787785551","https://twitter.com/AkashYakov92580/status/1768247657787785551")</f>
        <v>https://twitter.com/AkashYakov92580/status/1768247657787785551</v>
      </c>
      <c r="K1156" t="s">
        <v>145</v>
      </c>
      <c r="O1156">
        <v>0</v>
      </c>
      <c r="P1156">
        <v>0</v>
      </c>
      <c r="Q1156">
        <v>0</v>
      </c>
      <c r="S1156">
        <v>0</v>
      </c>
      <c r="T1156">
        <v>0</v>
      </c>
      <c r="U1156">
        <v>0</v>
      </c>
      <c r="W1156" t="s">
        <v>146</v>
      </c>
    </row>
    <row r="1157" spans="1:23" x14ac:dyDescent="0.35">
      <c r="A1157" t="s">
        <v>45</v>
      </c>
      <c r="B1157" t="s">
        <v>2565</v>
      </c>
      <c r="C1157" t="s">
        <v>139</v>
      </c>
      <c r="D1157" t="s">
        <v>2646</v>
      </c>
      <c r="E1157" t="s">
        <v>2628</v>
      </c>
      <c r="F1157" t="s">
        <v>49</v>
      </c>
      <c r="G1157" t="s">
        <v>2547</v>
      </c>
      <c r="H1157" t="s">
        <v>2647</v>
      </c>
      <c r="J1157" t="str">
        <f>HYPERLINK("https://twitter.com/sonianotani/status/1768246050391982349","https://twitter.com/sonianotani/status/1768246050391982349")</f>
        <v>https://twitter.com/sonianotani/status/1768246050391982349</v>
      </c>
      <c r="K1157" t="s">
        <v>1769</v>
      </c>
      <c r="O1157">
        <v>0</v>
      </c>
      <c r="P1157">
        <v>0</v>
      </c>
      <c r="Q1157">
        <v>509</v>
      </c>
      <c r="R1157" t="s">
        <v>1868</v>
      </c>
      <c r="S1157">
        <v>0</v>
      </c>
      <c r="T1157">
        <v>0</v>
      </c>
      <c r="U1157">
        <v>0</v>
      </c>
      <c r="W1157" t="s">
        <v>552</v>
      </c>
    </row>
    <row r="1158" spans="1:23" x14ac:dyDescent="0.35">
      <c r="A1158" t="s">
        <v>45</v>
      </c>
      <c r="B1158" t="s">
        <v>2565</v>
      </c>
      <c r="C1158" t="s">
        <v>47</v>
      </c>
      <c r="D1158" t="s">
        <v>168</v>
      </c>
      <c r="E1158" t="s">
        <v>168</v>
      </c>
      <c r="F1158" t="s">
        <v>49</v>
      </c>
      <c r="G1158" t="s">
        <v>2648</v>
      </c>
      <c r="H1158" t="s">
        <v>2649</v>
      </c>
      <c r="J1158" t="str">
        <f>HYPERLINK("https://www.facebook.com/454965103328545/posts/787618486729870?comment_id=1137023587295330","https://www.facebook.com/454965103328545/posts/787618486729870?comment_id=1137023587295330")</f>
        <v>https://www.facebook.com/454965103328545/posts/787618486729870?comment_id=1137023587295330</v>
      </c>
      <c r="O1158">
        <v>0</v>
      </c>
      <c r="P1158">
        <v>0</v>
      </c>
      <c r="Q1158">
        <v>0</v>
      </c>
      <c r="S1158">
        <v>0</v>
      </c>
      <c r="T1158">
        <v>0</v>
      </c>
      <c r="U1158">
        <v>0</v>
      </c>
      <c r="W1158" t="s">
        <v>62</v>
      </c>
    </row>
    <row r="1159" spans="1:23" x14ac:dyDescent="0.35">
      <c r="A1159" t="s">
        <v>45</v>
      </c>
      <c r="B1159" t="s">
        <v>2565</v>
      </c>
      <c r="C1159" t="s">
        <v>47</v>
      </c>
      <c r="D1159" t="s">
        <v>445</v>
      </c>
      <c r="E1159" t="s">
        <v>445</v>
      </c>
      <c r="F1159" t="s">
        <v>49</v>
      </c>
      <c r="G1159" t="s">
        <v>477</v>
      </c>
      <c r="H1159" t="s">
        <v>2650</v>
      </c>
      <c r="J1159" t="str">
        <f>HYPERLINK("https://www.facebook.com/454965103328545/posts/787618486729870?comment_id=1331372270863212","https://www.facebook.com/454965103328545/posts/787618486729870?comment_id=1331372270863212")</f>
        <v>https://www.facebook.com/454965103328545/posts/787618486729870?comment_id=1331372270863212</v>
      </c>
      <c r="O1159">
        <v>0</v>
      </c>
      <c r="P1159">
        <v>0</v>
      </c>
      <c r="Q1159">
        <v>0</v>
      </c>
      <c r="S1159">
        <v>0</v>
      </c>
      <c r="T1159">
        <v>0</v>
      </c>
      <c r="U1159">
        <v>0</v>
      </c>
      <c r="W1159" t="s">
        <v>62</v>
      </c>
    </row>
    <row r="1160" spans="1:23" x14ac:dyDescent="0.35">
      <c r="A1160" t="s">
        <v>45</v>
      </c>
      <c r="B1160" t="s">
        <v>2565</v>
      </c>
      <c r="C1160" t="s">
        <v>47</v>
      </c>
      <c r="D1160" t="s">
        <v>445</v>
      </c>
      <c r="E1160" t="s">
        <v>445</v>
      </c>
      <c r="F1160" t="s">
        <v>49</v>
      </c>
      <c r="G1160" t="s">
        <v>2651</v>
      </c>
      <c r="H1160" t="s">
        <v>2652</v>
      </c>
      <c r="J1160" t="str">
        <f>HYPERLINK("https://www.facebook.com/454965103328545/posts/787618486729870?comment_id=1559778801482641","https://www.facebook.com/454965103328545/posts/787618486729870?comment_id=1559778801482641")</f>
        <v>https://www.facebook.com/454965103328545/posts/787618486729870?comment_id=1559778801482641</v>
      </c>
      <c r="O1160">
        <v>0</v>
      </c>
      <c r="P1160">
        <v>0</v>
      </c>
      <c r="Q1160">
        <v>0</v>
      </c>
      <c r="S1160">
        <v>0</v>
      </c>
      <c r="T1160">
        <v>0</v>
      </c>
      <c r="U1160">
        <v>0</v>
      </c>
      <c r="W1160" t="s">
        <v>62</v>
      </c>
    </row>
    <row r="1161" spans="1:23" x14ac:dyDescent="0.35">
      <c r="A1161" t="s">
        <v>45</v>
      </c>
      <c r="B1161" t="s">
        <v>2565</v>
      </c>
      <c r="C1161" t="s">
        <v>139</v>
      </c>
      <c r="D1161" t="s">
        <v>2653</v>
      </c>
      <c r="E1161" t="s">
        <v>2654</v>
      </c>
      <c r="F1161" t="s">
        <v>49</v>
      </c>
      <c r="G1161" t="s">
        <v>2547</v>
      </c>
      <c r="H1161" t="s">
        <v>2655</v>
      </c>
      <c r="J1161" t="str">
        <f>HYPERLINK("https://twitter.com/realvinodh/status/1768239699494408519","https://twitter.com/realvinodh/status/1768239699494408519")</f>
        <v>https://twitter.com/realvinodh/status/1768239699494408519</v>
      </c>
      <c r="O1161">
        <v>0</v>
      </c>
      <c r="P1161">
        <v>0</v>
      </c>
      <c r="Q1161">
        <v>78</v>
      </c>
      <c r="R1161" t="s">
        <v>2656</v>
      </c>
      <c r="S1161">
        <v>0</v>
      </c>
      <c r="T1161">
        <v>0</v>
      </c>
      <c r="U1161">
        <v>0</v>
      </c>
      <c r="W1161" t="s">
        <v>552</v>
      </c>
    </row>
    <row r="1162" spans="1:23" x14ac:dyDescent="0.35">
      <c r="A1162" t="s">
        <v>45</v>
      </c>
      <c r="B1162" t="s">
        <v>2565</v>
      </c>
      <c r="C1162" t="s">
        <v>47</v>
      </c>
      <c r="D1162" t="s">
        <v>445</v>
      </c>
      <c r="E1162" t="s">
        <v>445</v>
      </c>
      <c r="F1162" t="s">
        <v>49</v>
      </c>
      <c r="G1162" t="s">
        <v>477</v>
      </c>
      <c r="H1162" t="s">
        <v>2657</v>
      </c>
      <c r="J1162" t="str">
        <f>HYPERLINK("https://www.facebook.com/454965103328545/posts/787618486729870?comment_id=1103754594276836","https://www.facebook.com/454965103328545/posts/787618486729870?comment_id=1103754594276836")</f>
        <v>https://www.facebook.com/454965103328545/posts/787618486729870?comment_id=1103754594276836</v>
      </c>
      <c r="O1162">
        <v>0</v>
      </c>
      <c r="P1162">
        <v>0</v>
      </c>
      <c r="Q1162">
        <v>0</v>
      </c>
      <c r="S1162">
        <v>0</v>
      </c>
      <c r="T1162">
        <v>0</v>
      </c>
      <c r="U1162">
        <v>0</v>
      </c>
      <c r="W1162" t="s">
        <v>62</v>
      </c>
    </row>
    <row r="1163" spans="1:23" x14ac:dyDescent="0.35">
      <c r="A1163" t="s">
        <v>45</v>
      </c>
      <c r="B1163" t="s">
        <v>2565</v>
      </c>
      <c r="C1163" t="s">
        <v>47</v>
      </c>
      <c r="D1163" t="s">
        <v>445</v>
      </c>
      <c r="E1163" t="s">
        <v>445</v>
      </c>
      <c r="F1163" t="s">
        <v>49</v>
      </c>
      <c r="G1163" t="s">
        <v>477</v>
      </c>
      <c r="H1163" t="s">
        <v>2658</v>
      </c>
      <c r="J1163" t="str">
        <f>HYPERLINK("https://www.facebook.com/454965103328545/posts/787618486729870?comment_id=776175827899365","https://www.facebook.com/454965103328545/posts/787618486729870?comment_id=776175827899365")</f>
        <v>https://www.facebook.com/454965103328545/posts/787618486729870?comment_id=776175827899365</v>
      </c>
      <c r="O1163">
        <v>0</v>
      </c>
      <c r="P1163">
        <v>0</v>
      </c>
      <c r="Q1163">
        <v>0</v>
      </c>
      <c r="S1163">
        <v>0</v>
      </c>
      <c r="T1163">
        <v>0</v>
      </c>
      <c r="U1163">
        <v>0</v>
      </c>
      <c r="W1163" t="s">
        <v>62</v>
      </c>
    </row>
    <row r="1164" spans="1:23" x14ac:dyDescent="0.35">
      <c r="A1164" t="s">
        <v>45</v>
      </c>
      <c r="B1164" t="s">
        <v>2565</v>
      </c>
      <c r="C1164" t="s">
        <v>47</v>
      </c>
      <c r="D1164" t="s">
        <v>445</v>
      </c>
      <c r="E1164" t="s">
        <v>445</v>
      </c>
      <c r="F1164" t="s">
        <v>49</v>
      </c>
      <c r="G1164" t="s">
        <v>477</v>
      </c>
      <c r="H1164" t="s">
        <v>2659</v>
      </c>
      <c r="J1164" t="str">
        <f>HYPERLINK("https://www.facebook.com/454965103328545/posts/787618486729870?comment_id=420730973763774","https://www.facebook.com/454965103328545/posts/787618486729870?comment_id=420730973763774")</f>
        <v>https://www.facebook.com/454965103328545/posts/787618486729870?comment_id=420730973763774</v>
      </c>
      <c r="O1164">
        <v>0</v>
      </c>
      <c r="P1164">
        <v>0</v>
      </c>
      <c r="Q1164">
        <v>0</v>
      </c>
      <c r="S1164">
        <v>0</v>
      </c>
      <c r="T1164">
        <v>0</v>
      </c>
      <c r="U1164">
        <v>0</v>
      </c>
      <c r="W1164" t="s">
        <v>62</v>
      </c>
    </row>
    <row r="1165" spans="1:23" x14ac:dyDescent="0.35">
      <c r="A1165" t="s">
        <v>45</v>
      </c>
      <c r="B1165" t="s">
        <v>2565</v>
      </c>
      <c r="C1165" t="s">
        <v>47</v>
      </c>
      <c r="D1165" t="s">
        <v>445</v>
      </c>
      <c r="E1165" t="s">
        <v>445</v>
      </c>
      <c r="F1165" t="s">
        <v>49</v>
      </c>
      <c r="G1165" t="s">
        <v>477</v>
      </c>
      <c r="H1165" t="s">
        <v>2660</v>
      </c>
      <c r="J1165" t="str">
        <f>HYPERLINK("https://www.facebook.com/454965103328545/posts/787618486729870?comment_id=1165184431522326","https://www.facebook.com/454965103328545/posts/787618486729870?comment_id=1165184431522326")</f>
        <v>https://www.facebook.com/454965103328545/posts/787618486729870?comment_id=1165184431522326</v>
      </c>
      <c r="O1165">
        <v>0</v>
      </c>
      <c r="P1165">
        <v>0</v>
      </c>
      <c r="Q1165">
        <v>0</v>
      </c>
      <c r="S1165">
        <v>0</v>
      </c>
      <c r="T1165">
        <v>0</v>
      </c>
      <c r="U1165">
        <v>0</v>
      </c>
      <c r="W1165" t="s">
        <v>62</v>
      </c>
    </row>
    <row r="1166" spans="1:23" x14ac:dyDescent="0.35">
      <c r="A1166" t="s">
        <v>45</v>
      </c>
      <c r="B1166" t="s">
        <v>2565</v>
      </c>
      <c r="C1166" t="s">
        <v>47</v>
      </c>
      <c r="D1166" t="s">
        <v>445</v>
      </c>
      <c r="E1166" t="s">
        <v>445</v>
      </c>
      <c r="F1166" t="s">
        <v>49</v>
      </c>
      <c r="G1166" t="s">
        <v>477</v>
      </c>
      <c r="H1166" t="s">
        <v>2661</v>
      </c>
      <c r="J1166" t="str">
        <f>HYPERLINK("https://www.facebook.com/454965103328545/posts/787618486729870?comment_id=265456229942699","https://www.facebook.com/454965103328545/posts/787618486729870?comment_id=265456229942699")</f>
        <v>https://www.facebook.com/454965103328545/posts/787618486729870?comment_id=265456229942699</v>
      </c>
      <c r="O1166">
        <v>0</v>
      </c>
      <c r="P1166">
        <v>0</v>
      </c>
      <c r="Q1166">
        <v>0</v>
      </c>
      <c r="S1166">
        <v>0</v>
      </c>
      <c r="T1166">
        <v>0</v>
      </c>
      <c r="U1166">
        <v>0</v>
      </c>
      <c r="W1166" t="s">
        <v>62</v>
      </c>
    </row>
    <row r="1167" spans="1:23" x14ac:dyDescent="0.35">
      <c r="A1167" t="s">
        <v>45</v>
      </c>
      <c r="B1167" t="s">
        <v>2565</v>
      </c>
      <c r="C1167" t="s">
        <v>47</v>
      </c>
      <c r="D1167" t="s">
        <v>445</v>
      </c>
      <c r="E1167" t="s">
        <v>445</v>
      </c>
      <c r="F1167" t="s">
        <v>49</v>
      </c>
      <c r="G1167" t="s">
        <v>477</v>
      </c>
      <c r="H1167" t="s">
        <v>2662</v>
      </c>
      <c r="J1167" t="str">
        <f>HYPERLINK("https://www.facebook.com/454965103328545/posts/787618486729870?comment_id=959905221817962","https://www.facebook.com/454965103328545/posts/787618486729870?comment_id=959905221817962")</f>
        <v>https://www.facebook.com/454965103328545/posts/787618486729870?comment_id=959905221817962</v>
      </c>
      <c r="O1167">
        <v>0</v>
      </c>
      <c r="P1167">
        <v>0</v>
      </c>
      <c r="Q1167">
        <v>0</v>
      </c>
      <c r="S1167">
        <v>0</v>
      </c>
      <c r="T1167">
        <v>0</v>
      </c>
      <c r="U1167">
        <v>0</v>
      </c>
      <c r="W1167" t="s">
        <v>62</v>
      </c>
    </row>
    <row r="1168" spans="1:23" x14ac:dyDescent="0.35">
      <c r="A1168" t="s">
        <v>45</v>
      </c>
      <c r="B1168" t="s">
        <v>2565</v>
      </c>
      <c r="C1168" t="s">
        <v>47</v>
      </c>
      <c r="D1168" t="s">
        <v>445</v>
      </c>
      <c r="E1168" t="s">
        <v>445</v>
      </c>
      <c r="F1168" t="s">
        <v>49</v>
      </c>
      <c r="G1168" t="s">
        <v>477</v>
      </c>
      <c r="H1168" t="s">
        <v>2663</v>
      </c>
      <c r="J1168" t="str">
        <f>HYPERLINK("https://www.facebook.com/454965103328545/posts/787618486729870?comment_id=433761029187097","https://www.facebook.com/454965103328545/posts/787618486729870?comment_id=433761029187097")</f>
        <v>https://www.facebook.com/454965103328545/posts/787618486729870?comment_id=433761029187097</v>
      </c>
      <c r="O1168">
        <v>0</v>
      </c>
      <c r="P1168">
        <v>0</v>
      </c>
      <c r="Q1168">
        <v>0</v>
      </c>
      <c r="S1168">
        <v>0</v>
      </c>
      <c r="T1168">
        <v>0</v>
      </c>
      <c r="U1168">
        <v>0</v>
      </c>
      <c r="W1168" t="s">
        <v>62</v>
      </c>
    </row>
    <row r="1169" spans="1:45" x14ac:dyDescent="0.35">
      <c r="A1169" t="s">
        <v>45</v>
      </c>
      <c r="B1169" t="s">
        <v>2565</v>
      </c>
      <c r="C1169" t="s">
        <v>47</v>
      </c>
      <c r="D1169" t="s">
        <v>445</v>
      </c>
      <c r="E1169" t="s">
        <v>445</v>
      </c>
      <c r="F1169" t="s">
        <v>49</v>
      </c>
      <c r="G1169" t="s">
        <v>2402</v>
      </c>
      <c r="H1169" t="s">
        <v>2664</v>
      </c>
      <c r="J1169" t="str">
        <f>HYPERLINK("https://www.facebook.com/454965103328545/posts/787618486729870?comment_id=1415033472551908","https://www.facebook.com/454965103328545/posts/787618486729870?comment_id=1415033472551908")</f>
        <v>https://www.facebook.com/454965103328545/posts/787618486729870?comment_id=1415033472551908</v>
      </c>
      <c r="O1169">
        <v>0</v>
      </c>
      <c r="P1169">
        <v>0</v>
      </c>
      <c r="Q1169">
        <v>0</v>
      </c>
      <c r="S1169">
        <v>0</v>
      </c>
      <c r="T1169">
        <v>0</v>
      </c>
      <c r="U1169">
        <v>0</v>
      </c>
      <c r="W1169" t="s">
        <v>62</v>
      </c>
    </row>
    <row r="1170" spans="1:45" x14ac:dyDescent="0.35">
      <c r="A1170" t="s">
        <v>45</v>
      </c>
      <c r="B1170" t="s">
        <v>2565</v>
      </c>
      <c r="C1170" t="s">
        <v>102</v>
      </c>
      <c r="D1170" t="s">
        <v>965</v>
      </c>
      <c r="E1170" t="s">
        <v>965</v>
      </c>
      <c r="F1170" t="s">
        <v>49</v>
      </c>
      <c r="G1170" t="s">
        <v>2665</v>
      </c>
      <c r="H1170" t="s">
        <v>2666</v>
      </c>
      <c r="J1170" t="str">
        <f>HYPERLINK("https://www.linkedin.com/feed/update/urn:li:share:7174003927296667648","https://www.linkedin.com/feed/update/urn:li:share:7174003927296667648")</f>
        <v>https://www.linkedin.com/feed/update/urn:li:share:7174003927296667648</v>
      </c>
      <c r="O1170">
        <v>0</v>
      </c>
      <c r="P1170">
        <v>0</v>
      </c>
      <c r="Q1170">
        <v>0</v>
      </c>
      <c r="S1170">
        <v>0</v>
      </c>
      <c r="T1170">
        <v>25</v>
      </c>
      <c r="U1170">
        <v>0</v>
      </c>
      <c r="W1170" t="s">
        <v>106</v>
      </c>
    </row>
    <row r="1171" spans="1:45" x14ac:dyDescent="0.35">
      <c r="A1171" t="s">
        <v>45</v>
      </c>
      <c r="B1171" t="s">
        <v>2565</v>
      </c>
      <c r="C1171" t="s">
        <v>139</v>
      </c>
      <c r="D1171" t="s">
        <v>190</v>
      </c>
      <c r="E1171" t="s">
        <v>45</v>
      </c>
      <c r="F1171" t="s">
        <v>49</v>
      </c>
      <c r="G1171" t="s">
        <v>2547</v>
      </c>
      <c r="H1171" t="s">
        <v>2667</v>
      </c>
      <c r="J1171" t="str">
        <f>HYPERLINK("https://twitter.com/FinoPaymntsBank/status/1768238206615437667","https://twitter.com/FinoPaymntsBank/status/1768238206615437667")</f>
        <v>https://twitter.com/FinoPaymntsBank/status/1768238206615437667</v>
      </c>
      <c r="K1171" t="s">
        <v>145</v>
      </c>
      <c r="O1171">
        <v>0</v>
      </c>
      <c r="P1171">
        <v>0</v>
      </c>
      <c r="Q1171">
        <v>8442</v>
      </c>
      <c r="R1171" t="s">
        <v>193</v>
      </c>
      <c r="S1171">
        <v>0</v>
      </c>
      <c r="T1171">
        <v>0</v>
      </c>
      <c r="U1171">
        <v>0</v>
      </c>
      <c r="W1171" t="s">
        <v>146</v>
      </c>
    </row>
    <row r="1172" spans="1:45" x14ac:dyDescent="0.35">
      <c r="A1172" t="s">
        <v>45</v>
      </c>
      <c r="B1172" t="s">
        <v>2565</v>
      </c>
      <c r="C1172" t="s">
        <v>63</v>
      </c>
      <c r="D1172" t="s">
        <v>186</v>
      </c>
      <c r="E1172" t="s">
        <v>186</v>
      </c>
      <c r="F1172" t="s">
        <v>49</v>
      </c>
      <c r="G1172" t="s">
        <v>2668</v>
      </c>
      <c r="H1172" t="s">
        <v>2669</v>
      </c>
      <c r="J1172" t="str">
        <f>HYPERLINK("https://www.instagram.com/p/C4fjfzSNhl4/","https://www.instagram.com/p/C4fjfzSNhl4/")</f>
        <v>https://www.instagram.com/p/C4fjfzSNhl4/</v>
      </c>
      <c r="O1172">
        <v>0</v>
      </c>
      <c r="P1172">
        <v>0</v>
      </c>
      <c r="Q1172">
        <v>0</v>
      </c>
      <c r="S1172">
        <v>0</v>
      </c>
      <c r="T1172">
        <v>72</v>
      </c>
      <c r="U1172">
        <v>0</v>
      </c>
      <c r="W1172" t="s">
        <v>106</v>
      </c>
    </row>
    <row r="1173" spans="1:45" x14ac:dyDescent="0.35">
      <c r="A1173" t="s">
        <v>45</v>
      </c>
      <c r="B1173" t="s">
        <v>2565</v>
      </c>
      <c r="C1173" t="s">
        <v>47</v>
      </c>
      <c r="D1173" t="s">
        <v>45</v>
      </c>
      <c r="E1173" t="s">
        <v>45</v>
      </c>
      <c r="F1173" t="s">
        <v>49</v>
      </c>
      <c r="G1173" t="s">
        <v>2668</v>
      </c>
      <c r="H1173" t="s">
        <v>2670</v>
      </c>
      <c r="J1173" t="str">
        <f>HYPERLINK("https://www.facebook.com/454965103328545/posts/787618486729870","https://www.facebook.com/454965103328545/posts/787618486729870")</f>
        <v>https://www.facebook.com/454965103328545/posts/787618486729870</v>
      </c>
      <c r="O1173">
        <v>0</v>
      </c>
      <c r="P1173">
        <v>0</v>
      </c>
      <c r="Q1173">
        <v>0</v>
      </c>
      <c r="S1173">
        <v>28</v>
      </c>
      <c r="T1173">
        <v>47</v>
      </c>
      <c r="U1173">
        <v>4</v>
      </c>
      <c r="W1173" t="s">
        <v>106</v>
      </c>
    </row>
    <row r="1174" spans="1:45" x14ac:dyDescent="0.35">
      <c r="A1174" t="s">
        <v>45</v>
      </c>
      <c r="B1174" t="s">
        <v>2565</v>
      </c>
      <c r="C1174" t="s">
        <v>139</v>
      </c>
      <c r="D1174" t="s">
        <v>190</v>
      </c>
      <c r="E1174" t="s">
        <v>45</v>
      </c>
      <c r="F1174" t="s">
        <v>49</v>
      </c>
      <c r="G1174" t="s">
        <v>2492</v>
      </c>
      <c r="H1174" t="s">
        <v>2671</v>
      </c>
      <c r="J1174" t="str">
        <f>HYPERLINK("https://twitter.com/FinoPaymntsBank/status/1768238147186639195","https://twitter.com/FinoPaymntsBank/status/1768238147186639195")</f>
        <v>https://twitter.com/FinoPaymntsBank/status/1768238147186639195</v>
      </c>
      <c r="K1174" t="s">
        <v>145</v>
      </c>
      <c r="O1174">
        <v>0</v>
      </c>
      <c r="P1174">
        <v>0</v>
      </c>
      <c r="Q1174">
        <v>8442</v>
      </c>
      <c r="R1174" t="s">
        <v>193</v>
      </c>
      <c r="S1174">
        <v>0</v>
      </c>
      <c r="T1174">
        <v>0</v>
      </c>
      <c r="U1174">
        <v>0</v>
      </c>
      <c r="W1174" t="s">
        <v>146</v>
      </c>
    </row>
    <row r="1175" spans="1:45" x14ac:dyDescent="0.35">
      <c r="A1175" t="s">
        <v>45</v>
      </c>
      <c r="B1175" t="s">
        <v>2565</v>
      </c>
      <c r="C1175" t="s">
        <v>47</v>
      </c>
      <c r="D1175" t="s">
        <v>45</v>
      </c>
      <c r="E1175" t="s">
        <v>45</v>
      </c>
      <c r="F1175" t="s">
        <v>49</v>
      </c>
      <c r="G1175" t="s">
        <v>2672</v>
      </c>
      <c r="H1175" t="s">
        <v>2673</v>
      </c>
      <c r="J1175" t="str">
        <f>HYPERLINK("https://www.facebook.com/454965103328545/posts/788107050014347","https://www.facebook.com/454965103328545/posts/788107050014347")</f>
        <v>https://www.facebook.com/454965103328545/posts/788107050014347</v>
      </c>
      <c r="O1175">
        <v>0</v>
      </c>
      <c r="P1175">
        <v>0</v>
      </c>
      <c r="Q1175">
        <v>0</v>
      </c>
      <c r="S1175">
        <v>5</v>
      </c>
      <c r="T1175">
        <v>194</v>
      </c>
      <c r="U1175">
        <v>3</v>
      </c>
      <c r="W1175" t="s">
        <v>106</v>
      </c>
      <c r="AO1175" t="s">
        <v>67</v>
      </c>
      <c r="AS1175" t="s">
        <v>115</v>
      </c>
    </row>
    <row r="1176" spans="1:45" x14ac:dyDescent="0.35">
      <c r="A1176" t="s">
        <v>45</v>
      </c>
      <c r="B1176" t="s">
        <v>2565</v>
      </c>
      <c r="C1176" t="s">
        <v>139</v>
      </c>
      <c r="D1176" t="s">
        <v>2674</v>
      </c>
      <c r="E1176" t="s">
        <v>2675</v>
      </c>
      <c r="F1176" t="s">
        <v>49</v>
      </c>
      <c r="G1176" t="s">
        <v>2676</v>
      </c>
      <c r="H1176" t="s">
        <v>2677</v>
      </c>
      <c r="J1176" t="str">
        <f>HYPERLINK("https://twitter.com/iamsourangsu/status/1768232244542357733","https://twitter.com/iamsourangsu/status/1768232244542357733")</f>
        <v>https://twitter.com/iamsourangsu/status/1768232244542357733</v>
      </c>
      <c r="O1176">
        <v>0</v>
      </c>
      <c r="P1176">
        <v>0</v>
      </c>
      <c r="Q1176">
        <v>9</v>
      </c>
      <c r="R1176" t="s">
        <v>2678</v>
      </c>
      <c r="S1176">
        <v>0</v>
      </c>
      <c r="T1176">
        <v>0</v>
      </c>
      <c r="U1176">
        <v>0</v>
      </c>
      <c r="W1176" t="s">
        <v>146</v>
      </c>
    </row>
    <row r="1177" spans="1:45" x14ac:dyDescent="0.35">
      <c r="A1177" t="s">
        <v>45</v>
      </c>
      <c r="B1177" t="s">
        <v>2565</v>
      </c>
      <c r="C1177" t="s">
        <v>102</v>
      </c>
      <c r="D1177" t="s">
        <v>2506</v>
      </c>
      <c r="E1177" t="s">
        <v>2506</v>
      </c>
      <c r="F1177" t="s">
        <v>76</v>
      </c>
      <c r="G1177" t="s">
        <v>2679</v>
      </c>
      <c r="H1177" t="s">
        <v>2680</v>
      </c>
      <c r="J1177" t="str">
        <f>HYPERLINK("https://www.linkedin.com/feed/update/urn:li:activity:7173989623130386434","https://www.linkedin.com/feed/update/urn:li:activity:7173989623130386434")</f>
        <v>https://www.linkedin.com/feed/update/urn:li:activity:7173989623130386434</v>
      </c>
      <c r="O1177">
        <v>0</v>
      </c>
      <c r="P1177">
        <v>0</v>
      </c>
      <c r="Q1177">
        <v>0</v>
      </c>
      <c r="S1177">
        <v>0</v>
      </c>
      <c r="T1177">
        <v>0</v>
      </c>
      <c r="U1177">
        <v>0</v>
      </c>
      <c r="W1177" t="s">
        <v>106</v>
      </c>
    </row>
    <row r="1178" spans="1:45" x14ac:dyDescent="0.35">
      <c r="A1178" t="s">
        <v>45</v>
      </c>
      <c r="B1178" t="s">
        <v>2565</v>
      </c>
      <c r="C1178" t="s">
        <v>47</v>
      </c>
      <c r="D1178" t="s">
        <v>445</v>
      </c>
      <c r="E1178" t="s">
        <v>445</v>
      </c>
      <c r="F1178" t="s">
        <v>49</v>
      </c>
      <c r="G1178" t="s">
        <v>2402</v>
      </c>
      <c r="H1178" t="s">
        <v>2681</v>
      </c>
      <c r="J1178" t="str">
        <f>HYPERLINK("https://www.facebook.com/454965103328545/posts/787041066787612?comment_id=403976215568982","https://www.facebook.com/454965103328545/posts/787041066787612?comment_id=403976215568982")</f>
        <v>https://www.facebook.com/454965103328545/posts/787041066787612?comment_id=403976215568982</v>
      </c>
      <c r="O1178">
        <v>0</v>
      </c>
      <c r="P1178">
        <v>0</v>
      </c>
      <c r="Q1178">
        <v>0</v>
      </c>
      <c r="S1178">
        <v>0</v>
      </c>
      <c r="T1178">
        <v>0</v>
      </c>
      <c r="U1178">
        <v>0</v>
      </c>
      <c r="W1178" t="s">
        <v>62</v>
      </c>
    </row>
    <row r="1179" spans="1:45" x14ac:dyDescent="0.35">
      <c r="A1179" t="s">
        <v>45</v>
      </c>
      <c r="B1179" t="s">
        <v>2565</v>
      </c>
      <c r="C1179" t="s">
        <v>47</v>
      </c>
      <c r="D1179" t="s">
        <v>445</v>
      </c>
      <c r="E1179" t="s">
        <v>445</v>
      </c>
      <c r="F1179" t="s">
        <v>49</v>
      </c>
      <c r="G1179" t="s">
        <v>2682</v>
      </c>
      <c r="H1179" t="s">
        <v>2683</v>
      </c>
      <c r="J1179" t="str">
        <f>HYPERLINK("https://www.facebook.com/454965103328545/posts/784845107007208?comment_id=316564281047779&amp;reply_comment_id=440681528385397","https://www.facebook.com/454965103328545/posts/784845107007208?comment_id=316564281047779&amp;reply_comment_id=440681528385397")</f>
        <v>https://www.facebook.com/454965103328545/posts/784845107007208?comment_id=316564281047779&amp;reply_comment_id=440681528385397</v>
      </c>
      <c r="O1179">
        <v>0</v>
      </c>
      <c r="P1179">
        <v>0</v>
      </c>
      <c r="Q1179">
        <v>0</v>
      </c>
      <c r="S1179">
        <v>0</v>
      </c>
      <c r="T1179">
        <v>0</v>
      </c>
      <c r="U1179">
        <v>0</v>
      </c>
      <c r="W1179" t="s">
        <v>62</v>
      </c>
    </row>
    <row r="1180" spans="1:45" x14ac:dyDescent="0.35">
      <c r="A1180" t="s">
        <v>45</v>
      </c>
      <c r="B1180" t="s">
        <v>2565</v>
      </c>
      <c r="C1180" t="s">
        <v>47</v>
      </c>
      <c r="D1180" t="s">
        <v>445</v>
      </c>
      <c r="E1180" t="s">
        <v>445</v>
      </c>
      <c r="F1180" t="s">
        <v>49</v>
      </c>
      <c r="G1180" t="s">
        <v>2402</v>
      </c>
      <c r="H1180" t="s">
        <v>2684</v>
      </c>
      <c r="J1180" t="str">
        <f>HYPERLINK("https://www.facebook.com/454965103328545/posts/786419253516460?comment_id=1626987434777645","https://www.facebook.com/454965103328545/posts/786419253516460?comment_id=1626987434777645")</f>
        <v>https://www.facebook.com/454965103328545/posts/786419253516460?comment_id=1626987434777645</v>
      </c>
      <c r="O1180">
        <v>0</v>
      </c>
      <c r="P1180">
        <v>0</v>
      </c>
      <c r="Q1180">
        <v>0</v>
      </c>
      <c r="S1180">
        <v>0</v>
      </c>
      <c r="T1180">
        <v>0</v>
      </c>
      <c r="U1180">
        <v>0</v>
      </c>
      <c r="W1180" t="s">
        <v>62</v>
      </c>
    </row>
    <row r="1181" spans="1:45" x14ac:dyDescent="0.35">
      <c r="A1181" t="s">
        <v>45</v>
      </c>
      <c r="B1181" t="s">
        <v>2565</v>
      </c>
      <c r="C1181" t="s">
        <v>58</v>
      </c>
      <c r="D1181" t="s">
        <v>721</v>
      </c>
      <c r="E1181" t="s">
        <v>721</v>
      </c>
      <c r="F1181" t="s">
        <v>76</v>
      </c>
      <c r="G1181" t="s">
        <v>2685</v>
      </c>
      <c r="H1181" t="s">
        <v>2686</v>
      </c>
      <c r="J1181" t="str">
        <f>HYPERLINK("https://www.youtube.com/watch?v=F7H374PaOgY","https://www.youtube.com/watch?v=F7H374PaOgY")</f>
        <v>https://www.youtube.com/watch?v=F7H374PaOgY</v>
      </c>
      <c r="O1181">
        <v>0</v>
      </c>
      <c r="P1181">
        <v>0</v>
      </c>
      <c r="Q1181">
        <v>0</v>
      </c>
      <c r="S1181">
        <v>0</v>
      </c>
      <c r="T1181">
        <v>0</v>
      </c>
      <c r="U1181">
        <v>0</v>
      </c>
      <c r="W1181" t="s">
        <v>106</v>
      </c>
    </row>
    <row r="1182" spans="1:45" x14ac:dyDescent="0.35">
      <c r="A1182" t="s">
        <v>45</v>
      </c>
      <c r="B1182" t="s">
        <v>2565</v>
      </c>
      <c r="C1182" t="s">
        <v>139</v>
      </c>
      <c r="D1182" t="s">
        <v>726</v>
      </c>
      <c r="E1182" t="s">
        <v>727</v>
      </c>
      <c r="F1182" t="s">
        <v>49</v>
      </c>
      <c r="G1182" t="s">
        <v>2687</v>
      </c>
      <c r="H1182" t="s">
        <v>2688</v>
      </c>
      <c r="J1182" t="str">
        <f>HYPERLINK("https://twitter.com/AkashYakov92580/status/1768206722081141016","https://twitter.com/AkashYakov92580/status/1768206722081141016")</f>
        <v>https://twitter.com/AkashYakov92580/status/1768206722081141016</v>
      </c>
      <c r="K1182" t="s">
        <v>145</v>
      </c>
      <c r="O1182">
        <v>0</v>
      </c>
      <c r="P1182">
        <v>0</v>
      </c>
      <c r="Q1182">
        <v>0</v>
      </c>
      <c r="S1182">
        <v>0</v>
      </c>
      <c r="T1182">
        <v>0</v>
      </c>
      <c r="U1182">
        <v>0</v>
      </c>
      <c r="W1182" t="s">
        <v>146</v>
      </c>
    </row>
    <row r="1183" spans="1:45" x14ac:dyDescent="0.35">
      <c r="A1183" t="s">
        <v>45</v>
      </c>
      <c r="B1183" t="s">
        <v>2565</v>
      </c>
      <c r="C1183" t="s">
        <v>58</v>
      </c>
      <c r="D1183" t="s">
        <v>2689</v>
      </c>
      <c r="E1183" t="s">
        <v>2689</v>
      </c>
      <c r="F1183" t="s">
        <v>49</v>
      </c>
      <c r="G1183" t="s">
        <v>2690</v>
      </c>
      <c r="H1183" t="s">
        <v>2691</v>
      </c>
      <c r="J1183" t="str">
        <f>HYPERLINK("https://www.youtube.com/watch?v=5mIU3Sbo5xE","https://www.youtube.com/watch?v=5mIU3Sbo5xE")</f>
        <v>https://www.youtube.com/watch?v=5mIU3Sbo5xE</v>
      </c>
      <c r="O1183">
        <v>0</v>
      </c>
      <c r="P1183">
        <v>0</v>
      </c>
      <c r="Q1183">
        <v>0</v>
      </c>
      <c r="S1183">
        <v>0</v>
      </c>
      <c r="T1183">
        <v>0</v>
      </c>
      <c r="U1183">
        <v>0</v>
      </c>
      <c r="W1183" t="s">
        <v>106</v>
      </c>
    </row>
    <row r="1184" spans="1:45" x14ac:dyDescent="0.35">
      <c r="A1184" t="s">
        <v>45</v>
      </c>
      <c r="B1184" t="s">
        <v>2565</v>
      </c>
      <c r="C1184" t="s">
        <v>139</v>
      </c>
      <c r="D1184" t="s">
        <v>726</v>
      </c>
      <c r="E1184" t="s">
        <v>727</v>
      </c>
      <c r="F1184" t="s">
        <v>49</v>
      </c>
      <c r="G1184" t="s">
        <v>2692</v>
      </c>
      <c r="H1184" t="s">
        <v>2693</v>
      </c>
      <c r="J1184" t="str">
        <f>HYPERLINK("https://twitter.com/AkashYakov92580/status/1768191688999305634","https://twitter.com/AkashYakov92580/status/1768191688999305634")</f>
        <v>https://twitter.com/AkashYakov92580/status/1768191688999305634</v>
      </c>
      <c r="K1184" t="s">
        <v>145</v>
      </c>
      <c r="O1184">
        <v>0</v>
      </c>
      <c r="P1184">
        <v>0</v>
      </c>
      <c r="Q1184">
        <v>0</v>
      </c>
      <c r="S1184">
        <v>0</v>
      </c>
      <c r="T1184">
        <v>0</v>
      </c>
      <c r="U1184">
        <v>0</v>
      </c>
      <c r="W1184" t="s">
        <v>146</v>
      </c>
    </row>
    <row r="1185" spans="1:42" x14ac:dyDescent="0.35">
      <c r="A1185" t="s">
        <v>45</v>
      </c>
      <c r="B1185" t="s">
        <v>2565</v>
      </c>
      <c r="C1185" t="s">
        <v>58</v>
      </c>
      <c r="D1185" t="s">
        <v>2694</v>
      </c>
      <c r="E1185" t="s">
        <v>2694</v>
      </c>
      <c r="F1185" t="s">
        <v>49</v>
      </c>
      <c r="G1185" t="s">
        <v>2695</v>
      </c>
      <c r="H1185" t="s">
        <v>2696</v>
      </c>
      <c r="J1185" t="str">
        <f>HYPERLINK("https://www.youtube.com/watch?v=Hq2LDews2pA","https://www.youtube.com/watch?v=Hq2LDews2pA")</f>
        <v>https://www.youtube.com/watch?v=Hq2LDews2pA</v>
      </c>
      <c r="O1185">
        <v>0</v>
      </c>
      <c r="P1185">
        <v>0</v>
      </c>
      <c r="Q1185">
        <v>0</v>
      </c>
      <c r="S1185">
        <v>0</v>
      </c>
      <c r="T1185">
        <v>0</v>
      </c>
      <c r="U1185">
        <v>0</v>
      </c>
      <c r="W1185" t="s">
        <v>106</v>
      </c>
    </row>
    <row r="1186" spans="1:42" x14ac:dyDescent="0.35">
      <c r="A1186" t="s">
        <v>45</v>
      </c>
      <c r="B1186" t="s">
        <v>2565</v>
      </c>
      <c r="C1186" t="s">
        <v>102</v>
      </c>
      <c r="D1186" t="s">
        <v>2697</v>
      </c>
      <c r="E1186" t="s">
        <v>2697</v>
      </c>
      <c r="F1186" t="s">
        <v>76</v>
      </c>
      <c r="G1186" t="s">
        <v>2698</v>
      </c>
      <c r="H1186" t="s">
        <v>2699</v>
      </c>
      <c r="J1186" t="str">
        <f>HYPERLINK("https://www.linkedin.com/feed/update/urn:li:activity:7173935173657382913","https://www.linkedin.com/feed/update/urn:li:activity:7173935173657382913")</f>
        <v>https://www.linkedin.com/feed/update/urn:li:activity:7173935173657382913</v>
      </c>
      <c r="O1186">
        <v>0</v>
      </c>
      <c r="P1186">
        <v>0</v>
      </c>
      <c r="Q1186">
        <v>0</v>
      </c>
      <c r="S1186">
        <v>0</v>
      </c>
      <c r="T1186">
        <v>0</v>
      </c>
      <c r="U1186">
        <v>0</v>
      </c>
      <c r="W1186" t="s">
        <v>106</v>
      </c>
    </row>
    <row r="1187" spans="1:42" x14ac:dyDescent="0.35">
      <c r="A1187" t="s">
        <v>45</v>
      </c>
      <c r="B1187" t="s">
        <v>2565</v>
      </c>
      <c r="C1187" t="s">
        <v>139</v>
      </c>
      <c r="D1187" t="s">
        <v>726</v>
      </c>
      <c r="E1187" t="s">
        <v>727</v>
      </c>
      <c r="F1187" t="s">
        <v>49</v>
      </c>
      <c r="G1187" t="s">
        <v>2700</v>
      </c>
      <c r="H1187" t="s">
        <v>2701</v>
      </c>
      <c r="J1187" t="str">
        <f>HYPERLINK("https://twitter.com/AkashYakov92580/status/1768167464448442860","https://twitter.com/AkashYakov92580/status/1768167464448442860")</f>
        <v>https://twitter.com/AkashYakov92580/status/1768167464448442860</v>
      </c>
      <c r="K1187" t="s">
        <v>145</v>
      </c>
      <c r="O1187">
        <v>0</v>
      </c>
      <c r="P1187">
        <v>0</v>
      </c>
      <c r="Q1187">
        <v>0</v>
      </c>
      <c r="S1187">
        <v>0</v>
      </c>
      <c r="T1187">
        <v>0</v>
      </c>
      <c r="U1187">
        <v>0</v>
      </c>
      <c r="W1187" t="s">
        <v>146</v>
      </c>
    </row>
    <row r="1188" spans="1:42" x14ac:dyDescent="0.35">
      <c r="A1188" t="s">
        <v>45</v>
      </c>
      <c r="B1188" t="s">
        <v>2565</v>
      </c>
      <c r="C1188" t="s">
        <v>58</v>
      </c>
      <c r="D1188" t="s">
        <v>2702</v>
      </c>
      <c r="E1188" t="s">
        <v>2702</v>
      </c>
      <c r="F1188" t="s">
        <v>49</v>
      </c>
      <c r="G1188" t="s">
        <v>2703</v>
      </c>
      <c r="H1188" t="s">
        <v>2704</v>
      </c>
      <c r="J1188" t="str">
        <f>HYPERLINK("https://www.youtube.com/watch?v=_2sGVCx07WA","https://www.youtube.com/watch?v=_2sGVCx07WA")</f>
        <v>https://www.youtube.com/watch?v=_2sGVCx07WA</v>
      </c>
      <c r="O1188">
        <v>0</v>
      </c>
      <c r="P1188">
        <v>0</v>
      </c>
      <c r="Q1188">
        <v>0</v>
      </c>
      <c r="S1188">
        <v>0</v>
      </c>
      <c r="T1188">
        <v>0</v>
      </c>
      <c r="U1188">
        <v>0</v>
      </c>
      <c r="W1188" t="s">
        <v>106</v>
      </c>
    </row>
    <row r="1189" spans="1:42" x14ac:dyDescent="0.35">
      <c r="A1189" t="s">
        <v>45</v>
      </c>
      <c r="B1189" t="s">
        <v>2565</v>
      </c>
      <c r="C1189" t="s">
        <v>58</v>
      </c>
      <c r="D1189" t="s">
        <v>2705</v>
      </c>
      <c r="E1189" t="s">
        <v>2705</v>
      </c>
      <c r="F1189" t="s">
        <v>76</v>
      </c>
      <c r="G1189" t="s">
        <v>2706</v>
      </c>
      <c r="H1189" t="s">
        <v>2707</v>
      </c>
      <c r="J1189" t="str">
        <f>HYPERLINK("https://www.youtube.com/watch?v=0Y2eXXt8UNQ","https://www.youtube.com/watch?v=0Y2eXXt8UNQ")</f>
        <v>https://www.youtube.com/watch?v=0Y2eXXt8UNQ</v>
      </c>
      <c r="O1189">
        <v>0</v>
      </c>
      <c r="P1189">
        <v>0</v>
      </c>
      <c r="Q1189">
        <v>0</v>
      </c>
      <c r="S1189">
        <v>0</v>
      </c>
      <c r="T1189">
        <v>0</v>
      </c>
      <c r="U1189">
        <v>0</v>
      </c>
      <c r="W1189" t="s">
        <v>106</v>
      </c>
      <c r="AP1189" t="s">
        <v>101</v>
      </c>
    </row>
    <row r="1190" spans="1:42" x14ac:dyDescent="0.35">
      <c r="A1190" t="s">
        <v>45</v>
      </c>
      <c r="B1190" t="s">
        <v>2565</v>
      </c>
      <c r="C1190" t="s">
        <v>139</v>
      </c>
      <c r="D1190" t="s">
        <v>2708</v>
      </c>
      <c r="E1190" t="s">
        <v>2709</v>
      </c>
      <c r="F1190" t="s">
        <v>76</v>
      </c>
      <c r="G1190" t="s">
        <v>2710</v>
      </c>
      <c r="H1190" t="s">
        <v>2711</v>
      </c>
      <c r="J1190" t="str">
        <f>HYPERLINK("https://twitter.com/MaheshKuma56322/status/1768146913671401816","https://twitter.com/MaheshKuma56322/status/1768146913671401816")</f>
        <v>https://twitter.com/MaheshKuma56322/status/1768146913671401816</v>
      </c>
      <c r="K1190" t="s">
        <v>145</v>
      </c>
      <c r="O1190">
        <v>0</v>
      </c>
      <c r="P1190">
        <v>0</v>
      </c>
      <c r="Q1190">
        <v>0</v>
      </c>
      <c r="S1190">
        <v>0</v>
      </c>
      <c r="T1190">
        <v>0</v>
      </c>
      <c r="U1190">
        <v>0</v>
      </c>
      <c r="W1190" t="s">
        <v>146</v>
      </c>
    </row>
    <row r="1191" spans="1:42" x14ac:dyDescent="0.35">
      <c r="A1191" t="s">
        <v>45</v>
      </c>
      <c r="B1191" t="s">
        <v>2565</v>
      </c>
      <c r="C1191" t="s">
        <v>139</v>
      </c>
      <c r="D1191" t="s">
        <v>2708</v>
      </c>
      <c r="E1191" t="s">
        <v>2709</v>
      </c>
      <c r="F1191" t="s">
        <v>76</v>
      </c>
      <c r="G1191" t="s">
        <v>2712</v>
      </c>
      <c r="H1191" t="s">
        <v>2713</v>
      </c>
      <c r="J1191" t="str">
        <f>HYPERLINK("https://twitter.com/MaheshKuma56322/status/1768146515346825405","https://twitter.com/MaheshKuma56322/status/1768146515346825405")</f>
        <v>https://twitter.com/MaheshKuma56322/status/1768146515346825405</v>
      </c>
      <c r="K1191" t="s">
        <v>145</v>
      </c>
      <c r="O1191">
        <v>0</v>
      </c>
      <c r="P1191">
        <v>0</v>
      </c>
      <c r="Q1191">
        <v>0</v>
      </c>
      <c r="S1191">
        <v>0</v>
      </c>
      <c r="T1191">
        <v>0</v>
      </c>
      <c r="U1191">
        <v>0</v>
      </c>
      <c r="W1191" t="s">
        <v>146</v>
      </c>
    </row>
    <row r="1192" spans="1:42" x14ac:dyDescent="0.35">
      <c r="A1192" t="s">
        <v>45</v>
      </c>
      <c r="B1192" t="s">
        <v>2565</v>
      </c>
      <c r="C1192" t="s">
        <v>139</v>
      </c>
      <c r="D1192" t="s">
        <v>2708</v>
      </c>
      <c r="E1192" t="s">
        <v>2709</v>
      </c>
      <c r="F1192" t="s">
        <v>76</v>
      </c>
      <c r="G1192" t="s">
        <v>2714</v>
      </c>
      <c r="H1192" t="s">
        <v>2715</v>
      </c>
      <c r="J1192" t="str">
        <f>HYPERLINK("https://twitter.com/MaheshKuma56322/status/1768145765803712765","https://twitter.com/MaheshKuma56322/status/1768145765803712765")</f>
        <v>https://twitter.com/MaheshKuma56322/status/1768145765803712765</v>
      </c>
      <c r="K1192" t="s">
        <v>145</v>
      </c>
      <c r="O1192">
        <v>0</v>
      </c>
      <c r="P1192">
        <v>0</v>
      </c>
      <c r="Q1192">
        <v>0</v>
      </c>
      <c r="S1192">
        <v>0</v>
      </c>
      <c r="T1192">
        <v>0</v>
      </c>
      <c r="U1192">
        <v>0</v>
      </c>
      <c r="W1192" t="s">
        <v>146</v>
      </c>
    </row>
    <row r="1193" spans="1:42" x14ac:dyDescent="0.35">
      <c r="A1193" t="s">
        <v>45</v>
      </c>
      <c r="B1193" t="s">
        <v>2565</v>
      </c>
      <c r="C1193" t="s">
        <v>47</v>
      </c>
      <c r="D1193" t="s">
        <v>445</v>
      </c>
      <c r="E1193" t="s">
        <v>445</v>
      </c>
      <c r="F1193" t="s">
        <v>49</v>
      </c>
      <c r="G1193" t="s">
        <v>2716</v>
      </c>
      <c r="H1193" t="s">
        <v>2717</v>
      </c>
      <c r="J1193" t="str">
        <f>HYPERLINK("https://www.facebook.com/454965103328545/posts/782605413897844?comment_id=393057713434435&amp;reply_comment_id=710536854493355","https://www.facebook.com/454965103328545/posts/782605413897844?comment_id=393057713434435&amp;reply_comment_id=710536854493355")</f>
        <v>https://www.facebook.com/454965103328545/posts/782605413897844?comment_id=393057713434435&amp;reply_comment_id=710536854493355</v>
      </c>
      <c r="O1193">
        <v>0</v>
      </c>
      <c r="P1193">
        <v>0</v>
      </c>
      <c r="Q1193">
        <v>0</v>
      </c>
      <c r="S1193">
        <v>0</v>
      </c>
      <c r="T1193">
        <v>0</v>
      </c>
      <c r="U1193">
        <v>0</v>
      </c>
      <c r="W1193" t="s">
        <v>62</v>
      </c>
    </row>
    <row r="1194" spans="1:42" x14ac:dyDescent="0.35">
      <c r="A1194" t="s">
        <v>45</v>
      </c>
      <c r="B1194" t="s">
        <v>2565</v>
      </c>
      <c r="C1194" t="s">
        <v>47</v>
      </c>
      <c r="D1194" t="s">
        <v>445</v>
      </c>
      <c r="E1194" t="s">
        <v>445</v>
      </c>
      <c r="F1194" t="s">
        <v>49</v>
      </c>
      <c r="G1194" t="s">
        <v>2716</v>
      </c>
      <c r="H1194" t="s">
        <v>2718</v>
      </c>
      <c r="J1194" t="str">
        <f>HYPERLINK("https://www.facebook.com/454965103328545/posts/782603903897995?comment_id=927697882389929&amp;reply_comment_id=1466002251004582","https://www.facebook.com/454965103328545/posts/782603903897995?comment_id=927697882389929&amp;reply_comment_id=1466002251004582")</f>
        <v>https://www.facebook.com/454965103328545/posts/782603903897995?comment_id=927697882389929&amp;reply_comment_id=1466002251004582</v>
      </c>
      <c r="O1194">
        <v>0</v>
      </c>
      <c r="P1194">
        <v>0</v>
      </c>
      <c r="Q1194">
        <v>0</v>
      </c>
      <c r="S1194">
        <v>0</v>
      </c>
      <c r="T1194">
        <v>0</v>
      </c>
      <c r="U1194">
        <v>0</v>
      </c>
      <c r="W1194" t="s">
        <v>62</v>
      </c>
    </row>
    <row r="1195" spans="1:42" x14ac:dyDescent="0.35">
      <c r="A1195" t="s">
        <v>45</v>
      </c>
      <c r="B1195" t="s">
        <v>2565</v>
      </c>
      <c r="C1195" t="s">
        <v>47</v>
      </c>
      <c r="D1195" t="s">
        <v>911</v>
      </c>
      <c r="E1195" t="s">
        <v>911</v>
      </c>
      <c r="F1195" t="s">
        <v>142</v>
      </c>
      <c r="G1195" t="s">
        <v>2719</v>
      </c>
      <c r="H1195" t="s">
        <v>2720</v>
      </c>
      <c r="J1195" t="str">
        <f>HYPERLINK("https://www.facebook.com/454965103328545/posts/780222857469433?comment_id=2116263568773453","https://www.facebook.com/454965103328545/posts/780222857469433?comment_id=2116263568773453")</f>
        <v>https://www.facebook.com/454965103328545/posts/780222857469433?comment_id=2116263568773453</v>
      </c>
      <c r="O1195">
        <v>0</v>
      </c>
      <c r="P1195">
        <v>0</v>
      </c>
      <c r="Q1195">
        <v>0</v>
      </c>
      <c r="S1195">
        <v>0</v>
      </c>
      <c r="T1195">
        <v>0</v>
      </c>
      <c r="U1195">
        <v>0</v>
      </c>
      <c r="W1195" t="s">
        <v>62</v>
      </c>
      <c r="AP1195" t="s">
        <v>147</v>
      </c>
    </row>
    <row r="1196" spans="1:42" x14ac:dyDescent="0.35">
      <c r="A1196" t="s">
        <v>45</v>
      </c>
      <c r="B1196" t="s">
        <v>2565</v>
      </c>
      <c r="C1196" t="s">
        <v>58</v>
      </c>
      <c r="D1196" t="s">
        <v>1452</v>
      </c>
      <c r="E1196" t="s">
        <v>1452</v>
      </c>
      <c r="F1196" t="s">
        <v>49</v>
      </c>
      <c r="G1196" t="s">
        <v>2721</v>
      </c>
      <c r="H1196" t="s">
        <v>2722</v>
      </c>
      <c r="J1196" t="str">
        <f>HYPERLINK("https://www.youtube.com/watch?v=BLNkjRzvbbg","https://www.youtube.com/watch?v=BLNkjRzvbbg")</f>
        <v>https://www.youtube.com/watch?v=BLNkjRzvbbg</v>
      </c>
      <c r="O1196">
        <v>0</v>
      </c>
      <c r="P1196">
        <v>0</v>
      </c>
      <c r="Q1196">
        <v>0</v>
      </c>
      <c r="S1196">
        <v>0</v>
      </c>
      <c r="T1196">
        <v>0</v>
      </c>
      <c r="U1196">
        <v>0</v>
      </c>
      <c r="W1196" t="s">
        <v>106</v>
      </c>
    </row>
    <row r="1197" spans="1:42" x14ac:dyDescent="0.35">
      <c r="A1197" t="s">
        <v>45</v>
      </c>
      <c r="B1197" t="s">
        <v>2565</v>
      </c>
      <c r="C1197" t="s">
        <v>47</v>
      </c>
      <c r="D1197" t="s">
        <v>2723</v>
      </c>
      <c r="E1197" t="s">
        <v>2723</v>
      </c>
      <c r="F1197" t="s">
        <v>49</v>
      </c>
      <c r="G1197" t="s">
        <v>576</v>
      </c>
      <c r="H1197" t="s">
        <v>2724</v>
      </c>
      <c r="J1197" t="str">
        <f t="shared" ref="J1197:J1213" si="1">HYPERLINK("https://www.facebook.com/357267201017935/inbox/7155578904520030/","https://www.facebook.com/357267201017935/inbox/7155578904520030/")</f>
        <v>https://www.facebook.com/357267201017935/inbox/7155578904520030/</v>
      </c>
      <c r="O1197">
        <v>0</v>
      </c>
      <c r="P1197">
        <v>0</v>
      </c>
      <c r="Q1197">
        <v>0</v>
      </c>
      <c r="S1197">
        <v>0</v>
      </c>
      <c r="T1197">
        <v>0</v>
      </c>
      <c r="U1197">
        <v>0</v>
      </c>
      <c r="W1197" t="s">
        <v>52</v>
      </c>
    </row>
    <row r="1198" spans="1:42" x14ac:dyDescent="0.35">
      <c r="A1198" t="s">
        <v>45</v>
      </c>
      <c r="B1198" t="s">
        <v>2565</v>
      </c>
      <c r="C1198" t="s">
        <v>47</v>
      </c>
      <c r="D1198" t="s">
        <v>2723</v>
      </c>
      <c r="E1198" t="s">
        <v>2723</v>
      </c>
      <c r="F1198" t="s">
        <v>49</v>
      </c>
      <c r="G1198" t="s">
        <v>253</v>
      </c>
      <c r="H1198" t="s">
        <v>2725</v>
      </c>
      <c r="J1198" t="str">
        <f t="shared" si="1"/>
        <v>https://www.facebook.com/357267201017935/inbox/7155578904520030/</v>
      </c>
      <c r="O1198">
        <v>0</v>
      </c>
      <c r="P1198">
        <v>0</v>
      </c>
      <c r="Q1198">
        <v>0</v>
      </c>
      <c r="S1198">
        <v>0</v>
      </c>
      <c r="T1198">
        <v>0</v>
      </c>
      <c r="U1198">
        <v>0</v>
      </c>
      <c r="W1198" t="s">
        <v>52</v>
      </c>
    </row>
    <row r="1199" spans="1:42" x14ac:dyDescent="0.35">
      <c r="A1199" t="s">
        <v>45</v>
      </c>
      <c r="B1199" t="s">
        <v>2565</v>
      </c>
      <c r="C1199" t="s">
        <v>47</v>
      </c>
      <c r="D1199" t="s">
        <v>2723</v>
      </c>
      <c r="E1199" t="s">
        <v>2723</v>
      </c>
      <c r="F1199" t="s">
        <v>49</v>
      </c>
      <c r="G1199" t="s">
        <v>253</v>
      </c>
      <c r="H1199" t="s">
        <v>2725</v>
      </c>
      <c r="J1199" t="str">
        <f t="shared" si="1"/>
        <v>https://www.facebook.com/357267201017935/inbox/7155578904520030/</v>
      </c>
      <c r="O1199">
        <v>0</v>
      </c>
      <c r="P1199">
        <v>0</v>
      </c>
      <c r="Q1199">
        <v>0</v>
      </c>
      <c r="S1199">
        <v>0</v>
      </c>
      <c r="T1199">
        <v>0</v>
      </c>
      <c r="U1199">
        <v>0</v>
      </c>
      <c r="W1199" t="s">
        <v>52</v>
      </c>
    </row>
    <row r="1200" spans="1:42" x14ac:dyDescent="0.35">
      <c r="A1200" t="s">
        <v>45</v>
      </c>
      <c r="B1200" t="s">
        <v>2565</v>
      </c>
      <c r="C1200" t="s">
        <v>47</v>
      </c>
      <c r="D1200" t="s">
        <v>2723</v>
      </c>
      <c r="E1200" t="s">
        <v>2723</v>
      </c>
      <c r="F1200" t="s">
        <v>49</v>
      </c>
      <c r="G1200" t="s">
        <v>253</v>
      </c>
      <c r="H1200" t="s">
        <v>2726</v>
      </c>
      <c r="J1200" t="str">
        <f t="shared" si="1"/>
        <v>https://www.facebook.com/357267201017935/inbox/7155578904520030/</v>
      </c>
      <c r="O1200">
        <v>0</v>
      </c>
      <c r="P1200">
        <v>0</v>
      </c>
      <c r="Q1200">
        <v>0</v>
      </c>
      <c r="S1200">
        <v>0</v>
      </c>
      <c r="T1200">
        <v>0</v>
      </c>
      <c r="U1200">
        <v>0</v>
      </c>
      <c r="W1200" t="s">
        <v>52</v>
      </c>
    </row>
    <row r="1201" spans="1:23" x14ac:dyDescent="0.35">
      <c r="A1201" t="s">
        <v>45</v>
      </c>
      <c r="B1201" t="s">
        <v>2565</v>
      </c>
      <c r="C1201" t="s">
        <v>47</v>
      </c>
      <c r="D1201" t="s">
        <v>2723</v>
      </c>
      <c r="E1201" t="s">
        <v>2723</v>
      </c>
      <c r="F1201" t="s">
        <v>49</v>
      </c>
      <c r="G1201" t="s">
        <v>253</v>
      </c>
      <c r="H1201" t="s">
        <v>2726</v>
      </c>
      <c r="J1201" t="str">
        <f t="shared" si="1"/>
        <v>https://www.facebook.com/357267201017935/inbox/7155578904520030/</v>
      </c>
      <c r="O1201">
        <v>0</v>
      </c>
      <c r="P1201">
        <v>0</v>
      </c>
      <c r="Q1201">
        <v>0</v>
      </c>
      <c r="S1201">
        <v>0</v>
      </c>
      <c r="T1201">
        <v>0</v>
      </c>
      <c r="U1201">
        <v>0</v>
      </c>
      <c r="W1201" t="s">
        <v>52</v>
      </c>
    </row>
    <row r="1202" spans="1:23" x14ac:dyDescent="0.35">
      <c r="A1202" t="s">
        <v>45</v>
      </c>
      <c r="B1202" t="s">
        <v>2565</v>
      </c>
      <c r="C1202" t="s">
        <v>47</v>
      </c>
      <c r="D1202" t="s">
        <v>2723</v>
      </c>
      <c r="E1202" t="s">
        <v>2723</v>
      </c>
      <c r="F1202" t="s">
        <v>49</v>
      </c>
      <c r="G1202" t="s">
        <v>253</v>
      </c>
      <c r="H1202" t="s">
        <v>2726</v>
      </c>
      <c r="J1202" t="str">
        <f t="shared" si="1"/>
        <v>https://www.facebook.com/357267201017935/inbox/7155578904520030/</v>
      </c>
      <c r="O1202">
        <v>0</v>
      </c>
      <c r="P1202">
        <v>0</v>
      </c>
      <c r="Q1202">
        <v>0</v>
      </c>
      <c r="S1202">
        <v>0</v>
      </c>
      <c r="T1202">
        <v>0</v>
      </c>
      <c r="U1202">
        <v>0</v>
      </c>
      <c r="W1202" t="s">
        <v>52</v>
      </c>
    </row>
    <row r="1203" spans="1:23" x14ac:dyDescent="0.35">
      <c r="A1203" t="s">
        <v>45</v>
      </c>
      <c r="B1203" t="s">
        <v>2565</v>
      </c>
      <c r="C1203" t="s">
        <v>47</v>
      </c>
      <c r="D1203" t="s">
        <v>2723</v>
      </c>
      <c r="E1203" t="s">
        <v>2723</v>
      </c>
      <c r="F1203" t="s">
        <v>49</v>
      </c>
      <c r="G1203" t="s">
        <v>253</v>
      </c>
      <c r="H1203" t="s">
        <v>2727</v>
      </c>
      <c r="J1203" t="str">
        <f t="shared" si="1"/>
        <v>https://www.facebook.com/357267201017935/inbox/7155578904520030/</v>
      </c>
      <c r="O1203">
        <v>0</v>
      </c>
      <c r="P1203">
        <v>0</v>
      </c>
      <c r="Q1203">
        <v>0</v>
      </c>
      <c r="S1203">
        <v>0</v>
      </c>
      <c r="T1203">
        <v>0</v>
      </c>
      <c r="U1203">
        <v>0</v>
      </c>
      <c r="W1203" t="s">
        <v>52</v>
      </c>
    </row>
    <row r="1204" spans="1:23" x14ac:dyDescent="0.35">
      <c r="A1204" t="s">
        <v>45</v>
      </c>
      <c r="B1204" t="s">
        <v>2565</v>
      </c>
      <c r="C1204" t="s">
        <v>47</v>
      </c>
      <c r="D1204" t="s">
        <v>2723</v>
      </c>
      <c r="E1204" t="s">
        <v>2723</v>
      </c>
      <c r="F1204" t="s">
        <v>49</v>
      </c>
      <c r="G1204" t="s">
        <v>253</v>
      </c>
      <c r="H1204" t="s">
        <v>2727</v>
      </c>
      <c r="J1204" t="str">
        <f t="shared" si="1"/>
        <v>https://www.facebook.com/357267201017935/inbox/7155578904520030/</v>
      </c>
      <c r="O1204">
        <v>0</v>
      </c>
      <c r="P1204">
        <v>0</v>
      </c>
      <c r="Q1204">
        <v>0</v>
      </c>
      <c r="S1204">
        <v>0</v>
      </c>
      <c r="T1204">
        <v>0</v>
      </c>
      <c r="U1204">
        <v>0</v>
      </c>
      <c r="W1204" t="s">
        <v>52</v>
      </c>
    </row>
    <row r="1205" spans="1:23" x14ac:dyDescent="0.35">
      <c r="A1205" t="s">
        <v>45</v>
      </c>
      <c r="B1205" t="s">
        <v>2565</v>
      </c>
      <c r="C1205" t="s">
        <v>47</v>
      </c>
      <c r="D1205" t="s">
        <v>2723</v>
      </c>
      <c r="E1205" t="s">
        <v>2723</v>
      </c>
      <c r="F1205" t="s">
        <v>49</v>
      </c>
      <c r="G1205" t="s">
        <v>253</v>
      </c>
      <c r="H1205" t="s">
        <v>2727</v>
      </c>
      <c r="J1205" t="str">
        <f t="shared" si="1"/>
        <v>https://www.facebook.com/357267201017935/inbox/7155578904520030/</v>
      </c>
      <c r="O1205">
        <v>0</v>
      </c>
      <c r="P1205">
        <v>0</v>
      </c>
      <c r="Q1205">
        <v>0</v>
      </c>
      <c r="S1205">
        <v>0</v>
      </c>
      <c r="T1205">
        <v>0</v>
      </c>
      <c r="U1205">
        <v>0</v>
      </c>
      <c r="W1205" t="s">
        <v>52</v>
      </c>
    </row>
    <row r="1206" spans="1:23" x14ac:dyDescent="0.35">
      <c r="A1206" t="s">
        <v>45</v>
      </c>
      <c r="B1206" t="s">
        <v>2565</v>
      </c>
      <c r="C1206" t="s">
        <v>47</v>
      </c>
      <c r="D1206" t="s">
        <v>2723</v>
      </c>
      <c r="E1206" t="s">
        <v>2723</v>
      </c>
      <c r="F1206" t="s">
        <v>49</v>
      </c>
      <c r="G1206" t="s">
        <v>253</v>
      </c>
      <c r="H1206" t="s">
        <v>2728</v>
      </c>
      <c r="J1206" t="str">
        <f t="shared" si="1"/>
        <v>https://www.facebook.com/357267201017935/inbox/7155578904520030/</v>
      </c>
      <c r="O1206">
        <v>0</v>
      </c>
      <c r="P1206">
        <v>0</v>
      </c>
      <c r="Q1206">
        <v>0</v>
      </c>
      <c r="S1206">
        <v>0</v>
      </c>
      <c r="T1206">
        <v>0</v>
      </c>
      <c r="U1206">
        <v>0</v>
      </c>
      <c r="W1206" t="s">
        <v>52</v>
      </c>
    </row>
    <row r="1207" spans="1:23" x14ac:dyDescent="0.35">
      <c r="A1207" t="s">
        <v>45</v>
      </c>
      <c r="B1207" t="s">
        <v>2565</v>
      </c>
      <c r="C1207" t="s">
        <v>47</v>
      </c>
      <c r="D1207" t="s">
        <v>2723</v>
      </c>
      <c r="E1207" t="s">
        <v>2723</v>
      </c>
      <c r="F1207" t="s">
        <v>49</v>
      </c>
      <c r="G1207" t="s">
        <v>253</v>
      </c>
      <c r="H1207" t="s">
        <v>2728</v>
      </c>
      <c r="J1207" t="str">
        <f t="shared" si="1"/>
        <v>https://www.facebook.com/357267201017935/inbox/7155578904520030/</v>
      </c>
      <c r="O1207">
        <v>0</v>
      </c>
      <c r="P1207">
        <v>0</v>
      </c>
      <c r="Q1207">
        <v>0</v>
      </c>
      <c r="S1207">
        <v>0</v>
      </c>
      <c r="T1207">
        <v>0</v>
      </c>
      <c r="U1207">
        <v>0</v>
      </c>
      <c r="W1207" t="s">
        <v>52</v>
      </c>
    </row>
    <row r="1208" spans="1:23" x14ac:dyDescent="0.35">
      <c r="A1208" t="s">
        <v>45</v>
      </c>
      <c r="B1208" t="s">
        <v>2565</v>
      </c>
      <c r="C1208" t="s">
        <v>47</v>
      </c>
      <c r="D1208" t="s">
        <v>2723</v>
      </c>
      <c r="E1208" t="s">
        <v>2723</v>
      </c>
      <c r="F1208" t="s">
        <v>49</v>
      </c>
      <c r="G1208" t="s">
        <v>253</v>
      </c>
      <c r="H1208" t="s">
        <v>2728</v>
      </c>
      <c r="J1208" t="str">
        <f t="shared" si="1"/>
        <v>https://www.facebook.com/357267201017935/inbox/7155578904520030/</v>
      </c>
      <c r="O1208">
        <v>0</v>
      </c>
      <c r="P1208">
        <v>0</v>
      </c>
      <c r="Q1208">
        <v>0</v>
      </c>
      <c r="S1208">
        <v>0</v>
      </c>
      <c r="T1208">
        <v>0</v>
      </c>
      <c r="U1208">
        <v>0</v>
      </c>
      <c r="W1208" t="s">
        <v>52</v>
      </c>
    </row>
    <row r="1209" spans="1:23" x14ac:dyDescent="0.35">
      <c r="A1209" t="s">
        <v>45</v>
      </c>
      <c r="B1209" t="s">
        <v>2565</v>
      </c>
      <c r="C1209" t="s">
        <v>47</v>
      </c>
      <c r="D1209" t="s">
        <v>2723</v>
      </c>
      <c r="E1209" t="s">
        <v>2723</v>
      </c>
      <c r="F1209" t="s">
        <v>49</v>
      </c>
      <c r="G1209" t="s">
        <v>253</v>
      </c>
      <c r="H1209" t="s">
        <v>2728</v>
      </c>
      <c r="J1209" t="str">
        <f t="shared" si="1"/>
        <v>https://www.facebook.com/357267201017935/inbox/7155578904520030/</v>
      </c>
      <c r="O1209">
        <v>0</v>
      </c>
      <c r="P1209">
        <v>0</v>
      </c>
      <c r="Q1209">
        <v>0</v>
      </c>
      <c r="S1209">
        <v>0</v>
      </c>
      <c r="T1209">
        <v>0</v>
      </c>
      <c r="U1209">
        <v>0</v>
      </c>
      <c r="W1209" t="s">
        <v>52</v>
      </c>
    </row>
    <row r="1210" spans="1:23" x14ac:dyDescent="0.35">
      <c r="A1210" t="s">
        <v>45</v>
      </c>
      <c r="B1210" t="s">
        <v>2565</v>
      </c>
      <c r="C1210" t="s">
        <v>47</v>
      </c>
      <c r="D1210" t="s">
        <v>2723</v>
      </c>
      <c r="E1210" t="s">
        <v>2723</v>
      </c>
      <c r="F1210" t="s">
        <v>49</v>
      </c>
      <c r="G1210" t="s">
        <v>253</v>
      </c>
      <c r="H1210" t="s">
        <v>2729</v>
      </c>
      <c r="J1210" t="str">
        <f t="shared" si="1"/>
        <v>https://www.facebook.com/357267201017935/inbox/7155578904520030/</v>
      </c>
      <c r="O1210">
        <v>0</v>
      </c>
      <c r="P1210">
        <v>0</v>
      </c>
      <c r="Q1210">
        <v>0</v>
      </c>
      <c r="S1210">
        <v>0</v>
      </c>
      <c r="T1210">
        <v>0</v>
      </c>
      <c r="U1210">
        <v>0</v>
      </c>
      <c r="W1210" t="s">
        <v>52</v>
      </c>
    </row>
    <row r="1211" spans="1:23" x14ac:dyDescent="0.35">
      <c r="A1211" t="s">
        <v>45</v>
      </c>
      <c r="B1211" t="s">
        <v>2565</v>
      </c>
      <c r="C1211" t="s">
        <v>47</v>
      </c>
      <c r="D1211" t="s">
        <v>2723</v>
      </c>
      <c r="E1211" t="s">
        <v>2723</v>
      </c>
      <c r="F1211" t="s">
        <v>49</v>
      </c>
      <c r="G1211" t="s">
        <v>253</v>
      </c>
      <c r="H1211" t="s">
        <v>2730</v>
      </c>
      <c r="J1211" t="str">
        <f t="shared" si="1"/>
        <v>https://www.facebook.com/357267201017935/inbox/7155578904520030/</v>
      </c>
      <c r="O1211">
        <v>0</v>
      </c>
      <c r="P1211">
        <v>0</v>
      </c>
      <c r="Q1211">
        <v>0</v>
      </c>
      <c r="S1211">
        <v>0</v>
      </c>
      <c r="T1211">
        <v>0</v>
      </c>
      <c r="U1211">
        <v>0</v>
      </c>
      <c r="W1211" t="s">
        <v>52</v>
      </c>
    </row>
    <row r="1212" spans="1:23" x14ac:dyDescent="0.35">
      <c r="A1212" t="s">
        <v>45</v>
      </c>
      <c r="B1212" t="s">
        <v>2565</v>
      </c>
      <c r="C1212" t="s">
        <v>47</v>
      </c>
      <c r="D1212" t="s">
        <v>2723</v>
      </c>
      <c r="E1212" t="s">
        <v>2723</v>
      </c>
      <c r="F1212" t="s">
        <v>49</v>
      </c>
      <c r="G1212" t="s">
        <v>253</v>
      </c>
      <c r="H1212" t="s">
        <v>2731</v>
      </c>
      <c r="J1212" t="str">
        <f t="shared" si="1"/>
        <v>https://www.facebook.com/357267201017935/inbox/7155578904520030/</v>
      </c>
      <c r="O1212">
        <v>0</v>
      </c>
      <c r="P1212">
        <v>0</v>
      </c>
      <c r="Q1212">
        <v>0</v>
      </c>
      <c r="S1212">
        <v>0</v>
      </c>
      <c r="T1212">
        <v>0</v>
      </c>
      <c r="U1212">
        <v>0</v>
      </c>
      <c r="W1212" t="s">
        <v>52</v>
      </c>
    </row>
    <row r="1213" spans="1:23" x14ac:dyDescent="0.35">
      <c r="A1213" t="s">
        <v>45</v>
      </c>
      <c r="B1213" t="s">
        <v>2565</v>
      </c>
      <c r="C1213" t="s">
        <v>47</v>
      </c>
      <c r="D1213" t="s">
        <v>2723</v>
      </c>
      <c r="E1213" t="s">
        <v>2723</v>
      </c>
      <c r="F1213" t="s">
        <v>49</v>
      </c>
      <c r="G1213" t="s">
        <v>2732</v>
      </c>
      <c r="H1213" t="s">
        <v>2733</v>
      </c>
      <c r="J1213" t="str">
        <f t="shared" si="1"/>
        <v>https://www.facebook.com/357267201017935/inbox/7155578904520030/</v>
      </c>
      <c r="O1213">
        <v>0</v>
      </c>
      <c r="P1213">
        <v>0</v>
      </c>
      <c r="Q1213">
        <v>0</v>
      </c>
      <c r="S1213">
        <v>0</v>
      </c>
      <c r="T1213">
        <v>0</v>
      </c>
      <c r="U1213">
        <v>0</v>
      </c>
      <c r="W1213" t="s">
        <v>52</v>
      </c>
    </row>
    <row r="1214" spans="1:23" x14ac:dyDescent="0.35">
      <c r="A1214" t="s">
        <v>45</v>
      </c>
      <c r="B1214" t="s">
        <v>2565</v>
      </c>
      <c r="C1214" t="s">
        <v>139</v>
      </c>
      <c r="D1214" t="s">
        <v>942</v>
      </c>
      <c r="E1214" t="s">
        <v>943</v>
      </c>
      <c r="F1214" t="s">
        <v>49</v>
      </c>
      <c r="G1214" t="s">
        <v>2734</v>
      </c>
      <c r="H1214" t="s">
        <v>2735</v>
      </c>
      <c r="J1214" t="str">
        <f>HYPERLINK("https://twitter.com/rajendras1819/status/1768105685605077202","https://twitter.com/rajendras1819/status/1768105685605077202")</f>
        <v>https://twitter.com/rajendras1819/status/1768105685605077202</v>
      </c>
      <c r="O1214">
        <v>0</v>
      </c>
      <c r="P1214">
        <v>0</v>
      </c>
      <c r="Q1214">
        <v>263</v>
      </c>
      <c r="R1214" t="s">
        <v>946</v>
      </c>
      <c r="S1214">
        <v>0</v>
      </c>
      <c r="T1214">
        <v>0</v>
      </c>
      <c r="U1214">
        <v>0</v>
      </c>
      <c r="W1214" t="s">
        <v>552</v>
      </c>
    </row>
    <row r="1215" spans="1:23" x14ac:dyDescent="0.35">
      <c r="A1215" t="s">
        <v>45</v>
      </c>
      <c r="B1215" t="s">
        <v>2565</v>
      </c>
      <c r="C1215" t="s">
        <v>58</v>
      </c>
      <c r="D1215" t="s">
        <v>2736</v>
      </c>
      <c r="E1215" t="s">
        <v>2736</v>
      </c>
      <c r="F1215" t="s">
        <v>49</v>
      </c>
      <c r="G1215" t="s">
        <v>2737</v>
      </c>
      <c r="H1215" t="s">
        <v>2738</v>
      </c>
      <c r="J1215" t="str">
        <f>HYPERLINK("https://www.youtube.com/watch?v=yfn_2VhTmNo","https://www.youtube.com/watch?v=yfn_2VhTmNo")</f>
        <v>https://www.youtube.com/watch?v=yfn_2VhTmNo</v>
      </c>
      <c r="O1215">
        <v>0</v>
      </c>
      <c r="P1215">
        <v>0</v>
      </c>
      <c r="Q1215">
        <v>0</v>
      </c>
      <c r="S1215">
        <v>0</v>
      </c>
      <c r="T1215">
        <v>0</v>
      </c>
      <c r="U1215">
        <v>0</v>
      </c>
      <c r="W1215" t="s">
        <v>106</v>
      </c>
    </row>
    <row r="1216" spans="1:23" x14ac:dyDescent="0.35">
      <c r="A1216" t="s">
        <v>45</v>
      </c>
      <c r="B1216" t="s">
        <v>2565</v>
      </c>
      <c r="C1216" t="s">
        <v>139</v>
      </c>
      <c r="D1216" t="s">
        <v>190</v>
      </c>
      <c r="E1216" t="s">
        <v>45</v>
      </c>
      <c r="F1216" t="s">
        <v>49</v>
      </c>
      <c r="G1216" t="s">
        <v>2734</v>
      </c>
      <c r="H1216" t="s">
        <v>2739</v>
      </c>
      <c r="J1216" t="str">
        <f>HYPERLINK("https://twitter.com/FinoPaymntsBank/status/1768102248234566143","https://twitter.com/FinoPaymntsBank/status/1768102248234566143")</f>
        <v>https://twitter.com/FinoPaymntsBank/status/1768102248234566143</v>
      </c>
      <c r="K1216" t="s">
        <v>145</v>
      </c>
      <c r="O1216">
        <v>0</v>
      </c>
      <c r="P1216">
        <v>0</v>
      </c>
      <c r="Q1216">
        <v>8443</v>
      </c>
      <c r="R1216" t="s">
        <v>193</v>
      </c>
      <c r="S1216">
        <v>0</v>
      </c>
      <c r="T1216">
        <v>0</v>
      </c>
      <c r="U1216">
        <v>0</v>
      </c>
      <c r="W1216" t="s">
        <v>146</v>
      </c>
    </row>
    <row r="1217" spans="1:45" x14ac:dyDescent="0.35">
      <c r="A1217" t="s">
        <v>45</v>
      </c>
      <c r="B1217" t="s">
        <v>2565</v>
      </c>
      <c r="C1217" t="s">
        <v>47</v>
      </c>
      <c r="D1217" t="s">
        <v>45</v>
      </c>
      <c r="E1217" t="s">
        <v>45</v>
      </c>
      <c r="F1217" t="s">
        <v>49</v>
      </c>
      <c r="G1217" t="s">
        <v>197</v>
      </c>
      <c r="H1217" t="s">
        <v>2740</v>
      </c>
      <c r="J1217" t="str">
        <f>HYPERLINK("https://www.facebook.com/357267201017935_787885520036500","https://www.facebook.com/357267201017935_787885520036500")</f>
        <v>https://www.facebook.com/357267201017935_787885520036500</v>
      </c>
      <c r="O1217">
        <v>0</v>
      </c>
      <c r="P1217">
        <v>0</v>
      </c>
      <c r="Q1217">
        <v>0</v>
      </c>
      <c r="S1217">
        <v>0</v>
      </c>
      <c r="T1217">
        <v>0</v>
      </c>
      <c r="U1217">
        <v>0</v>
      </c>
      <c r="W1217" t="s">
        <v>106</v>
      </c>
      <c r="AS1217" t="s">
        <v>115</v>
      </c>
    </row>
    <row r="1218" spans="1:45" x14ac:dyDescent="0.35">
      <c r="A1218" t="s">
        <v>45</v>
      </c>
      <c r="B1218" t="s">
        <v>2565</v>
      </c>
      <c r="C1218" t="s">
        <v>139</v>
      </c>
      <c r="D1218" t="s">
        <v>726</v>
      </c>
      <c r="E1218" t="s">
        <v>727</v>
      </c>
      <c r="F1218" t="s">
        <v>49</v>
      </c>
      <c r="G1218" t="s">
        <v>2741</v>
      </c>
      <c r="H1218" t="s">
        <v>2742</v>
      </c>
      <c r="J1218" t="str">
        <f>HYPERLINK("https://twitter.com/AkashYakov92580/status/1768073929346937243","https://twitter.com/AkashYakov92580/status/1768073929346937243")</f>
        <v>https://twitter.com/AkashYakov92580/status/1768073929346937243</v>
      </c>
      <c r="K1218" t="s">
        <v>145</v>
      </c>
      <c r="O1218">
        <v>0</v>
      </c>
      <c r="P1218">
        <v>0</v>
      </c>
      <c r="Q1218">
        <v>0</v>
      </c>
      <c r="S1218">
        <v>0</v>
      </c>
      <c r="T1218">
        <v>0</v>
      </c>
      <c r="U1218">
        <v>0</v>
      </c>
      <c r="W1218" t="s">
        <v>146</v>
      </c>
    </row>
    <row r="1219" spans="1:45" x14ac:dyDescent="0.35">
      <c r="A1219" t="s">
        <v>45</v>
      </c>
      <c r="B1219" t="s">
        <v>2565</v>
      </c>
      <c r="C1219" t="s">
        <v>58</v>
      </c>
      <c r="D1219" t="s">
        <v>752</v>
      </c>
      <c r="E1219" t="s">
        <v>752</v>
      </c>
      <c r="F1219" t="s">
        <v>76</v>
      </c>
      <c r="G1219" t="s">
        <v>2743</v>
      </c>
      <c r="H1219" t="s">
        <v>2744</v>
      </c>
      <c r="J1219" t="str">
        <f>HYPERLINK("https://www.youtube.com/watch?v=5TI2WDxdPyk","https://www.youtube.com/watch?v=5TI2WDxdPyk")</f>
        <v>https://www.youtube.com/watch?v=5TI2WDxdPyk</v>
      </c>
      <c r="O1219">
        <v>0</v>
      </c>
      <c r="P1219">
        <v>0</v>
      </c>
      <c r="Q1219">
        <v>0</v>
      </c>
      <c r="S1219">
        <v>0</v>
      </c>
      <c r="T1219">
        <v>0</v>
      </c>
      <c r="U1219">
        <v>0</v>
      </c>
      <c r="W1219" t="s">
        <v>106</v>
      </c>
    </row>
    <row r="1220" spans="1:45" x14ac:dyDescent="0.35">
      <c r="A1220" t="s">
        <v>45</v>
      </c>
      <c r="B1220" t="s">
        <v>2565</v>
      </c>
      <c r="C1220" t="s">
        <v>47</v>
      </c>
      <c r="D1220" t="s">
        <v>1473</v>
      </c>
      <c r="E1220" t="s">
        <v>1473</v>
      </c>
      <c r="F1220" t="s">
        <v>142</v>
      </c>
      <c r="G1220" t="s">
        <v>2745</v>
      </c>
      <c r="H1220" t="s">
        <v>2746</v>
      </c>
      <c r="J1220" t="str">
        <f>HYPERLINK("https://www.facebook.com/454965103328545/posts/784345853723800?comment_id=444576797997780","https://www.facebook.com/454965103328545/posts/784345853723800?comment_id=444576797997780")</f>
        <v>https://www.facebook.com/454965103328545/posts/784345853723800?comment_id=444576797997780</v>
      </c>
      <c r="O1220">
        <v>0</v>
      </c>
      <c r="P1220">
        <v>0</v>
      </c>
      <c r="Q1220">
        <v>0</v>
      </c>
      <c r="S1220">
        <v>0</v>
      </c>
      <c r="T1220">
        <v>0</v>
      </c>
      <c r="U1220">
        <v>0</v>
      </c>
      <c r="W1220" t="s">
        <v>62</v>
      </c>
    </row>
    <row r="1221" spans="1:45" x14ac:dyDescent="0.35">
      <c r="A1221" t="s">
        <v>45</v>
      </c>
      <c r="B1221" t="s">
        <v>2565</v>
      </c>
      <c r="C1221" t="s">
        <v>47</v>
      </c>
      <c r="D1221" t="s">
        <v>1473</v>
      </c>
      <c r="E1221" t="s">
        <v>1473</v>
      </c>
      <c r="F1221" t="s">
        <v>142</v>
      </c>
      <c r="G1221" t="s">
        <v>2745</v>
      </c>
      <c r="H1221" t="s">
        <v>2747</v>
      </c>
      <c r="J1221" t="str">
        <f>HYPERLINK("https://www.facebook.com/454965103328545/posts/784845107007208?comment_id=780162057299546","https://www.facebook.com/454965103328545/posts/784845107007208?comment_id=780162057299546")</f>
        <v>https://www.facebook.com/454965103328545/posts/784845107007208?comment_id=780162057299546</v>
      </c>
      <c r="O1221">
        <v>0</v>
      </c>
      <c r="P1221">
        <v>0</v>
      </c>
      <c r="Q1221">
        <v>0</v>
      </c>
      <c r="S1221">
        <v>0</v>
      </c>
      <c r="T1221">
        <v>0</v>
      </c>
      <c r="U1221">
        <v>0</v>
      </c>
      <c r="W1221" t="s">
        <v>62</v>
      </c>
    </row>
    <row r="1222" spans="1:45" x14ac:dyDescent="0.35">
      <c r="A1222" t="s">
        <v>45</v>
      </c>
      <c r="B1222" t="s">
        <v>2565</v>
      </c>
      <c r="C1222" t="s">
        <v>47</v>
      </c>
      <c r="D1222" t="s">
        <v>1473</v>
      </c>
      <c r="E1222" t="s">
        <v>1473</v>
      </c>
      <c r="F1222" t="s">
        <v>142</v>
      </c>
      <c r="G1222" t="s">
        <v>2745</v>
      </c>
      <c r="H1222" t="s">
        <v>2748</v>
      </c>
      <c r="J1222" t="str">
        <f>HYPERLINK("https://www.facebook.com/454965103328545/posts/787041066787612?comment_id=1875423249566619","https://www.facebook.com/454965103328545/posts/787041066787612?comment_id=1875423249566619")</f>
        <v>https://www.facebook.com/454965103328545/posts/787041066787612?comment_id=1875423249566619</v>
      </c>
      <c r="O1222">
        <v>0</v>
      </c>
      <c r="P1222">
        <v>0</v>
      </c>
      <c r="Q1222">
        <v>0</v>
      </c>
      <c r="S1222">
        <v>0</v>
      </c>
      <c r="T1222">
        <v>0</v>
      </c>
      <c r="U1222">
        <v>0</v>
      </c>
      <c r="W1222" t="s">
        <v>62</v>
      </c>
    </row>
    <row r="1223" spans="1:45" x14ac:dyDescent="0.35">
      <c r="A1223" t="s">
        <v>45</v>
      </c>
      <c r="B1223" t="s">
        <v>2565</v>
      </c>
      <c r="C1223" t="s">
        <v>47</v>
      </c>
      <c r="D1223" t="s">
        <v>1473</v>
      </c>
      <c r="E1223" t="s">
        <v>1473</v>
      </c>
      <c r="F1223" t="s">
        <v>49</v>
      </c>
      <c r="G1223" t="s">
        <v>2749</v>
      </c>
      <c r="H1223" t="s">
        <v>2750</v>
      </c>
      <c r="J1223" t="str">
        <f>HYPERLINK("https://www.facebook.com/454965103328545/posts/787041066787612?comment_id=937669054698641","https://www.facebook.com/454965103328545/posts/787041066787612?comment_id=937669054698641")</f>
        <v>https://www.facebook.com/454965103328545/posts/787041066787612?comment_id=937669054698641</v>
      </c>
      <c r="O1223">
        <v>0</v>
      </c>
      <c r="P1223">
        <v>0</v>
      </c>
      <c r="Q1223">
        <v>0</v>
      </c>
      <c r="S1223">
        <v>0</v>
      </c>
      <c r="T1223">
        <v>0</v>
      </c>
      <c r="U1223">
        <v>0</v>
      </c>
      <c r="W1223" t="s">
        <v>62</v>
      </c>
    </row>
    <row r="1224" spans="1:45" x14ac:dyDescent="0.35">
      <c r="A1224" t="s">
        <v>45</v>
      </c>
      <c r="B1224" t="s">
        <v>2565</v>
      </c>
      <c r="C1224" t="s">
        <v>58</v>
      </c>
      <c r="D1224" t="s">
        <v>1679</v>
      </c>
      <c r="E1224" t="s">
        <v>1679</v>
      </c>
      <c r="F1224" t="s">
        <v>49</v>
      </c>
      <c r="G1224" t="s">
        <v>2751</v>
      </c>
      <c r="H1224" t="s">
        <v>2752</v>
      </c>
      <c r="J1224" t="str">
        <f>HYPERLINK("https://www.youtube.com/watch?v=4SoWBEKQ1g8","https://www.youtube.com/watch?v=4SoWBEKQ1g8")</f>
        <v>https://www.youtube.com/watch?v=4SoWBEKQ1g8</v>
      </c>
      <c r="O1224">
        <v>0</v>
      </c>
      <c r="P1224">
        <v>0</v>
      </c>
      <c r="Q1224">
        <v>0</v>
      </c>
      <c r="S1224">
        <v>0</v>
      </c>
      <c r="T1224">
        <v>0</v>
      </c>
      <c r="U1224">
        <v>0</v>
      </c>
      <c r="W1224" t="s">
        <v>106</v>
      </c>
    </row>
    <row r="1225" spans="1:45" x14ac:dyDescent="0.35">
      <c r="A1225" t="s">
        <v>45</v>
      </c>
      <c r="B1225" t="s">
        <v>2753</v>
      </c>
      <c r="C1225" t="s">
        <v>102</v>
      </c>
      <c r="D1225" t="s">
        <v>2754</v>
      </c>
      <c r="E1225" t="s">
        <v>2754</v>
      </c>
      <c r="F1225" t="s">
        <v>76</v>
      </c>
      <c r="G1225" t="s">
        <v>2755</v>
      </c>
      <c r="H1225" t="s">
        <v>2756</v>
      </c>
      <c r="J1225" t="str">
        <f>HYPERLINK("https://www.linkedin.com/feed/update/urn:li:ugcPost:7172843634285756416/?commentUrn=urn:li:comment:(urn:li:ugcPost:7172843634285756416,7173739411405221888)","https://www.linkedin.com/feed/update/urn:li:ugcPost:7172843634285756416/?commentUrn=urn:li:comment:(urn:li:ugcPost:7172843634285756416,7173739411405221888)")</f>
        <v>https://www.linkedin.com/feed/update/urn:li:ugcPost:7172843634285756416/?commentUrn=urn:li:comment:(urn:li:ugcPost:7172843634285756416,7173739411405221888)</v>
      </c>
      <c r="O1225">
        <v>0</v>
      </c>
      <c r="P1225">
        <v>0</v>
      </c>
      <c r="Q1225">
        <v>0</v>
      </c>
      <c r="S1225">
        <v>0</v>
      </c>
      <c r="T1225">
        <v>0</v>
      </c>
      <c r="U1225">
        <v>0</v>
      </c>
      <c r="W1225" t="s">
        <v>62</v>
      </c>
    </row>
    <row r="1226" spans="1:45" x14ac:dyDescent="0.35">
      <c r="A1226" t="s">
        <v>45</v>
      </c>
      <c r="B1226" t="s">
        <v>2753</v>
      </c>
      <c r="C1226" t="s">
        <v>58</v>
      </c>
      <c r="D1226" t="s">
        <v>2757</v>
      </c>
      <c r="E1226" t="s">
        <v>2757</v>
      </c>
      <c r="F1226" t="s">
        <v>142</v>
      </c>
      <c r="G1226" t="s">
        <v>2758</v>
      </c>
      <c r="H1226" t="s">
        <v>2759</v>
      </c>
      <c r="J1226" t="str">
        <f>HYPERLINK("https://www.youtube.com/watch?v=us58NiC5tyA","https://www.youtube.com/watch?v=us58NiC5tyA")</f>
        <v>https://www.youtube.com/watch?v=us58NiC5tyA</v>
      </c>
      <c r="O1226">
        <v>0</v>
      </c>
      <c r="P1226">
        <v>0</v>
      </c>
      <c r="Q1226">
        <v>0</v>
      </c>
      <c r="S1226">
        <v>0</v>
      </c>
      <c r="T1226">
        <v>0</v>
      </c>
      <c r="U1226">
        <v>0</v>
      </c>
      <c r="W1226" t="s">
        <v>106</v>
      </c>
    </row>
    <row r="1227" spans="1:45" x14ac:dyDescent="0.35">
      <c r="A1227" t="s">
        <v>45</v>
      </c>
      <c r="B1227" t="s">
        <v>2753</v>
      </c>
      <c r="C1227" t="s">
        <v>102</v>
      </c>
      <c r="D1227" t="s">
        <v>2754</v>
      </c>
      <c r="E1227" t="s">
        <v>2754</v>
      </c>
      <c r="F1227" t="s">
        <v>49</v>
      </c>
      <c r="G1227" t="s">
        <v>2760</v>
      </c>
      <c r="H1227" t="s">
        <v>2761</v>
      </c>
      <c r="J1227" t="str">
        <f>HYPERLINK("https://www.linkedin.com/feed/update/urn:li:ugcPost:7173730466523439104","https://www.linkedin.com/feed/update/urn:li:ugcPost:7173730466523439104")</f>
        <v>https://www.linkedin.com/feed/update/urn:li:ugcPost:7173730466523439104</v>
      </c>
      <c r="O1227">
        <v>0</v>
      </c>
      <c r="P1227">
        <v>0</v>
      </c>
      <c r="Q1227">
        <v>0</v>
      </c>
      <c r="S1227">
        <v>0</v>
      </c>
      <c r="T1227">
        <v>0</v>
      </c>
      <c r="U1227">
        <v>0</v>
      </c>
      <c r="W1227" t="s">
        <v>106</v>
      </c>
    </row>
    <row r="1228" spans="1:45" x14ac:dyDescent="0.35">
      <c r="A1228" t="s">
        <v>45</v>
      </c>
      <c r="B1228" t="s">
        <v>2753</v>
      </c>
      <c r="C1228" t="s">
        <v>139</v>
      </c>
      <c r="D1228" t="s">
        <v>2762</v>
      </c>
      <c r="E1228" t="s">
        <v>2763</v>
      </c>
      <c r="F1228" t="s">
        <v>76</v>
      </c>
      <c r="G1228" t="s">
        <v>2764</v>
      </c>
      <c r="H1228" t="s">
        <v>2765</v>
      </c>
      <c r="J1228" t="str">
        <f>HYPERLINK("https://twitter.com/equitybulls/status/1767949051817836768","https://twitter.com/equitybulls/status/1767949051817836768")</f>
        <v>https://twitter.com/equitybulls/status/1767949051817836768</v>
      </c>
      <c r="O1228">
        <v>0</v>
      </c>
      <c r="P1228">
        <v>0</v>
      </c>
      <c r="Q1228">
        <v>31167</v>
      </c>
      <c r="R1228" t="s">
        <v>2766</v>
      </c>
      <c r="S1228">
        <v>0</v>
      </c>
      <c r="T1228">
        <v>0</v>
      </c>
      <c r="U1228">
        <v>0</v>
      </c>
      <c r="W1228" t="s">
        <v>146</v>
      </c>
    </row>
    <row r="1229" spans="1:45" x14ac:dyDescent="0.35">
      <c r="A1229" t="s">
        <v>45</v>
      </c>
      <c r="B1229" t="s">
        <v>2753</v>
      </c>
      <c r="C1229" t="s">
        <v>47</v>
      </c>
      <c r="D1229" t="s">
        <v>1984</v>
      </c>
      <c r="E1229" t="s">
        <v>1984</v>
      </c>
      <c r="F1229" t="s">
        <v>49</v>
      </c>
      <c r="G1229" t="s">
        <v>2767</v>
      </c>
      <c r="H1229" t="s">
        <v>2768</v>
      </c>
      <c r="J1229" t="str">
        <f>HYPERLINK("https://www.facebook.com/357267201017935/inbox/7153733281371259/","https://www.facebook.com/357267201017935/inbox/7153733281371259/")</f>
        <v>https://www.facebook.com/357267201017935/inbox/7153733281371259/</v>
      </c>
      <c r="O1229">
        <v>0</v>
      </c>
      <c r="P1229">
        <v>0</v>
      </c>
      <c r="Q1229">
        <v>0</v>
      </c>
      <c r="S1229">
        <v>0</v>
      </c>
      <c r="T1229">
        <v>0</v>
      </c>
      <c r="U1229">
        <v>0</v>
      </c>
      <c r="W1229" t="s">
        <v>52</v>
      </c>
    </row>
    <row r="1230" spans="1:45" x14ac:dyDescent="0.35">
      <c r="A1230" t="s">
        <v>45</v>
      </c>
      <c r="B1230" t="s">
        <v>2753</v>
      </c>
      <c r="C1230" t="s">
        <v>47</v>
      </c>
      <c r="D1230" t="s">
        <v>1984</v>
      </c>
      <c r="E1230" t="s">
        <v>1984</v>
      </c>
      <c r="F1230" t="s">
        <v>49</v>
      </c>
      <c r="G1230" t="s">
        <v>2769</v>
      </c>
      <c r="H1230" t="s">
        <v>2770</v>
      </c>
      <c r="J1230" t="str">
        <f>HYPERLINK("https://www.facebook.com/357267201017935/inbox/7153733281371259/","https://www.facebook.com/357267201017935/inbox/7153733281371259/")</f>
        <v>https://www.facebook.com/357267201017935/inbox/7153733281371259/</v>
      </c>
      <c r="O1230">
        <v>0</v>
      </c>
      <c r="P1230">
        <v>0</v>
      </c>
      <c r="Q1230">
        <v>0</v>
      </c>
      <c r="S1230">
        <v>0</v>
      </c>
      <c r="T1230">
        <v>0</v>
      </c>
      <c r="U1230">
        <v>0</v>
      </c>
      <c r="W1230" t="s">
        <v>52</v>
      </c>
    </row>
    <row r="1231" spans="1:45" x14ac:dyDescent="0.35">
      <c r="A1231" t="s">
        <v>45</v>
      </c>
      <c r="B1231" t="s">
        <v>2753</v>
      </c>
      <c r="C1231" t="s">
        <v>47</v>
      </c>
      <c r="D1231" t="s">
        <v>2771</v>
      </c>
      <c r="E1231" t="s">
        <v>2771</v>
      </c>
      <c r="F1231" t="s">
        <v>49</v>
      </c>
      <c r="G1231" t="s">
        <v>2772</v>
      </c>
      <c r="H1231" t="s">
        <v>2773</v>
      </c>
      <c r="J1231" t="str">
        <f>HYPERLINK("https://www.facebook.com/454965103328545/posts/490024586489263?comment_id=1450591462195440","https://www.facebook.com/454965103328545/posts/490024586489263?comment_id=1450591462195440")</f>
        <v>https://www.facebook.com/454965103328545/posts/490024586489263?comment_id=1450591462195440</v>
      </c>
      <c r="O1231">
        <v>0</v>
      </c>
      <c r="P1231">
        <v>0</v>
      </c>
      <c r="Q1231">
        <v>0</v>
      </c>
      <c r="S1231">
        <v>0</v>
      </c>
      <c r="T1231">
        <v>0</v>
      </c>
      <c r="U1231">
        <v>0</v>
      </c>
      <c r="W1231" t="s">
        <v>62</v>
      </c>
    </row>
    <row r="1232" spans="1:45" x14ac:dyDescent="0.35">
      <c r="A1232" t="s">
        <v>45</v>
      </c>
      <c r="B1232" t="s">
        <v>2753</v>
      </c>
      <c r="C1232" t="s">
        <v>47</v>
      </c>
      <c r="D1232" t="s">
        <v>2774</v>
      </c>
      <c r="E1232" t="s">
        <v>2774</v>
      </c>
      <c r="F1232" t="s">
        <v>49</v>
      </c>
      <c r="G1232" t="s">
        <v>2775</v>
      </c>
      <c r="H1232" t="s">
        <v>2776</v>
      </c>
      <c r="J1232" t="str">
        <f>HYPERLINK("https://www.facebook.com/357267201017935/inbox/7097486290329292/","https://www.facebook.com/357267201017935/inbox/7097486290329292/")</f>
        <v>https://www.facebook.com/357267201017935/inbox/7097486290329292/</v>
      </c>
      <c r="O1232">
        <v>0</v>
      </c>
      <c r="P1232">
        <v>0</v>
      </c>
      <c r="Q1232">
        <v>0</v>
      </c>
      <c r="S1232">
        <v>0</v>
      </c>
      <c r="T1232">
        <v>0</v>
      </c>
      <c r="U1232">
        <v>0</v>
      </c>
      <c r="W1232" t="s">
        <v>52</v>
      </c>
    </row>
    <row r="1233" spans="1:42" x14ac:dyDescent="0.35">
      <c r="A1233" t="s">
        <v>45</v>
      </c>
      <c r="B1233" t="s">
        <v>2753</v>
      </c>
      <c r="C1233" t="s">
        <v>47</v>
      </c>
      <c r="D1233" t="s">
        <v>2774</v>
      </c>
      <c r="E1233" t="s">
        <v>2774</v>
      </c>
      <c r="F1233" t="s">
        <v>49</v>
      </c>
      <c r="G1233" t="s">
        <v>2777</v>
      </c>
      <c r="H1233" t="s">
        <v>2778</v>
      </c>
      <c r="J1233" t="str">
        <f>HYPERLINK("https://www.facebook.com/357267201017935/inbox/7097486290329292/","https://www.facebook.com/357267201017935/inbox/7097486290329292/")</f>
        <v>https://www.facebook.com/357267201017935/inbox/7097486290329292/</v>
      </c>
      <c r="O1233">
        <v>0</v>
      </c>
      <c r="P1233">
        <v>0</v>
      </c>
      <c r="Q1233">
        <v>0</v>
      </c>
      <c r="S1233">
        <v>0</v>
      </c>
      <c r="T1233">
        <v>0</v>
      </c>
      <c r="U1233">
        <v>0</v>
      </c>
      <c r="W1233" t="s">
        <v>52</v>
      </c>
    </row>
    <row r="1234" spans="1:42" x14ac:dyDescent="0.35">
      <c r="A1234" t="s">
        <v>45</v>
      </c>
      <c r="B1234" t="s">
        <v>2753</v>
      </c>
      <c r="C1234" t="s">
        <v>47</v>
      </c>
      <c r="D1234" t="s">
        <v>2774</v>
      </c>
      <c r="E1234" t="s">
        <v>2774</v>
      </c>
      <c r="F1234" t="s">
        <v>49</v>
      </c>
      <c r="G1234" t="s">
        <v>2779</v>
      </c>
      <c r="H1234" t="s">
        <v>2780</v>
      </c>
      <c r="J1234" t="str">
        <f>HYPERLINK("https://www.facebook.com/357267201017935/inbox/7097486290329292/","https://www.facebook.com/357267201017935/inbox/7097486290329292/")</f>
        <v>https://www.facebook.com/357267201017935/inbox/7097486290329292/</v>
      </c>
      <c r="O1234">
        <v>0</v>
      </c>
      <c r="P1234">
        <v>0</v>
      </c>
      <c r="Q1234">
        <v>0</v>
      </c>
      <c r="S1234">
        <v>0</v>
      </c>
      <c r="T1234">
        <v>0</v>
      </c>
      <c r="U1234">
        <v>0</v>
      </c>
      <c r="W1234" t="s">
        <v>52</v>
      </c>
    </row>
    <row r="1235" spans="1:42" x14ac:dyDescent="0.35">
      <c r="A1235" t="s">
        <v>45</v>
      </c>
      <c r="B1235" t="s">
        <v>2753</v>
      </c>
      <c r="C1235" t="s">
        <v>47</v>
      </c>
      <c r="D1235" t="s">
        <v>2774</v>
      </c>
      <c r="E1235" t="s">
        <v>2774</v>
      </c>
      <c r="F1235" t="s">
        <v>49</v>
      </c>
      <c r="G1235" t="s">
        <v>2781</v>
      </c>
      <c r="H1235" t="s">
        <v>2782</v>
      </c>
      <c r="J1235" t="str">
        <f>HYPERLINK("https://www.facebook.com/357267201017935/inbox/7097486290329292/","https://www.facebook.com/357267201017935/inbox/7097486290329292/")</f>
        <v>https://www.facebook.com/357267201017935/inbox/7097486290329292/</v>
      </c>
      <c r="O1235">
        <v>0</v>
      </c>
      <c r="P1235">
        <v>0</v>
      </c>
      <c r="Q1235">
        <v>0</v>
      </c>
      <c r="S1235">
        <v>0</v>
      </c>
      <c r="T1235">
        <v>0</v>
      </c>
      <c r="U1235">
        <v>0</v>
      </c>
      <c r="W1235" t="s">
        <v>52</v>
      </c>
    </row>
    <row r="1236" spans="1:42" x14ac:dyDescent="0.35">
      <c r="A1236" t="s">
        <v>45</v>
      </c>
      <c r="B1236" t="s">
        <v>2753</v>
      </c>
      <c r="C1236" t="s">
        <v>47</v>
      </c>
      <c r="D1236" t="s">
        <v>2774</v>
      </c>
      <c r="E1236" t="s">
        <v>2774</v>
      </c>
      <c r="F1236" t="s">
        <v>49</v>
      </c>
      <c r="G1236" t="s">
        <v>2783</v>
      </c>
      <c r="H1236" t="s">
        <v>2784</v>
      </c>
      <c r="J1236" t="str">
        <f>HYPERLINK("https://www.facebook.com/357267201017935/inbox/7097486290329292/","https://www.facebook.com/357267201017935/inbox/7097486290329292/")</f>
        <v>https://www.facebook.com/357267201017935/inbox/7097486290329292/</v>
      </c>
      <c r="O1236">
        <v>0</v>
      </c>
      <c r="P1236">
        <v>0</v>
      </c>
      <c r="Q1236">
        <v>0</v>
      </c>
      <c r="S1236">
        <v>0</v>
      </c>
      <c r="T1236">
        <v>0</v>
      </c>
      <c r="U1236">
        <v>0</v>
      </c>
      <c r="W1236" t="s">
        <v>52</v>
      </c>
    </row>
    <row r="1237" spans="1:42" x14ac:dyDescent="0.35">
      <c r="A1237" t="s">
        <v>45</v>
      </c>
      <c r="B1237" t="s">
        <v>2753</v>
      </c>
      <c r="C1237" t="s">
        <v>139</v>
      </c>
      <c r="D1237" t="s">
        <v>2785</v>
      </c>
      <c r="E1237" t="s">
        <v>2786</v>
      </c>
      <c r="F1237" t="s">
        <v>49</v>
      </c>
      <c r="G1237" t="s">
        <v>2787</v>
      </c>
      <c r="H1237" t="s">
        <v>2788</v>
      </c>
      <c r="J1237" t="str">
        <f>HYPERLINK("https://twitter.com/anandsagaras9/status/1767916776627830854","https://twitter.com/anandsagaras9/status/1767916776627830854")</f>
        <v>https://twitter.com/anandsagaras9/status/1767916776627830854</v>
      </c>
      <c r="K1237" t="s">
        <v>145</v>
      </c>
      <c r="O1237">
        <v>0</v>
      </c>
      <c r="P1237">
        <v>0</v>
      </c>
      <c r="Q1237">
        <v>9</v>
      </c>
      <c r="S1237">
        <v>0</v>
      </c>
      <c r="T1237">
        <v>0</v>
      </c>
      <c r="U1237">
        <v>0</v>
      </c>
      <c r="W1237" t="s">
        <v>146</v>
      </c>
      <c r="AP1237" t="s">
        <v>147</v>
      </c>
    </row>
    <row r="1238" spans="1:42" x14ac:dyDescent="0.35">
      <c r="A1238" t="s">
        <v>45</v>
      </c>
      <c r="B1238" t="s">
        <v>2753</v>
      </c>
      <c r="C1238" t="s">
        <v>47</v>
      </c>
      <c r="D1238" t="s">
        <v>2789</v>
      </c>
      <c r="E1238" t="s">
        <v>2789</v>
      </c>
      <c r="F1238" t="s">
        <v>49</v>
      </c>
      <c r="G1238" t="s">
        <v>2790</v>
      </c>
      <c r="H1238" t="s">
        <v>2791</v>
      </c>
      <c r="J1238" t="str">
        <f>HYPERLINK("https://www.facebook.com/454965103328545/posts/787041066787612?comment_id=628083832825916","https://www.facebook.com/454965103328545/posts/787041066787612?comment_id=628083832825916")</f>
        <v>https://www.facebook.com/454965103328545/posts/787041066787612?comment_id=628083832825916</v>
      </c>
      <c r="O1238">
        <v>0</v>
      </c>
      <c r="P1238">
        <v>0</v>
      </c>
      <c r="Q1238">
        <v>0</v>
      </c>
      <c r="S1238">
        <v>0</v>
      </c>
      <c r="T1238">
        <v>0</v>
      </c>
      <c r="U1238">
        <v>0</v>
      </c>
      <c r="W1238" t="s">
        <v>62</v>
      </c>
    </row>
    <row r="1239" spans="1:42" x14ac:dyDescent="0.35">
      <c r="A1239" t="s">
        <v>45</v>
      </c>
      <c r="B1239" t="s">
        <v>2753</v>
      </c>
      <c r="C1239" t="s">
        <v>102</v>
      </c>
      <c r="D1239" t="s">
        <v>2792</v>
      </c>
      <c r="E1239" t="s">
        <v>2792</v>
      </c>
      <c r="F1239" t="s">
        <v>49</v>
      </c>
      <c r="G1239" t="s">
        <v>2793</v>
      </c>
      <c r="H1239" t="s">
        <v>2794</v>
      </c>
      <c r="J1239" t="str">
        <f>HYPERLINK("https://www.linkedin.com/feed/update/urn:li:activity:7173672623216836608","https://www.linkedin.com/feed/update/urn:li:activity:7173672623216836608")</f>
        <v>https://www.linkedin.com/feed/update/urn:li:activity:7173672623216836608</v>
      </c>
      <c r="O1239">
        <v>0</v>
      </c>
      <c r="P1239">
        <v>0</v>
      </c>
      <c r="Q1239">
        <v>0</v>
      </c>
      <c r="S1239">
        <v>0</v>
      </c>
      <c r="T1239">
        <v>0</v>
      </c>
      <c r="U1239">
        <v>0</v>
      </c>
      <c r="W1239" t="s">
        <v>106</v>
      </c>
    </row>
    <row r="1240" spans="1:42" x14ac:dyDescent="0.35">
      <c r="A1240" t="s">
        <v>45</v>
      </c>
      <c r="B1240" t="s">
        <v>2753</v>
      </c>
      <c r="C1240" t="s">
        <v>58</v>
      </c>
      <c r="D1240" t="s">
        <v>2795</v>
      </c>
      <c r="E1240" t="s">
        <v>2795</v>
      </c>
      <c r="F1240" t="s">
        <v>49</v>
      </c>
      <c r="G1240" t="s">
        <v>2796</v>
      </c>
      <c r="H1240" t="s">
        <v>2797</v>
      </c>
      <c r="J1240" t="str">
        <f>HYPERLINK("https://www.youtube.com/watch?v=fBjIEskZlb4","https://www.youtube.com/watch?v=fBjIEskZlb4")</f>
        <v>https://www.youtube.com/watch?v=fBjIEskZlb4</v>
      </c>
      <c r="O1240">
        <v>0</v>
      </c>
      <c r="P1240">
        <v>0</v>
      </c>
      <c r="Q1240">
        <v>0</v>
      </c>
      <c r="S1240">
        <v>0</v>
      </c>
      <c r="T1240">
        <v>0</v>
      </c>
      <c r="U1240">
        <v>0</v>
      </c>
      <c r="W1240" t="s">
        <v>106</v>
      </c>
      <c r="AP1240" t="s">
        <v>94</v>
      </c>
    </row>
    <row r="1241" spans="1:42" x14ac:dyDescent="0.35">
      <c r="A1241" t="s">
        <v>45</v>
      </c>
      <c r="B1241" t="s">
        <v>2753</v>
      </c>
      <c r="C1241" t="s">
        <v>63</v>
      </c>
      <c r="D1241" t="s">
        <v>64</v>
      </c>
      <c r="E1241" t="s">
        <v>64</v>
      </c>
      <c r="F1241" t="s">
        <v>49</v>
      </c>
      <c r="G1241" t="s">
        <v>2798</v>
      </c>
      <c r="H1241" t="s">
        <v>2799</v>
      </c>
      <c r="J1241" t="str">
        <f>HYPERLINK("https://www.instagram.com/p/C4afuuYvQ8i/","https://www.instagram.com/p/C4afuuYvQ8i/")</f>
        <v>https://www.instagram.com/p/C4afuuYvQ8i/</v>
      </c>
      <c r="O1241">
        <v>0</v>
      </c>
      <c r="P1241">
        <v>0</v>
      </c>
      <c r="Q1241">
        <v>0</v>
      </c>
      <c r="S1241">
        <v>0</v>
      </c>
      <c r="T1241">
        <v>0</v>
      </c>
      <c r="U1241">
        <v>0</v>
      </c>
      <c r="W1241" t="s">
        <v>62</v>
      </c>
    </row>
    <row r="1242" spans="1:42" x14ac:dyDescent="0.35">
      <c r="A1242" t="s">
        <v>45</v>
      </c>
      <c r="B1242" t="s">
        <v>2753</v>
      </c>
      <c r="C1242" t="s">
        <v>139</v>
      </c>
      <c r="D1242" t="s">
        <v>726</v>
      </c>
      <c r="E1242" t="s">
        <v>727</v>
      </c>
      <c r="F1242" t="s">
        <v>49</v>
      </c>
      <c r="G1242" t="s">
        <v>2800</v>
      </c>
      <c r="H1242" t="s">
        <v>2801</v>
      </c>
      <c r="J1242" t="str">
        <f>HYPERLINK("https://twitter.com/AkashYakov92580/status/1767899044427489767","https://twitter.com/AkashYakov92580/status/1767899044427489767")</f>
        <v>https://twitter.com/AkashYakov92580/status/1767899044427489767</v>
      </c>
      <c r="K1242" t="s">
        <v>145</v>
      </c>
      <c r="O1242">
        <v>0</v>
      </c>
      <c r="P1242">
        <v>0</v>
      </c>
      <c r="Q1242">
        <v>0</v>
      </c>
      <c r="S1242">
        <v>0</v>
      </c>
      <c r="T1242">
        <v>0</v>
      </c>
      <c r="U1242">
        <v>0</v>
      </c>
      <c r="W1242" t="s">
        <v>146</v>
      </c>
    </row>
    <row r="1243" spans="1:42" x14ac:dyDescent="0.35">
      <c r="A1243" t="s">
        <v>45</v>
      </c>
      <c r="B1243" t="s">
        <v>2753</v>
      </c>
      <c r="C1243" t="s">
        <v>139</v>
      </c>
      <c r="D1243" t="s">
        <v>726</v>
      </c>
      <c r="E1243" t="s">
        <v>727</v>
      </c>
      <c r="F1243" t="s">
        <v>49</v>
      </c>
      <c r="G1243" t="s">
        <v>2802</v>
      </c>
      <c r="H1243" t="s">
        <v>2803</v>
      </c>
      <c r="J1243" t="str">
        <f>HYPERLINK("https://twitter.com/AkashYakov92580/status/1767898310227222958","https://twitter.com/AkashYakov92580/status/1767898310227222958")</f>
        <v>https://twitter.com/AkashYakov92580/status/1767898310227222958</v>
      </c>
      <c r="K1243" t="s">
        <v>145</v>
      </c>
      <c r="O1243">
        <v>0</v>
      </c>
      <c r="P1243">
        <v>0</v>
      </c>
      <c r="Q1243">
        <v>0</v>
      </c>
      <c r="S1243">
        <v>0</v>
      </c>
      <c r="T1243">
        <v>0</v>
      </c>
      <c r="U1243">
        <v>0</v>
      </c>
      <c r="W1243" t="s">
        <v>146</v>
      </c>
    </row>
    <row r="1244" spans="1:42" x14ac:dyDescent="0.35">
      <c r="A1244" t="s">
        <v>45</v>
      </c>
      <c r="B1244" t="s">
        <v>2753</v>
      </c>
      <c r="C1244" t="s">
        <v>47</v>
      </c>
      <c r="D1244" t="s">
        <v>45</v>
      </c>
      <c r="E1244" t="s">
        <v>45</v>
      </c>
      <c r="F1244" t="s">
        <v>49</v>
      </c>
      <c r="G1244" t="s">
        <v>2804</v>
      </c>
      <c r="H1244" t="s">
        <v>2805</v>
      </c>
      <c r="J1244" t="str">
        <f>HYPERLINK("https://www.facebook.com/357267201017935/inbox/7097486290329292/","https://www.facebook.com/357267201017935/inbox/7097486290329292/")</f>
        <v>https://www.facebook.com/357267201017935/inbox/7097486290329292/</v>
      </c>
      <c r="O1244">
        <v>0</v>
      </c>
      <c r="P1244">
        <v>0</v>
      </c>
      <c r="Q1244">
        <v>0</v>
      </c>
      <c r="S1244">
        <v>0</v>
      </c>
      <c r="T1244">
        <v>0</v>
      </c>
      <c r="U1244">
        <v>0</v>
      </c>
      <c r="W1244" t="s">
        <v>52</v>
      </c>
    </row>
    <row r="1245" spans="1:42" x14ac:dyDescent="0.35">
      <c r="A1245" t="s">
        <v>45</v>
      </c>
      <c r="B1245" t="s">
        <v>2753</v>
      </c>
      <c r="C1245" t="s">
        <v>139</v>
      </c>
      <c r="D1245" t="s">
        <v>2806</v>
      </c>
      <c r="E1245" t="s">
        <v>2807</v>
      </c>
      <c r="F1245" t="s">
        <v>49</v>
      </c>
      <c r="G1245" t="s">
        <v>2808</v>
      </c>
      <c r="H1245" t="s">
        <v>2805</v>
      </c>
      <c r="J1245" t="str">
        <f>HYPERLINK("https://twitter.com/AjjuXda/status/1767898001761341701","https://twitter.com/AjjuXda/status/1767898001761341701")</f>
        <v>https://twitter.com/AjjuXda/status/1767898001761341701</v>
      </c>
      <c r="O1245">
        <v>0</v>
      </c>
      <c r="P1245">
        <v>0</v>
      </c>
      <c r="Q1245">
        <v>5</v>
      </c>
      <c r="S1245">
        <v>0</v>
      </c>
      <c r="T1245">
        <v>0</v>
      </c>
      <c r="U1245">
        <v>0</v>
      </c>
      <c r="W1245" t="s">
        <v>146</v>
      </c>
    </row>
    <row r="1246" spans="1:42" x14ac:dyDescent="0.35">
      <c r="A1246" t="s">
        <v>45</v>
      </c>
      <c r="B1246" t="s">
        <v>2753</v>
      </c>
      <c r="C1246" t="s">
        <v>139</v>
      </c>
      <c r="D1246" t="s">
        <v>190</v>
      </c>
      <c r="E1246" t="s">
        <v>45</v>
      </c>
      <c r="F1246" t="s">
        <v>49</v>
      </c>
      <c r="G1246" t="s">
        <v>2809</v>
      </c>
      <c r="H1246" t="s">
        <v>2810</v>
      </c>
      <c r="J1246" t="str">
        <f>HYPERLINK("https://twitter.com/FinoPaymntsBank/status/1767897600538325166","https://twitter.com/FinoPaymntsBank/status/1767897600538325166")</f>
        <v>https://twitter.com/FinoPaymntsBank/status/1767897600538325166</v>
      </c>
      <c r="K1246" t="s">
        <v>145</v>
      </c>
      <c r="O1246">
        <v>0</v>
      </c>
      <c r="P1246">
        <v>0</v>
      </c>
      <c r="Q1246">
        <v>8443</v>
      </c>
      <c r="R1246" t="s">
        <v>193</v>
      </c>
      <c r="S1246">
        <v>0</v>
      </c>
      <c r="T1246">
        <v>0</v>
      </c>
      <c r="U1246">
        <v>0</v>
      </c>
      <c r="W1246" t="s">
        <v>146</v>
      </c>
    </row>
    <row r="1247" spans="1:42" x14ac:dyDescent="0.35">
      <c r="A1247" t="s">
        <v>45</v>
      </c>
      <c r="B1247" t="s">
        <v>2753</v>
      </c>
      <c r="C1247" t="s">
        <v>47</v>
      </c>
      <c r="D1247" t="s">
        <v>45</v>
      </c>
      <c r="E1247" t="s">
        <v>45</v>
      </c>
      <c r="F1247" t="s">
        <v>49</v>
      </c>
      <c r="G1247" t="s">
        <v>2811</v>
      </c>
      <c r="H1247" t="s">
        <v>2812</v>
      </c>
      <c r="J1247" t="str">
        <f>HYPERLINK("https://www.facebook.com/357267201017935/inbox/7149884868422767/","https://www.facebook.com/357267201017935/inbox/7149884868422767/")</f>
        <v>https://www.facebook.com/357267201017935/inbox/7149884868422767/</v>
      </c>
      <c r="O1247">
        <v>0</v>
      </c>
      <c r="P1247">
        <v>0</v>
      </c>
      <c r="Q1247">
        <v>0</v>
      </c>
      <c r="S1247">
        <v>0</v>
      </c>
      <c r="T1247">
        <v>0</v>
      </c>
      <c r="U1247">
        <v>0</v>
      </c>
      <c r="W1247" t="s">
        <v>52</v>
      </c>
    </row>
    <row r="1248" spans="1:42" x14ac:dyDescent="0.35">
      <c r="A1248" t="s">
        <v>45</v>
      </c>
      <c r="B1248" t="s">
        <v>2753</v>
      </c>
      <c r="C1248" t="s">
        <v>63</v>
      </c>
      <c r="D1248" t="s">
        <v>186</v>
      </c>
      <c r="E1248" t="s">
        <v>186</v>
      </c>
      <c r="F1248" t="s">
        <v>49</v>
      </c>
      <c r="G1248" t="s">
        <v>2813</v>
      </c>
      <c r="H1248" t="s">
        <v>2814</v>
      </c>
      <c r="J1248" t="str">
        <f>HYPERLINK("https://www.instagram.com/p/C4afuuYvQ8i/","https://www.instagram.com/p/C4afuuYvQ8i/")</f>
        <v>https://www.instagram.com/p/C4afuuYvQ8i/</v>
      </c>
      <c r="O1248">
        <v>0</v>
      </c>
      <c r="P1248">
        <v>0</v>
      </c>
      <c r="Q1248">
        <v>0</v>
      </c>
      <c r="S1248">
        <v>0</v>
      </c>
      <c r="T1248">
        <v>0</v>
      </c>
      <c r="U1248">
        <v>0</v>
      </c>
      <c r="W1248" t="s">
        <v>62</v>
      </c>
    </row>
    <row r="1249" spans="1:45" x14ac:dyDescent="0.35">
      <c r="A1249" t="s">
        <v>45</v>
      </c>
      <c r="B1249" t="s">
        <v>2753</v>
      </c>
      <c r="C1249" t="s">
        <v>47</v>
      </c>
      <c r="D1249" t="s">
        <v>45</v>
      </c>
      <c r="E1249" t="s">
        <v>45</v>
      </c>
      <c r="F1249" t="s">
        <v>49</v>
      </c>
      <c r="G1249" t="s">
        <v>2815</v>
      </c>
      <c r="H1249" t="s">
        <v>2816</v>
      </c>
      <c r="J1249" t="str">
        <f>HYPERLINK("https://www.facebook.com/454965103328545/posts/784845107007208?comment_id=1139713437029823&amp;reply_comment_id=780698916801519","https://www.facebook.com/454965103328545/posts/784845107007208?comment_id=1139713437029823&amp;reply_comment_id=780698916801519")</f>
        <v>https://www.facebook.com/454965103328545/posts/784845107007208?comment_id=1139713437029823&amp;reply_comment_id=780698916801519</v>
      </c>
      <c r="O1249">
        <v>0</v>
      </c>
      <c r="P1249">
        <v>0</v>
      </c>
      <c r="Q1249">
        <v>0</v>
      </c>
      <c r="S1249">
        <v>0</v>
      </c>
      <c r="T1249">
        <v>0</v>
      </c>
      <c r="U1249">
        <v>0</v>
      </c>
      <c r="W1249" t="s">
        <v>62</v>
      </c>
    </row>
    <row r="1250" spans="1:45" x14ac:dyDescent="0.35">
      <c r="A1250" t="s">
        <v>45</v>
      </c>
      <c r="B1250" t="s">
        <v>2753</v>
      </c>
      <c r="C1250" t="s">
        <v>47</v>
      </c>
      <c r="D1250" t="s">
        <v>45</v>
      </c>
      <c r="E1250" t="s">
        <v>45</v>
      </c>
      <c r="F1250" t="s">
        <v>49</v>
      </c>
      <c r="G1250" t="s">
        <v>2817</v>
      </c>
      <c r="H1250" t="s">
        <v>2818</v>
      </c>
      <c r="J1250" t="str">
        <f>HYPERLINK("https://www.facebook.com/454965103328545/posts/787041066787612?comment_id=298582736341515&amp;reply_comment_id=3544580602484787","https://www.facebook.com/454965103328545/posts/787041066787612?comment_id=298582736341515&amp;reply_comment_id=3544580602484787")</f>
        <v>https://www.facebook.com/454965103328545/posts/787041066787612?comment_id=298582736341515&amp;reply_comment_id=3544580602484787</v>
      </c>
      <c r="O1250">
        <v>0</v>
      </c>
      <c r="P1250">
        <v>0</v>
      </c>
      <c r="Q1250">
        <v>0</v>
      </c>
      <c r="S1250">
        <v>0</v>
      </c>
      <c r="T1250">
        <v>0</v>
      </c>
      <c r="U1250">
        <v>0</v>
      </c>
      <c r="W1250" t="s">
        <v>62</v>
      </c>
    </row>
    <row r="1251" spans="1:45" x14ac:dyDescent="0.35">
      <c r="A1251" t="s">
        <v>45</v>
      </c>
      <c r="B1251" t="s">
        <v>2753</v>
      </c>
      <c r="C1251" t="s">
        <v>139</v>
      </c>
      <c r="D1251" t="s">
        <v>726</v>
      </c>
      <c r="E1251" t="s">
        <v>727</v>
      </c>
      <c r="F1251" t="s">
        <v>49</v>
      </c>
      <c r="G1251" t="s">
        <v>2819</v>
      </c>
      <c r="H1251" t="s">
        <v>2820</v>
      </c>
      <c r="J1251" t="str">
        <f>HYPERLINK("https://twitter.com/AkashYakov92580/status/1767891708422008974","https://twitter.com/AkashYakov92580/status/1767891708422008974")</f>
        <v>https://twitter.com/AkashYakov92580/status/1767891708422008974</v>
      </c>
      <c r="K1251" t="s">
        <v>145</v>
      </c>
      <c r="O1251">
        <v>0</v>
      </c>
      <c r="P1251">
        <v>0</v>
      </c>
      <c r="Q1251">
        <v>0</v>
      </c>
      <c r="S1251">
        <v>0</v>
      </c>
      <c r="T1251">
        <v>0</v>
      </c>
      <c r="U1251">
        <v>0</v>
      </c>
      <c r="W1251" t="s">
        <v>146</v>
      </c>
    </row>
    <row r="1252" spans="1:45" x14ac:dyDescent="0.35">
      <c r="A1252" t="s">
        <v>45</v>
      </c>
      <c r="B1252" t="s">
        <v>2753</v>
      </c>
      <c r="C1252" t="s">
        <v>139</v>
      </c>
      <c r="D1252" t="s">
        <v>726</v>
      </c>
      <c r="E1252" t="s">
        <v>727</v>
      </c>
      <c r="F1252" t="s">
        <v>49</v>
      </c>
      <c r="G1252" t="s">
        <v>2821</v>
      </c>
      <c r="H1252" t="s">
        <v>2822</v>
      </c>
      <c r="J1252" t="str">
        <f>HYPERLINK("https://twitter.com/AkashYakov92580/status/1767889209665478821","https://twitter.com/AkashYakov92580/status/1767889209665478821")</f>
        <v>https://twitter.com/AkashYakov92580/status/1767889209665478821</v>
      </c>
      <c r="K1252" t="s">
        <v>145</v>
      </c>
      <c r="O1252">
        <v>0</v>
      </c>
      <c r="P1252">
        <v>0</v>
      </c>
      <c r="Q1252">
        <v>0</v>
      </c>
      <c r="S1252">
        <v>0</v>
      </c>
      <c r="T1252">
        <v>0</v>
      </c>
      <c r="U1252">
        <v>0</v>
      </c>
      <c r="W1252" t="s">
        <v>146</v>
      </c>
    </row>
    <row r="1253" spans="1:45" x14ac:dyDescent="0.35">
      <c r="A1253" t="s">
        <v>45</v>
      </c>
      <c r="B1253" t="s">
        <v>2753</v>
      </c>
      <c r="C1253" t="s">
        <v>139</v>
      </c>
      <c r="D1253" t="s">
        <v>1820</v>
      </c>
      <c r="E1253" t="s">
        <v>1821</v>
      </c>
      <c r="F1253" t="s">
        <v>49</v>
      </c>
      <c r="G1253" t="s">
        <v>2823</v>
      </c>
      <c r="H1253" t="s">
        <v>2824</v>
      </c>
      <c r="J1253" t="str">
        <f>HYPERLINK("https://twitter.com/b_sakhi1935/status/1767886700615991781","https://twitter.com/b_sakhi1935/status/1767886700615991781")</f>
        <v>https://twitter.com/b_sakhi1935/status/1767886700615991781</v>
      </c>
      <c r="K1253" t="s">
        <v>1769</v>
      </c>
      <c r="O1253">
        <v>0</v>
      </c>
      <c r="P1253">
        <v>0</v>
      </c>
      <c r="Q1253">
        <v>0</v>
      </c>
      <c r="S1253">
        <v>0</v>
      </c>
      <c r="T1253">
        <v>0</v>
      </c>
      <c r="U1253">
        <v>0</v>
      </c>
      <c r="W1253" t="s">
        <v>146</v>
      </c>
    </row>
    <row r="1254" spans="1:45" x14ac:dyDescent="0.35">
      <c r="A1254" t="s">
        <v>45</v>
      </c>
      <c r="B1254" t="s">
        <v>2753</v>
      </c>
      <c r="C1254" t="s">
        <v>47</v>
      </c>
      <c r="D1254" t="s">
        <v>2340</v>
      </c>
      <c r="E1254" t="s">
        <v>2340</v>
      </c>
      <c r="F1254" t="s">
        <v>49</v>
      </c>
      <c r="G1254" t="s">
        <v>2825</v>
      </c>
      <c r="H1254" t="s">
        <v>2826</v>
      </c>
      <c r="J1254" t="str">
        <f>HYPERLINK("https://www.facebook.com/454965103328545/posts/787041066787612?comment_id=416209054230076&amp;reply_comment_id=1408160999829082","https://www.facebook.com/454965103328545/posts/787041066787612?comment_id=416209054230076&amp;reply_comment_id=1408160999829082")</f>
        <v>https://www.facebook.com/454965103328545/posts/787041066787612?comment_id=416209054230076&amp;reply_comment_id=1408160999829082</v>
      </c>
      <c r="O1254">
        <v>0</v>
      </c>
      <c r="P1254">
        <v>0</v>
      </c>
      <c r="Q1254">
        <v>0</v>
      </c>
      <c r="S1254">
        <v>0</v>
      </c>
      <c r="T1254">
        <v>0</v>
      </c>
      <c r="U1254">
        <v>0</v>
      </c>
      <c r="W1254" t="s">
        <v>62</v>
      </c>
    </row>
    <row r="1255" spans="1:45" x14ac:dyDescent="0.35">
      <c r="A1255" t="s">
        <v>45</v>
      </c>
      <c r="B1255" t="s">
        <v>2753</v>
      </c>
      <c r="C1255" t="s">
        <v>58</v>
      </c>
      <c r="D1255" t="s">
        <v>2304</v>
      </c>
      <c r="E1255" t="s">
        <v>2304</v>
      </c>
      <c r="F1255" t="s">
        <v>49</v>
      </c>
      <c r="G1255" t="s">
        <v>2827</v>
      </c>
      <c r="H1255" t="s">
        <v>2828</v>
      </c>
      <c r="J1255" t="str">
        <f>HYPERLINK("https://www.youtube.com/watch?v=DD3L29w9F5M&amp;lc=Ugx3Prbs5dhqNsCCQE54AaABAg","https://www.youtube.com/watch?v=DD3L29w9F5M&amp;lc=Ugx3Prbs5dhqNsCCQE54AaABAg")</f>
        <v>https://www.youtube.com/watch?v=DD3L29w9F5M&amp;lc=Ugx3Prbs5dhqNsCCQE54AaABAg</v>
      </c>
      <c r="O1255">
        <v>0</v>
      </c>
      <c r="P1255">
        <v>0</v>
      </c>
      <c r="Q1255">
        <v>0</v>
      </c>
      <c r="S1255">
        <v>0</v>
      </c>
      <c r="T1255">
        <v>0</v>
      </c>
      <c r="U1255">
        <v>0</v>
      </c>
      <c r="W1255" t="s">
        <v>62</v>
      </c>
    </row>
    <row r="1256" spans="1:45" x14ac:dyDescent="0.35">
      <c r="A1256" t="s">
        <v>45</v>
      </c>
      <c r="B1256" t="s">
        <v>2753</v>
      </c>
      <c r="C1256" t="s">
        <v>58</v>
      </c>
      <c r="D1256" t="s">
        <v>2829</v>
      </c>
      <c r="E1256" t="s">
        <v>2829</v>
      </c>
      <c r="F1256" t="s">
        <v>49</v>
      </c>
      <c r="G1256" t="s">
        <v>2830</v>
      </c>
      <c r="H1256" t="s">
        <v>2831</v>
      </c>
      <c r="J1256" t="str">
        <f>HYPERLINK("https://www.youtube.com/watch?v=dB6o2KHVgjY","https://www.youtube.com/watch?v=dB6o2KHVgjY")</f>
        <v>https://www.youtube.com/watch?v=dB6o2KHVgjY</v>
      </c>
      <c r="O1256">
        <v>0</v>
      </c>
      <c r="P1256">
        <v>0</v>
      </c>
      <c r="Q1256">
        <v>0</v>
      </c>
      <c r="S1256">
        <v>0</v>
      </c>
      <c r="T1256">
        <v>0</v>
      </c>
      <c r="U1256">
        <v>0</v>
      </c>
      <c r="W1256" t="s">
        <v>106</v>
      </c>
      <c r="AO1256" t="s">
        <v>67</v>
      </c>
    </row>
    <row r="1257" spans="1:45" x14ac:dyDescent="0.35">
      <c r="A1257" t="s">
        <v>45</v>
      </c>
      <c r="B1257" t="s">
        <v>2753</v>
      </c>
      <c r="C1257" t="s">
        <v>47</v>
      </c>
      <c r="D1257" t="s">
        <v>45</v>
      </c>
      <c r="E1257" t="s">
        <v>45</v>
      </c>
      <c r="F1257" t="s">
        <v>49</v>
      </c>
      <c r="G1257" t="s">
        <v>2832</v>
      </c>
      <c r="H1257" t="s">
        <v>2833</v>
      </c>
      <c r="J1257" t="str">
        <f>HYPERLINK("https://www.facebook.com/357267201017935/inbox/7151498094928111/","https://www.facebook.com/357267201017935/inbox/7151498094928111/")</f>
        <v>https://www.facebook.com/357267201017935/inbox/7151498094928111/</v>
      </c>
      <c r="O1257">
        <v>0</v>
      </c>
      <c r="P1257">
        <v>0</v>
      </c>
      <c r="Q1257">
        <v>0</v>
      </c>
      <c r="S1257">
        <v>0</v>
      </c>
      <c r="T1257">
        <v>0</v>
      </c>
      <c r="U1257">
        <v>0</v>
      </c>
      <c r="W1257" t="s">
        <v>52</v>
      </c>
    </row>
    <row r="1258" spans="1:45" x14ac:dyDescent="0.35">
      <c r="A1258" t="s">
        <v>45</v>
      </c>
      <c r="B1258" t="s">
        <v>2753</v>
      </c>
      <c r="C1258" t="s">
        <v>47</v>
      </c>
      <c r="D1258" t="s">
        <v>45</v>
      </c>
      <c r="E1258" t="s">
        <v>45</v>
      </c>
      <c r="F1258" t="s">
        <v>49</v>
      </c>
      <c r="G1258" t="s">
        <v>2834</v>
      </c>
      <c r="H1258" t="s">
        <v>2835</v>
      </c>
      <c r="J1258" t="str">
        <f>HYPERLINK("https://www.facebook.com/454965103328545/posts/490024586489263?comment_id=938369910987293&amp;reply_comment_id=2384545308422092","https://www.facebook.com/454965103328545/posts/490024586489263?comment_id=938369910987293&amp;reply_comment_id=2384545308422092")</f>
        <v>https://www.facebook.com/454965103328545/posts/490024586489263?comment_id=938369910987293&amp;reply_comment_id=2384545308422092</v>
      </c>
      <c r="O1258">
        <v>0</v>
      </c>
      <c r="P1258">
        <v>0</v>
      </c>
      <c r="Q1258">
        <v>0</v>
      </c>
      <c r="S1258">
        <v>0</v>
      </c>
      <c r="T1258">
        <v>0</v>
      </c>
      <c r="U1258">
        <v>0</v>
      </c>
      <c r="W1258" t="s">
        <v>62</v>
      </c>
    </row>
    <row r="1259" spans="1:45" x14ac:dyDescent="0.35">
      <c r="A1259" t="s">
        <v>45</v>
      </c>
      <c r="B1259" t="s">
        <v>2753</v>
      </c>
      <c r="C1259" t="s">
        <v>47</v>
      </c>
      <c r="D1259" t="s">
        <v>45</v>
      </c>
      <c r="E1259" t="s">
        <v>45</v>
      </c>
      <c r="F1259" t="s">
        <v>49</v>
      </c>
      <c r="G1259" t="s">
        <v>2834</v>
      </c>
      <c r="H1259" t="s">
        <v>2836</v>
      </c>
      <c r="J1259" t="str">
        <f>HYPERLINK("https://www.facebook.com/454965103328545/posts/490024586489263?comment_id=1321543031817064&amp;reply_comment_id=333624905834575","https://www.facebook.com/454965103328545/posts/490024586489263?comment_id=1321543031817064&amp;reply_comment_id=333624905834575")</f>
        <v>https://www.facebook.com/454965103328545/posts/490024586489263?comment_id=1321543031817064&amp;reply_comment_id=333624905834575</v>
      </c>
      <c r="O1259">
        <v>0</v>
      </c>
      <c r="P1259">
        <v>0</v>
      </c>
      <c r="Q1259">
        <v>0</v>
      </c>
      <c r="S1259">
        <v>0</v>
      </c>
      <c r="T1259">
        <v>0</v>
      </c>
      <c r="U1259">
        <v>0</v>
      </c>
      <c r="W1259" t="s">
        <v>62</v>
      </c>
    </row>
    <row r="1260" spans="1:45" x14ac:dyDescent="0.35">
      <c r="A1260" t="s">
        <v>45</v>
      </c>
      <c r="B1260" t="s">
        <v>2753</v>
      </c>
      <c r="C1260" t="s">
        <v>47</v>
      </c>
      <c r="D1260" t="s">
        <v>45</v>
      </c>
      <c r="E1260" t="s">
        <v>45</v>
      </c>
      <c r="F1260" t="s">
        <v>49</v>
      </c>
      <c r="G1260" t="s">
        <v>2817</v>
      </c>
      <c r="H1260" t="s">
        <v>2837</v>
      </c>
      <c r="J1260" t="str">
        <f>HYPERLINK("https://www.facebook.com/454965103328545/posts/787041066787612?comment_id=416209054230076&amp;reply_comment_id=900939531714514","https://www.facebook.com/454965103328545/posts/787041066787612?comment_id=416209054230076&amp;reply_comment_id=900939531714514")</f>
        <v>https://www.facebook.com/454965103328545/posts/787041066787612?comment_id=416209054230076&amp;reply_comment_id=900939531714514</v>
      </c>
      <c r="O1260">
        <v>0</v>
      </c>
      <c r="P1260">
        <v>0</v>
      </c>
      <c r="Q1260">
        <v>0</v>
      </c>
      <c r="S1260">
        <v>0</v>
      </c>
      <c r="T1260">
        <v>0</v>
      </c>
      <c r="U1260">
        <v>0</v>
      </c>
      <c r="W1260" t="s">
        <v>62</v>
      </c>
    </row>
    <row r="1261" spans="1:45" x14ac:dyDescent="0.35">
      <c r="A1261" t="s">
        <v>45</v>
      </c>
      <c r="B1261" t="s">
        <v>2753</v>
      </c>
      <c r="C1261" t="s">
        <v>58</v>
      </c>
      <c r="D1261" t="s">
        <v>2838</v>
      </c>
      <c r="E1261" t="s">
        <v>2838</v>
      </c>
      <c r="F1261" t="s">
        <v>49</v>
      </c>
      <c r="G1261" t="s">
        <v>2839</v>
      </c>
      <c r="H1261" t="s">
        <v>2840</v>
      </c>
      <c r="J1261" t="str">
        <f>HYPERLINK("https://www.youtube.com/watch?v=fZ9_2-gm1q0&amp;lc=UgyNp-VzPxFHrs5cWQl4AaABAg","https://www.youtube.com/watch?v=fZ9_2-gm1q0&amp;lc=UgyNp-VzPxFHrs5cWQl4AaABAg")</f>
        <v>https://www.youtube.com/watch?v=fZ9_2-gm1q0&amp;lc=UgyNp-VzPxFHrs5cWQl4AaABAg</v>
      </c>
      <c r="O1261">
        <v>0</v>
      </c>
      <c r="P1261">
        <v>0</v>
      </c>
      <c r="Q1261">
        <v>0</v>
      </c>
      <c r="S1261">
        <v>0</v>
      </c>
      <c r="T1261">
        <v>0</v>
      </c>
      <c r="U1261">
        <v>0</v>
      </c>
      <c r="W1261" t="s">
        <v>62</v>
      </c>
      <c r="AP1261" t="s">
        <v>101</v>
      </c>
    </row>
    <row r="1262" spans="1:45" x14ac:dyDescent="0.35">
      <c r="A1262" t="s">
        <v>45</v>
      </c>
      <c r="B1262" t="s">
        <v>2753</v>
      </c>
      <c r="C1262" t="s">
        <v>47</v>
      </c>
      <c r="D1262" t="s">
        <v>2841</v>
      </c>
      <c r="E1262" t="s">
        <v>2841</v>
      </c>
      <c r="F1262" t="s">
        <v>49</v>
      </c>
      <c r="G1262">
        <v>9834035470</v>
      </c>
      <c r="H1262" t="s">
        <v>2842</v>
      </c>
      <c r="J1262" t="str">
        <f>HYPERLINK("https://www.facebook.com/454965103328545/posts/787041066787612?comment_id=298582736341515","https://www.facebook.com/454965103328545/posts/787041066787612?comment_id=298582736341515")</f>
        <v>https://www.facebook.com/454965103328545/posts/787041066787612?comment_id=298582736341515</v>
      </c>
      <c r="O1262">
        <v>0</v>
      </c>
      <c r="P1262">
        <v>0</v>
      </c>
      <c r="Q1262">
        <v>0</v>
      </c>
      <c r="S1262">
        <v>0</v>
      </c>
      <c r="T1262">
        <v>0</v>
      </c>
      <c r="U1262">
        <v>0</v>
      </c>
      <c r="W1262" t="s">
        <v>62</v>
      </c>
      <c r="Y1262" t="s">
        <v>2843</v>
      </c>
      <c r="Z1262" t="s">
        <v>613</v>
      </c>
      <c r="AA1262" t="s">
        <v>614</v>
      </c>
      <c r="AS1262" t="s">
        <v>375</v>
      </c>
    </row>
    <row r="1263" spans="1:45" x14ac:dyDescent="0.35">
      <c r="A1263" t="s">
        <v>45</v>
      </c>
      <c r="B1263" t="s">
        <v>2753</v>
      </c>
      <c r="C1263" t="s">
        <v>47</v>
      </c>
      <c r="D1263" t="s">
        <v>2841</v>
      </c>
      <c r="E1263" t="s">
        <v>2841</v>
      </c>
      <c r="F1263" t="s">
        <v>49</v>
      </c>
      <c r="G1263" t="s">
        <v>2844</v>
      </c>
      <c r="H1263" t="s">
        <v>2845</v>
      </c>
      <c r="J1263" t="str">
        <f>HYPERLINK("https://www.facebook.com/454965103328545/posts/787041066787612?comment_id=416209054230076","https://www.facebook.com/454965103328545/posts/787041066787612?comment_id=416209054230076")</f>
        <v>https://www.facebook.com/454965103328545/posts/787041066787612?comment_id=416209054230076</v>
      </c>
      <c r="O1263">
        <v>0</v>
      </c>
      <c r="P1263">
        <v>0</v>
      </c>
      <c r="Q1263">
        <v>0</v>
      </c>
      <c r="S1263">
        <v>0</v>
      </c>
      <c r="T1263">
        <v>0</v>
      </c>
      <c r="U1263">
        <v>0</v>
      </c>
      <c r="W1263" t="s">
        <v>62</v>
      </c>
      <c r="AS1263" t="s">
        <v>375</v>
      </c>
    </row>
    <row r="1264" spans="1:45" x14ac:dyDescent="0.35">
      <c r="A1264" t="s">
        <v>45</v>
      </c>
      <c r="B1264" t="s">
        <v>2753</v>
      </c>
      <c r="C1264" t="s">
        <v>47</v>
      </c>
      <c r="D1264" t="s">
        <v>2841</v>
      </c>
      <c r="E1264" t="s">
        <v>2841</v>
      </c>
      <c r="F1264" t="s">
        <v>49</v>
      </c>
      <c r="G1264" t="s">
        <v>2846</v>
      </c>
      <c r="H1264" t="s">
        <v>2847</v>
      </c>
      <c r="J1264" t="str">
        <f>HYPERLINK("https://www.facebook.com/357267201017935/inbox/7152430548168199/","https://www.facebook.com/357267201017935/inbox/7152430548168199/")</f>
        <v>https://www.facebook.com/357267201017935/inbox/7152430548168199/</v>
      </c>
      <c r="O1264">
        <v>0</v>
      </c>
      <c r="P1264">
        <v>0</v>
      </c>
      <c r="Q1264">
        <v>0</v>
      </c>
      <c r="S1264">
        <v>0</v>
      </c>
      <c r="T1264">
        <v>0</v>
      </c>
      <c r="U1264">
        <v>0</v>
      </c>
      <c r="W1264" t="s">
        <v>52</v>
      </c>
    </row>
    <row r="1265" spans="1:45" x14ac:dyDescent="0.35">
      <c r="A1265" t="s">
        <v>45</v>
      </c>
      <c r="B1265" t="s">
        <v>2753</v>
      </c>
      <c r="C1265" t="s">
        <v>139</v>
      </c>
      <c r="D1265" t="s">
        <v>2848</v>
      </c>
      <c r="E1265" t="s">
        <v>2849</v>
      </c>
      <c r="F1265" t="s">
        <v>49</v>
      </c>
      <c r="G1265" t="s">
        <v>2850</v>
      </c>
      <c r="H1265" t="s">
        <v>2851</v>
      </c>
      <c r="J1265" t="str">
        <f>HYPERLINK("https://twitter.com/AbhayRai1143054/status/1767826418371584072","https://twitter.com/AbhayRai1143054/status/1767826418371584072")</f>
        <v>https://twitter.com/AbhayRai1143054/status/1767826418371584072</v>
      </c>
      <c r="K1265" t="s">
        <v>145</v>
      </c>
      <c r="O1265">
        <v>0</v>
      </c>
      <c r="P1265">
        <v>0</v>
      </c>
      <c r="Q1265">
        <v>1</v>
      </c>
      <c r="S1265">
        <v>0</v>
      </c>
      <c r="T1265">
        <v>0</v>
      </c>
      <c r="U1265">
        <v>0</v>
      </c>
      <c r="W1265" t="s">
        <v>146</v>
      </c>
    </row>
    <row r="1266" spans="1:45" x14ac:dyDescent="0.35">
      <c r="A1266" t="s">
        <v>45</v>
      </c>
      <c r="B1266" t="s">
        <v>2753</v>
      </c>
      <c r="C1266" t="s">
        <v>58</v>
      </c>
      <c r="D1266" t="s">
        <v>2852</v>
      </c>
      <c r="E1266" t="s">
        <v>2852</v>
      </c>
      <c r="F1266" t="s">
        <v>49</v>
      </c>
      <c r="G1266" t="s">
        <v>2853</v>
      </c>
      <c r="H1266" t="s">
        <v>2854</v>
      </c>
      <c r="J1266" t="str">
        <f>HYPERLINK("https://www.youtube.com/watch?v=D2V28NgHlyw","https://www.youtube.com/watch?v=D2V28NgHlyw")</f>
        <v>https://www.youtube.com/watch?v=D2V28NgHlyw</v>
      </c>
      <c r="O1266">
        <v>0</v>
      </c>
      <c r="P1266">
        <v>0</v>
      </c>
      <c r="Q1266">
        <v>0</v>
      </c>
      <c r="S1266">
        <v>0</v>
      </c>
      <c r="T1266">
        <v>0</v>
      </c>
      <c r="U1266">
        <v>0</v>
      </c>
      <c r="W1266" t="s">
        <v>106</v>
      </c>
    </row>
    <row r="1267" spans="1:45" x14ac:dyDescent="0.35">
      <c r="A1267" t="s">
        <v>45</v>
      </c>
      <c r="B1267" t="s">
        <v>2753</v>
      </c>
      <c r="C1267" t="s">
        <v>63</v>
      </c>
      <c r="D1267" t="s">
        <v>2855</v>
      </c>
      <c r="E1267" t="s">
        <v>2855</v>
      </c>
      <c r="F1267" t="s">
        <v>142</v>
      </c>
      <c r="G1267" t="s">
        <v>2856</v>
      </c>
      <c r="H1267" t="s">
        <v>2857</v>
      </c>
      <c r="J1267" t="str">
        <f>HYPERLINK("https://www.instagram.com/reel/C2M6kulhum4/","https://www.instagram.com/reel/C2M6kulhum4/")</f>
        <v>https://www.instagram.com/reel/C2M6kulhum4/</v>
      </c>
      <c r="O1267">
        <v>0</v>
      </c>
      <c r="P1267">
        <v>0</v>
      </c>
      <c r="Q1267">
        <v>0</v>
      </c>
      <c r="S1267">
        <v>0</v>
      </c>
      <c r="T1267">
        <v>0</v>
      </c>
      <c r="U1267">
        <v>0</v>
      </c>
      <c r="W1267" t="s">
        <v>62</v>
      </c>
    </row>
    <row r="1268" spans="1:45" x14ac:dyDescent="0.35">
      <c r="A1268" t="s">
        <v>45</v>
      </c>
      <c r="B1268" t="s">
        <v>2753</v>
      </c>
      <c r="C1268" t="s">
        <v>47</v>
      </c>
      <c r="D1268" t="s">
        <v>2858</v>
      </c>
      <c r="E1268" t="s">
        <v>2858</v>
      </c>
      <c r="F1268" t="s">
        <v>49</v>
      </c>
      <c r="G1268" t="s">
        <v>459</v>
      </c>
      <c r="H1268" t="s">
        <v>2859</v>
      </c>
      <c r="J1268" t="str">
        <f>HYPERLINK("https://www.facebook.com/454965103328545/posts/490024586489263?comment_id=136086252894850&amp;reply_comment_id=1321543031817064","https://www.facebook.com/454965103328545/posts/490024586489263?comment_id=136086252894850&amp;reply_comment_id=1321543031817064")</f>
        <v>https://www.facebook.com/454965103328545/posts/490024586489263?comment_id=136086252894850&amp;reply_comment_id=1321543031817064</v>
      </c>
      <c r="O1268">
        <v>0</v>
      </c>
      <c r="P1268">
        <v>0</v>
      </c>
      <c r="Q1268">
        <v>0</v>
      </c>
      <c r="S1268">
        <v>0</v>
      </c>
      <c r="T1268">
        <v>0</v>
      </c>
      <c r="U1268">
        <v>0</v>
      </c>
      <c r="W1268" t="s">
        <v>62</v>
      </c>
      <c r="AS1268" t="s">
        <v>375</v>
      </c>
    </row>
    <row r="1269" spans="1:45" x14ac:dyDescent="0.35">
      <c r="A1269" t="s">
        <v>45</v>
      </c>
      <c r="B1269" t="s">
        <v>2753</v>
      </c>
      <c r="C1269" t="s">
        <v>47</v>
      </c>
      <c r="D1269" t="s">
        <v>2858</v>
      </c>
      <c r="E1269" t="s">
        <v>2858</v>
      </c>
      <c r="F1269" t="s">
        <v>49</v>
      </c>
      <c r="G1269" t="s">
        <v>459</v>
      </c>
      <c r="H1269" t="s">
        <v>2860</v>
      </c>
      <c r="J1269" t="str">
        <f>HYPERLINK("https://www.facebook.com/454965103328545/posts/490024586489263?comment_id=938369910987293","https://www.facebook.com/454965103328545/posts/490024586489263?comment_id=938369910987293")</f>
        <v>https://www.facebook.com/454965103328545/posts/490024586489263?comment_id=938369910987293</v>
      </c>
      <c r="O1269">
        <v>0</v>
      </c>
      <c r="P1269">
        <v>0</v>
      </c>
      <c r="Q1269">
        <v>0</v>
      </c>
      <c r="S1269">
        <v>0</v>
      </c>
      <c r="T1269">
        <v>0</v>
      </c>
      <c r="U1269">
        <v>0</v>
      </c>
      <c r="W1269" t="s">
        <v>62</v>
      </c>
      <c r="AS1269" t="s">
        <v>375</v>
      </c>
    </row>
    <row r="1270" spans="1:45" x14ac:dyDescent="0.35">
      <c r="A1270" t="s">
        <v>45</v>
      </c>
      <c r="B1270" t="s">
        <v>2753</v>
      </c>
      <c r="C1270" t="s">
        <v>47</v>
      </c>
      <c r="D1270" t="s">
        <v>2858</v>
      </c>
      <c r="E1270" t="s">
        <v>2858</v>
      </c>
      <c r="F1270" t="s">
        <v>49</v>
      </c>
      <c r="G1270" t="s">
        <v>459</v>
      </c>
      <c r="H1270" t="s">
        <v>2861</v>
      </c>
      <c r="J1270" t="str">
        <f>HYPERLINK("https://www.facebook.com/454965103328545/posts/490024586489263?comment_id=371998715747793","https://www.facebook.com/454965103328545/posts/490024586489263?comment_id=371998715747793")</f>
        <v>https://www.facebook.com/454965103328545/posts/490024586489263?comment_id=371998715747793</v>
      </c>
      <c r="O1270">
        <v>0</v>
      </c>
      <c r="P1270">
        <v>0</v>
      </c>
      <c r="Q1270">
        <v>0</v>
      </c>
      <c r="S1270">
        <v>0</v>
      </c>
      <c r="T1270">
        <v>0</v>
      </c>
      <c r="U1270">
        <v>0</v>
      </c>
      <c r="W1270" t="s">
        <v>62</v>
      </c>
    </row>
    <row r="1271" spans="1:45" x14ac:dyDescent="0.35">
      <c r="A1271" t="s">
        <v>45</v>
      </c>
      <c r="B1271" t="s">
        <v>2753</v>
      </c>
      <c r="C1271" t="s">
        <v>58</v>
      </c>
      <c r="D1271" t="s">
        <v>2862</v>
      </c>
      <c r="E1271" t="s">
        <v>2862</v>
      </c>
      <c r="F1271" t="s">
        <v>49</v>
      </c>
      <c r="G1271" t="s">
        <v>2863</v>
      </c>
      <c r="H1271" t="s">
        <v>2864</v>
      </c>
      <c r="J1271" t="str">
        <f>HYPERLINK("https://www.youtube.com/watch?v=FdjSnYXmeP0","https://www.youtube.com/watch?v=FdjSnYXmeP0")</f>
        <v>https://www.youtube.com/watch?v=FdjSnYXmeP0</v>
      </c>
      <c r="O1271">
        <v>0</v>
      </c>
      <c r="P1271">
        <v>0</v>
      </c>
      <c r="Q1271">
        <v>0</v>
      </c>
      <c r="S1271">
        <v>0</v>
      </c>
      <c r="T1271">
        <v>0</v>
      </c>
      <c r="U1271">
        <v>0</v>
      </c>
      <c r="W1271" t="s">
        <v>106</v>
      </c>
      <c r="AP1271" t="s">
        <v>101</v>
      </c>
    </row>
    <row r="1272" spans="1:45" x14ac:dyDescent="0.35">
      <c r="A1272" t="s">
        <v>45</v>
      </c>
      <c r="B1272" t="s">
        <v>2753</v>
      </c>
      <c r="C1272" t="s">
        <v>58</v>
      </c>
      <c r="D1272" t="s">
        <v>2865</v>
      </c>
      <c r="E1272" t="s">
        <v>2865</v>
      </c>
      <c r="F1272" t="s">
        <v>49</v>
      </c>
      <c r="G1272" t="s">
        <v>2866</v>
      </c>
      <c r="H1272" t="s">
        <v>2867</v>
      </c>
      <c r="J1272" t="str">
        <f>HYPERLINK("https://www.youtube.com/watch?v=AN8DRLiGvF4","https://www.youtube.com/watch?v=AN8DRLiGvF4")</f>
        <v>https://www.youtube.com/watch?v=AN8DRLiGvF4</v>
      </c>
      <c r="O1272">
        <v>0</v>
      </c>
      <c r="P1272">
        <v>0</v>
      </c>
      <c r="Q1272">
        <v>0</v>
      </c>
      <c r="S1272">
        <v>0</v>
      </c>
      <c r="T1272">
        <v>0</v>
      </c>
      <c r="U1272">
        <v>0</v>
      </c>
      <c r="W1272" t="s">
        <v>106</v>
      </c>
      <c r="AP1272" t="s">
        <v>101</v>
      </c>
    </row>
    <row r="1273" spans="1:45" x14ac:dyDescent="0.35">
      <c r="A1273" t="s">
        <v>45</v>
      </c>
      <c r="B1273" t="s">
        <v>2753</v>
      </c>
      <c r="C1273" t="s">
        <v>47</v>
      </c>
      <c r="D1273" t="s">
        <v>2868</v>
      </c>
      <c r="E1273" t="s">
        <v>2868</v>
      </c>
      <c r="F1273" t="s">
        <v>49</v>
      </c>
      <c r="G1273" t="s">
        <v>50</v>
      </c>
      <c r="H1273" t="s">
        <v>2869</v>
      </c>
      <c r="J1273" t="str">
        <f>HYPERLINK("https://www.facebook.com/357267201017935/inbox/7151498094928111/","https://www.facebook.com/357267201017935/inbox/7151498094928111/")</f>
        <v>https://www.facebook.com/357267201017935/inbox/7151498094928111/</v>
      </c>
      <c r="O1273">
        <v>0</v>
      </c>
      <c r="P1273">
        <v>0</v>
      </c>
      <c r="Q1273">
        <v>0</v>
      </c>
      <c r="S1273">
        <v>0</v>
      </c>
      <c r="T1273">
        <v>0</v>
      </c>
      <c r="U1273">
        <v>0</v>
      </c>
      <c r="W1273" t="s">
        <v>52</v>
      </c>
      <c r="AS1273" t="s">
        <v>375</v>
      </c>
    </row>
    <row r="1274" spans="1:45" x14ac:dyDescent="0.35">
      <c r="A1274" t="s">
        <v>45</v>
      </c>
      <c r="B1274" t="s">
        <v>2753</v>
      </c>
      <c r="C1274" t="s">
        <v>58</v>
      </c>
      <c r="D1274" t="s">
        <v>2870</v>
      </c>
      <c r="E1274" t="s">
        <v>2870</v>
      </c>
      <c r="F1274" t="s">
        <v>49</v>
      </c>
      <c r="G1274" t="s">
        <v>2871</v>
      </c>
      <c r="H1274" t="s">
        <v>2872</v>
      </c>
      <c r="J1274" t="str">
        <f>HYPERLINK("https://www.youtube.com/watch?v=vb_Z5ZGEfAA","https://www.youtube.com/watch?v=vb_Z5ZGEfAA")</f>
        <v>https://www.youtube.com/watch?v=vb_Z5ZGEfAA</v>
      </c>
      <c r="O1274">
        <v>0</v>
      </c>
      <c r="P1274">
        <v>0</v>
      </c>
      <c r="Q1274">
        <v>0</v>
      </c>
      <c r="S1274">
        <v>0</v>
      </c>
      <c r="T1274">
        <v>0</v>
      </c>
      <c r="U1274">
        <v>0</v>
      </c>
      <c r="W1274" t="s">
        <v>106</v>
      </c>
    </row>
    <row r="1275" spans="1:45" x14ac:dyDescent="0.35">
      <c r="A1275" t="s">
        <v>45</v>
      </c>
      <c r="B1275" t="s">
        <v>2753</v>
      </c>
      <c r="C1275" t="s">
        <v>47</v>
      </c>
      <c r="D1275" t="s">
        <v>2873</v>
      </c>
      <c r="E1275" t="s">
        <v>2873</v>
      </c>
      <c r="F1275" t="s">
        <v>49</v>
      </c>
      <c r="G1275" t="s">
        <v>2874</v>
      </c>
      <c r="H1275" t="s">
        <v>2875</v>
      </c>
      <c r="J1275" t="str">
        <f>HYPERLINK("https://www.facebook.com/454965103328545/posts/784845107007208?comment_id=1139713437029823","https://www.facebook.com/454965103328545/posts/784845107007208?comment_id=1139713437029823")</f>
        <v>https://www.facebook.com/454965103328545/posts/784845107007208?comment_id=1139713437029823</v>
      </c>
      <c r="O1275">
        <v>0</v>
      </c>
      <c r="P1275">
        <v>0</v>
      </c>
      <c r="Q1275">
        <v>0</v>
      </c>
      <c r="S1275">
        <v>0</v>
      </c>
      <c r="T1275">
        <v>0</v>
      </c>
      <c r="U1275">
        <v>0</v>
      </c>
      <c r="W1275" t="s">
        <v>62</v>
      </c>
      <c r="AS1275" t="s">
        <v>375</v>
      </c>
    </row>
    <row r="1276" spans="1:45" x14ac:dyDescent="0.35">
      <c r="A1276" t="s">
        <v>45</v>
      </c>
      <c r="B1276" t="s">
        <v>2753</v>
      </c>
      <c r="C1276" t="s">
        <v>63</v>
      </c>
      <c r="D1276" t="s">
        <v>2876</v>
      </c>
      <c r="E1276" t="s">
        <v>2876</v>
      </c>
      <c r="F1276" t="s">
        <v>49</v>
      </c>
      <c r="G1276" t="s">
        <v>2877</v>
      </c>
      <c r="H1276" t="s">
        <v>2878</v>
      </c>
      <c r="J1276" t="str">
        <f>HYPERLINK("https://www.instagram.com/p/C4W3TJcvND4/","https://www.instagram.com/p/C4W3TJcvND4/")</f>
        <v>https://www.instagram.com/p/C4W3TJcvND4/</v>
      </c>
      <c r="O1276">
        <v>0</v>
      </c>
      <c r="P1276">
        <v>0</v>
      </c>
      <c r="Q1276">
        <v>0</v>
      </c>
      <c r="S1276">
        <v>0</v>
      </c>
      <c r="T1276">
        <v>0</v>
      </c>
      <c r="U1276">
        <v>0</v>
      </c>
      <c r="W1276" t="s">
        <v>62</v>
      </c>
    </row>
    <row r="1277" spans="1:45" x14ac:dyDescent="0.35">
      <c r="A1277" t="s">
        <v>45</v>
      </c>
      <c r="B1277" t="s">
        <v>2753</v>
      </c>
      <c r="C1277" t="s">
        <v>58</v>
      </c>
      <c r="D1277" t="s">
        <v>1909</v>
      </c>
      <c r="E1277" t="s">
        <v>1909</v>
      </c>
      <c r="F1277" t="s">
        <v>49</v>
      </c>
      <c r="G1277" t="s">
        <v>2879</v>
      </c>
      <c r="H1277" t="s">
        <v>2880</v>
      </c>
      <c r="J1277" t="str">
        <f>HYPERLINK("https://www.youtube.com/watch?v=m1EePFONMnU","https://www.youtube.com/watch?v=m1EePFONMnU")</f>
        <v>https://www.youtube.com/watch?v=m1EePFONMnU</v>
      </c>
      <c r="O1277">
        <v>0</v>
      </c>
      <c r="P1277">
        <v>0</v>
      </c>
      <c r="Q1277">
        <v>0</v>
      </c>
      <c r="S1277">
        <v>0</v>
      </c>
      <c r="T1277">
        <v>0</v>
      </c>
      <c r="U1277">
        <v>0</v>
      </c>
      <c r="W1277" t="s">
        <v>106</v>
      </c>
    </row>
    <row r="1278" spans="1:45" x14ac:dyDescent="0.35">
      <c r="A1278" t="s">
        <v>45</v>
      </c>
      <c r="B1278" t="s">
        <v>2881</v>
      </c>
      <c r="C1278" t="s">
        <v>63</v>
      </c>
      <c r="D1278" t="s">
        <v>64</v>
      </c>
      <c r="E1278" t="s">
        <v>64</v>
      </c>
      <c r="F1278" t="s">
        <v>49</v>
      </c>
      <c r="G1278" t="s">
        <v>2882</v>
      </c>
      <c r="H1278" t="s">
        <v>2883</v>
      </c>
      <c r="J1278" t="str">
        <f>HYPERLINK("https://www.instagram.com/p/C4afuuYvQ8i/","https://www.instagram.com/p/C4afuuYvQ8i/")</f>
        <v>https://www.instagram.com/p/C4afuuYvQ8i/</v>
      </c>
      <c r="O1278">
        <v>0</v>
      </c>
      <c r="P1278">
        <v>0</v>
      </c>
      <c r="Q1278">
        <v>0</v>
      </c>
      <c r="S1278">
        <v>0</v>
      </c>
      <c r="T1278">
        <v>0</v>
      </c>
      <c r="U1278">
        <v>0</v>
      </c>
      <c r="W1278" t="s">
        <v>62</v>
      </c>
      <c r="AO1278" t="s">
        <v>67</v>
      </c>
      <c r="AS1278" t="s">
        <v>375</v>
      </c>
    </row>
    <row r="1279" spans="1:45" x14ac:dyDescent="0.35">
      <c r="A1279" t="s">
        <v>45</v>
      </c>
      <c r="B1279" t="s">
        <v>2881</v>
      </c>
      <c r="C1279" t="s">
        <v>139</v>
      </c>
      <c r="D1279" t="s">
        <v>2884</v>
      </c>
      <c r="E1279" t="s">
        <v>2885</v>
      </c>
      <c r="F1279" t="s">
        <v>49</v>
      </c>
      <c r="G1279" t="s">
        <v>2886</v>
      </c>
      <c r="H1279" t="s">
        <v>2887</v>
      </c>
      <c r="J1279" t="str">
        <f>HYPERLINK("https://twitter.com/samdani45/status/1767608053849809165","https://twitter.com/samdani45/status/1767608053849809165")</f>
        <v>https://twitter.com/samdani45/status/1767608053849809165</v>
      </c>
      <c r="K1279" t="s">
        <v>145</v>
      </c>
      <c r="O1279">
        <v>0</v>
      </c>
      <c r="P1279">
        <v>0</v>
      </c>
      <c r="Q1279">
        <v>201</v>
      </c>
      <c r="R1279" t="s">
        <v>2888</v>
      </c>
      <c r="S1279">
        <v>0</v>
      </c>
      <c r="T1279">
        <v>0</v>
      </c>
      <c r="U1279">
        <v>0</v>
      </c>
      <c r="W1279" t="s">
        <v>146</v>
      </c>
      <c r="Y1279" t="s">
        <v>2889</v>
      </c>
      <c r="Z1279" t="s">
        <v>613</v>
      </c>
      <c r="AA1279" t="s">
        <v>614</v>
      </c>
    </row>
    <row r="1280" spans="1:45" x14ac:dyDescent="0.35">
      <c r="A1280" t="s">
        <v>45</v>
      </c>
      <c r="B1280" t="s">
        <v>2881</v>
      </c>
      <c r="C1280" t="s">
        <v>47</v>
      </c>
      <c r="D1280" t="s">
        <v>2487</v>
      </c>
      <c r="E1280" t="s">
        <v>2487</v>
      </c>
      <c r="F1280" t="s">
        <v>49</v>
      </c>
      <c r="G1280" t="s">
        <v>373</v>
      </c>
      <c r="H1280" t="s">
        <v>2890</v>
      </c>
      <c r="J1280" t="str">
        <f>HYPERLINK("https://www.facebook.com/357267201017935/inbox/7149884868422767/","https://www.facebook.com/357267201017935/inbox/7149884868422767/")</f>
        <v>https://www.facebook.com/357267201017935/inbox/7149884868422767/</v>
      </c>
      <c r="O1280">
        <v>0</v>
      </c>
      <c r="P1280">
        <v>0</v>
      </c>
      <c r="Q1280">
        <v>0</v>
      </c>
      <c r="S1280">
        <v>0</v>
      </c>
      <c r="T1280">
        <v>0</v>
      </c>
      <c r="U1280">
        <v>0</v>
      </c>
      <c r="W1280" t="s">
        <v>52</v>
      </c>
      <c r="AS1280" t="s">
        <v>375</v>
      </c>
    </row>
    <row r="1281" spans="1:42" x14ac:dyDescent="0.35">
      <c r="A1281" t="s">
        <v>45</v>
      </c>
      <c r="B1281" t="s">
        <v>2881</v>
      </c>
      <c r="C1281" t="s">
        <v>139</v>
      </c>
      <c r="D1281" t="s">
        <v>2891</v>
      </c>
      <c r="E1281" t="s">
        <v>2892</v>
      </c>
      <c r="F1281" t="s">
        <v>142</v>
      </c>
      <c r="G1281" t="s">
        <v>2893</v>
      </c>
      <c r="H1281" t="s">
        <v>2894</v>
      </c>
      <c r="J1281" t="str">
        <f>HYPERLINK("https://twitter.com/saakettharad_/status/1767576805660311672","https://twitter.com/saakettharad_/status/1767576805660311672")</f>
        <v>https://twitter.com/saakettharad_/status/1767576805660311672</v>
      </c>
      <c r="K1281" t="s">
        <v>145</v>
      </c>
      <c r="O1281">
        <v>0</v>
      </c>
      <c r="P1281">
        <v>0</v>
      </c>
      <c r="Q1281">
        <v>18</v>
      </c>
      <c r="S1281">
        <v>0</v>
      </c>
      <c r="T1281">
        <v>0</v>
      </c>
      <c r="U1281">
        <v>0</v>
      </c>
      <c r="W1281" t="s">
        <v>146</v>
      </c>
      <c r="AO1281" t="s">
        <v>67</v>
      </c>
    </row>
    <row r="1282" spans="1:42" x14ac:dyDescent="0.35">
      <c r="A1282" t="s">
        <v>45</v>
      </c>
      <c r="B1282" t="s">
        <v>2881</v>
      </c>
      <c r="C1282" t="s">
        <v>139</v>
      </c>
      <c r="D1282" t="s">
        <v>2895</v>
      </c>
      <c r="E1282" t="s">
        <v>2896</v>
      </c>
      <c r="F1282" t="s">
        <v>49</v>
      </c>
      <c r="G1282" t="s">
        <v>2897</v>
      </c>
      <c r="H1282" t="s">
        <v>2898</v>
      </c>
      <c r="J1282" t="str">
        <f>HYPERLINK("https://twitter.com/maritme_india/status/1767560556788261241","https://twitter.com/maritme_india/status/1767560556788261241")</f>
        <v>https://twitter.com/maritme_india/status/1767560556788261241</v>
      </c>
      <c r="O1282">
        <v>0</v>
      </c>
      <c r="P1282">
        <v>0</v>
      </c>
      <c r="Q1282">
        <v>13</v>
      </c>
      <c r="R1282" t="s">
        <v>582</v>
      </c>
      <c r="S1282">
        <v>0</v>
      </c>
      <c r="T1282">
        <v>0</v>
      </c>
      <c r="U1282">
        <v>0</v>
      </c>
      <c r="W1282" t="s">
        <v>146</v>
      </c>
      <c r="AP1282" t="s">
        <v>101</v>
      </c>
    </row>
    <row r="1283" spans="1:42" x14ac:dyDescent="0.35">
      <c r="A1283" t="s">
        <v>45</v>
      </c>
      <c r="B1283" t="s">
        <v>2881</v>
      </c>
      <c r="C1283" t="s">
        <v>47</v>
      </c>
      <c r="D1283" t="s">
        <v>2899</v>
      </c>
      <c r="E1283" t="s">
        <v>2899</v>
      </c>
      <c r="F1283" t="s">
        <v>76</v>
      </c>
      <c r="G1283" t="s">
        <v>2900</v>
      </c>
      <c r="H1283" t="s">
        <v>2901</v>
      </c>
      <c r="J1283" t="str">
        <f>HYPERLINK("https://www.facebook.com/454965103328545/posts/787041066787612?comment_id=844487747438170","https://www.facebook.com/454965103328545/posts/787041066787612?comment_id=844487747438170")</f>
        <v>https://www.facebook.com/454965103328545/posts/787041066787612?comment_id=844487747438170</v>
      </c>
      <c r="O1283">
        <v>0</v>
      </c>
      <c r="P1283">
        <v>0</v>
      </c>
      <c r="Q1283">
        <v>0</v>
      </c>
      <c r="S1283">
        <v>0</v>
      </c>
      <c r="T1283">
        <v>0</v>
      </c>
      <c r="U1283">
        <v>0</v>
      </c>
      <c r="W1283" t="s">
        <v>62</v>
      </c>
    </row>
    <row r="1284" spans="1:42" x14ac:dyDescent="0.35">
      <c r="A1284" t="s">
        <v>45</v>
      </c>
      <c r="B1284" t="s">
        <v>2881</v>
      </c>
      <c r="C1284" t="s">
        <v>139</v>
      </c>
      <c r="D1284" t="s">
        <v>2902</v>
      </c>
      <c r="E1284" t="s">
        <v>2903</v>
      </c>
      <c r="F1284" t="s">
        <v>49</v>
      </c>
      <c r="G1284" t="s">
        <v>2904</v>
      </c>
      <c r="H1284" t="s">
        <v>2905</v>
      </c>
      <c r="J1284" t="str">
        <f>HYPERLINK("https://twitter.com/Biragbhan_Aheer/status/1767543935319339466","https://twitter.com/Biragbhan_Aheer/status/1767543935319339466")</f>
        <v>https://twitter.com/Biragbhan_Aheer/status/1767543935319339466</v>
      </c>
      <c r="O1284">
        <v>0</v>
      </c>
      <c r="P1284">
        <v>0</v>
      </c>
      <c r="Q1284">
        <v>3026</v>
      </c>
      <c r="R1284" t="s">
        <v>582</v>
      </c>
      <c r="S1284">
        <v>0</v>
      </c>
      <c r="T1284">
        <v>0</v>
      </c>
      <c r="U1284">
        <v>0</v>
      </c>
      <c r="W1284" t="s">
        <v>52</v>
      </c>
      <c r="Y1284" t="s">
        <v>2906</v>
      </c>
      <c r="Z1284" t="s">
        <v>613</v>
      </c>
      <c r="AA1284" t="s">
        <v>614</v>
      </c>
    </row>
    <row r="1285" spans="1:42" x14ac:dyDescent="0.35">
      <c r="A1285" t="s">
        <v>45</v>
      </c>
      <c r="B1285" t="s">
        <v>2881</v>
      </c>
      <c r="C1285" t="s">
        <v>47</v>
      </c>
      <c r="D1285" t="s">
        <v>2907</v>
      </c>
      <c r="E1285" t="s">
        <v>2907</v>
      </c>
      <c r="F1285" t="s">
        <v>49</v>
      </c>
      <c r="G1285" t="s">
        <v>2326</v>
      </c>
      <c r="H1285" t="s">
        <v>2908</v>
      </c>
      <c r="J1285" t="str">
        <f>HYPERLINK("https://www.facebook.com/454965103328545/posts/787041066787612?comment_id=7226648897388886","https://www.facebook.com/454965103328545/posts/787041066787612?comment_id=7226648897388886")</f>
        <v>https://www.facebook.com/454965103328545/posts/787041066787612?comment_id=7226648897388886</v>
      </c>
      <c r="O1285">
        <v>0</v>
      </c>
      <c r="P1285">
        <v>0</v>
      </c>
      <c r="Q1285">
        <v>0</v>
      </c>
      <c r="S1285">
        <v>0</v>
      </c>
      <c r="T1285">
        <v>0</v>
      </c>
      <c r="U1285">
        <v>0</v>
      </c>
      <c r="W1285" t="s">
        <v>62</v>
      </c>
    </row>
    <row r="1286" spans="1:42" x14ac:dyDescent="0.35">
      <c r="A1286" t="s">
        <v>45</v>
      </c>
      <c r="B1286" t="s">
        <v>2881</v>
      </c>
      <c r="C1286" t="s">
        <v>47</v>
      </c>
      <c r="D1286" t="s">
        <v>2907</v>
      </c>
      <c r="E1286" t="s">
        <v>2907</v>
      </c>
      <c r="F1286" t="s">
        <v>49</v>
      </c>
      <c r="G1286" t="s">
        <v>2909</v>
      </c>
      <c r="H1286" t="s">
        <v>2910</v>
      </c>
      <c r="J1286" t="str">
        <f>HYPERLINK("https://www.facebook.com/454965103328545/posts/787041066787612?comment_id=4422952957929023","https://www.facebook.com/454965103328545/posts/787041066787612?comment_id=4422952957929023")</f>
        <v>https://www.facebook.com/454965103328545/posts/787041066787612?comment_id=4422952957929023</v>
      </c>
      <c r="O1286">
        <v>0</v>
      </c>
      <c r="P1286">
        <v>0</v>
      </c>
      <c r="Q1286">
        <v>0</v>
      </c>
      <c r="S1286">
        <v>0</v>
      </c>
      <c r="T1286">
        <v>0</v>
      </c>
      <c r="U1286">
        <v>0</v>
      </c>
      <c r="W1286" t="s">
        <v>62</v>
      </c>
    </row>
    <row r="1287" spans="1:42" x14ac:dyDescent="0.35">
      <c r="A1287" t="s">
        <v>45</v>
      </c>
      <c r="B1287" t="s">
        <v>2881</v>
      </c>
      <c r="C1287" t="s">
        <v>139</v>
      </c>
      <c r="D1287" t="s">
        <v>942</v>
      </c>
      <c r="E1287" t="s">
        <v>943</v>
      </c>
      <c r="F1287" t="s">
        <v>49</v>
      </c>
      <c r="G1287" t="s">
        <v>2911</v>
      </c>
      <c r="H1287" t="s">
        <v>2912</v>
      </c>
      <c r="J1287" t="str">
        <f>HYPERLINK("https://twitter.com/rajendras1819/status/1767541017883066593","https://twitter.com/rajendras1819/status/1767541017883066593")</f>
        <v>https://twitter.com/rajendras1819/status/1767541017883066593</v>
      </c>
      <c r="O1287">
        <v>0</v>
      </c>
      <c r="P1287">
        <v>0</v>
      </c>
      <c r="Q1287">
        <v>263</v>
      </c>
      <c r="R1287" t="s">
        <v>946</v>
      </c>
      <c r="S1287">
        <v>0</v>
      </c>
      <c r="T1287">
        <v>0</v>
      </c>
      <c r="U1287">
        <v>0</v>
      </c>
      <c r="W1287" t="s">
        <v>552</v>
      </c>
    </row>
    <row r="1288" spans="1:42" x14ac:dyDescent="0.35">
      <c r="A1288" t="s">
        <v>45</v>
      </c>
      <c r="B1288" t="s">
        <v>2881</v>
      </c>
      <c r="C1288" t="s">
        <v>47</v>
      </c>
      <c r="D1288" t="s">
        <v>2913</v>
      </c>
      <c r="E1288" t="s">
        <v>2913</v>
      </c>
      <c r="F1288" t="s">
        <v>49</v>
      </c>
      <c r="G1288" t="s">
        <v>2914</v>
      </c>
      <c r="H1288" t="s">
        <v>2915</v>
      </c>
      <c r="J1288" t="str">
        <f>HYPERLINK("https://www.facebook.com/454965103328545/posts/787041066787612?comment_id=396311259824979","https://www.facebook.com/454965103328545/posts/787041066787612?comment_id=396311259824979")</f>
        <v>https://www.facebook.com/454965103328545/posts/787041066787612?comment_id=396311259824979</v>
      </c>
      <c r="O1288">
        <v>0</v>
      </c>
      <c r="P1288">
        <v>0</v>
      </c>
      <c r="Q1288">
        <v>0</v>
      </c>
      <c r="S1288">
        <v>0</v>
      </c>
      <c r="T1288">
        <v>0</v>
      </c>
      <c r="U1288">
        <v>0</v>
      </c>
      <c r="W1288" t="s">
        <v>62</v>
      </c>
    </row>
    <row r="1289" spans="1:42" x14ac:dyDescent="0.35">
      <c r="A1289" t="s">
        <v>45</v>
      </c>
      <c r="B1289" t="s">
        <v>2881</v>
      </c>
      <c r="C1289" t="s">
        <v>139</v>
      </c>
      <c r="D1289" t="s">
        <v>190</v>
      </c>
      <c r="E1289" t="s">
        <v>45</v>
      </c>
      <c r="F1289" t="s">
        <v>49</v>
      </c>
      <c r="G1289" t="s">
        <v>2911</v>
      </c>
      <c r="H1289" t="s">
        <v>2916</v>
      </c>
      <c r="J1289" t="str">
        <f>HYPERLINK("https://twitter.com/FinoPaymntsBank/status/1767526234722893885","https://twitter.com/FinoPaymntsBank/status/1767526234722893885")</f>
        <v>https://twitter.com/FinoPaymntsBank/status/1767526234722893885</v>
      </c>
      <c r="K1289" t="s">
        <v>145</v>
      </c>
      <c r="O1289">
        <v>0</v>
      </c>
      <c r="P1289">
        <v>0</v>
      </c>
      <c r="Q1289">
        <v>8433</v>
      </c>
      <c r="R1289" t="s">
        <v>193</v>
      </c>
      <c r="S1289">
        <v>0</v>
      </c>
      <c r="T1289">
        <v>0</v>
      </c>
      <c r="U1289">
        <v>0</v>
      </c>
      <c r="W1289" t="s">
        <v>146</v>
      </c>
    </row>
    <row r="1290" spans="1:42" x14ac:dyDescent="0.35">
      <c r="A1290" t="s">
        <v>45</v>
      </c>
      <c r="B1290" t="s">
        <v>2881</v>
      </c>
      <c r="C1290" t="s">
        <v>63</v>
      </c>
      <c r="D1290" t="s">
        <v>186</v>
      </c>
      <c r="E1290" t="s">
        <v>186</v>
      </c>
      <c r="F1290" t="s">
        <v>49</v>
      </c>
      <c r="G1290" t="s">
        <v>2917</v>
      </c>
      <c r="H1290" t="s">
        <v>2918</v>
      </c>
      <c r="J1290" t="str">
        <f>HYPERLINK("https://www.instagram.com/p/C4afuuYvQ8i/","https://www.instagram.com/p/C4afuuYvQ8i/")</f>
        <v>https://www.instagram.com/p/C4afuuYvQ8i/</v>
      </c>
      <c r="O1290">
        <v>0</v>
      </c>
      <c r="P1290">
        <v>0</v>
      </c>
      <c r="Q1290">
        <v>0</v>
      </c>
      <c r="S1290">
        <v>3</v>
      </c>
      <c r="T1290">
        <v>87</v>
      </c>
      <c r="U1290">
        <v>0</v>
      </c>
      <c r="W1290" t="s">
        <v>106</v>
      </c>
    </row>
    <row r="1291" spans="1:42" x14ac:dyDescent="0.35">
      <c r="A1291" t="s">
        <v>45</v>
      </c>
      <c r="B1291" t="s">
        <v>2881</v>
      </c>
      <c r="C1291" t="s">
        <v>47</v>
      </c>
      <c r="D1291" t="s">
        <v>45</v>
      </c>
      <c r="E1291" t="s">
        <v>45</v>
      </c>
      <c r="F1291" t="s">
        <v>49</v>
      </c>
      <c r="G1291" t="s">
        <v>2917</v>
      </c>
      <c r="H1291" t="s">
        <v>2919</v>
      </c>
      <c r="J1291" t="str">
        <f>HYPERLINK("https://www.facebook.com/454965103328545/posts/787041066787612","https://www.facebook.com/454965103328545/posts/787041066787612")</f>
        <v>https://www.facebook.com/454965103328545/posts/787041066787612</v>
      </c>
      <c r="O1291">
        <v>0</v>
      </c>
      <c r="P1291">
        <v>0</v>
      </c>
      <c r="Q1291">
        <v>0</v>
      </c>
      <c r="S1291">
        <v>10</v>
      </c>
      <c r="T1291">
        <v>72</v>
      </c>
      <c r="U1291">
        <v>15</v>
      </c>
      <c r="W1291" t="s">
        <v>106</v>
      </c>
    </row>
    <row r="1292" spans="1:42" x14ac:dyDescent="0.35">
      <c r="A1292" t="s">
        <v>45</v>
      </c>
      <c r="B1292" t="s">
        <v>2881</v>
      </c>
      <c r="C1292" t="s">
        <v>139</v>
      </c>
      <c r="D1292" t="s">
        <v>2920</v>
      </c>
      <c r="E1292" t="s">
        <v>2921</v>
      </c>
      <c r="F1292" t="s">
        <v>49</v>
      </c>
      <c r="G1292" t="s">
        <v>2922</v>
      </c>
      <c r="H1292" t="s">
        <v>2923</v>
      </c>
      <c r="J1292" t="str">
        <f>HYPERLINK("https://twitter.com/sethiya_amit/status/1767509754367131767","https://twitter.com/sethiya_amit/status/1767509754367131767")</f>
        <v>https://twitter.com/sethiya_amit/status/1767509754367131767</v>
      </c>
      <c r="K1292" t="s">
        <v>145</v>
      </c>
      <c r="O1292">
        <v>0</v>
      </c>
      <c r="P1292">
        <v>0</v>
      </c>
      <c r="Q1292">
        <v>82</v>
      </c>
      <c r="R1292" t="s">
        <v>2924</v>
      </c>
      <c r="S1292">
        <v>0</v>
      </c>
      <c r="T1292">
        <v>0</v>
      </c>
      <c r="U1292">
        <v>0</v>
      </c>
      <c r="W1292" t="s">
        <v>552</v>
      </c>
    </row>
    <row r="1293" spans="1:42" x14ac:dyDescent="0.35">
      <c r="A1293" t="s">
        <v>45</v>
      </c>
      <c r="B1293" t="s">
        <v>2881</v>
      </c>
      <c r="C1293" t="s">
        <v>47</v>
      </c>
      <c r="D1293" t="s">
        <v>2925</v>
      </c>
      <c r="E1293" t="s">
        <v>2925</v>
      </c>
      <c r="F1293" t="s">
        <v>49</v>
      </c>
      <c r="G1293" t="s">
        <v>45</v>
      </c>
      <c r="H1293" t="s">
        <v>2926</v>
      </c>
      <c r="J1293" t="str">
        <f>HYPERLINK("https://www.facebook.com/454965103328545/posts/782605413897844?comment_id=350219541346536&amp;reply_comment_id=390776057002009","https://www.facebook.com/454965103328545/posts/782605413897844?comment_id=350219541346536&amp;reply_comment_id=390776057002009")</f>
        <v>https://www.facebook.com/454965103328545/posts/782605413897844?comment_id=350219541346536&amp;reply_comment_id=390776057002009</v>
      </c>
      <c r="O1293">
        <v>0</v>
      </c>
      <c r="P1293">
        <v>0</v>
      </c>
      <c r="Q1293">
        <v>0</v>
      </c>
      <c r="S1293">
        <v>0</v>
      </c>
      <c r="T1293">
        <v>0</v>
      </c>
      <c r="U1293">
        <v>0</v>
      </c>
      <c r="W1293" t="s">
        <v>62</v>
      </c>
    </row>
    <row r="1294" spans="1:42" x14ac:dyDescent="0.35">
      <c r="A1294" t="s">
        <v>45</v>
      </c>
      <c r="B1294" t="s">
        <v>2881</v>
      </c>
      <c r="C1294" t="s">
        <v>47</v>
      </c>
      <c r="D1294" t="s">
        <v>2927</v>
      </c>
      <c r="E1294" t="s">
        <v>2927</v>
      </c>
      <c r="F1294" t="s">
        <v>49</v>
      </c>
      <c r="G1294" t="s">
        <v>2928</v>
      </c>
      <c r="H1294" t="s">
        <v>2929</v>
      </c>
      <c r="J1294" t="str">
        <f>HYPERLINK("https://www.facebook.com/357267201017935/inbox/7140275022717085/","https://www.facebook.com/357267201017935/inbox/7140275022717085/")</f>
        <v>https://www.facebook.com/357267201017935/inbox/7140275022717085/</v>
      </c>
      <c r="O1294">
        <v>0</v>
      </c>
      <c r="P1294">
        <v>0</v>
      </c>
      <c r="Q1294">
        <v>0</v>
      </c>
      <c r="S1294">
        <v>0</v>
      </c>
      <c r="T1294">
        <v>0</v>
      </c>
      <c r="U1294">
        <v>0</v>
      </c>
      <c r="W1294" t="s">
        <v>52</v>
      </c>
    </row>
    <row r="1295" spans="1:42" x14ac:dyDescent="0.35">
      <c r="A1295" t="s">
        <v>45</v>
      </c>
      <c r="B1295" t="s">
        <v>2881</v>
      </c>
      <c r="C1295" t="s">
        <v>47</v>
      </c>
      <c r="D1295" t="s">
        <v>2930</v>
      </c>
      <c r="E1295" t="s">
        <v>2930</v>
      </c>
      <c r="F1295" t="s">
        <v>142</v>
      </c>
      <c r="G1295" t="s">
        <v>2931</v>
      </c>
      <c r="H1295" t="s">
        <v>2932</v>
      </c>
      <c r="J1295" t="str">
        <f>HYPERLINK("https://www.facebook.com/454965103328545/posts/786419253516460?comment_id=905942091259520&amp;reply_comment_id=324665470588887","https://www.facebook.com/454965103328545/posts/786419253516460?comment_id=905942091259520&amp;reply_comment_id=324665470588887")</f>
        <v>https://www.facebook.com/454965103328545/posts/786419253516460?comment_id=905942091259520&amp;reply_comment_id=324665470588887</v>
      </c>
      <c r="O1295">
        <v>0</v>
      </c>
      <c r="P1295">
        <v>0</v>
      </c>
      <c r="Q1295">
        <v>0</v>
      </c>
      <c r="S1295">
        <v>0</v>
      </c>
      <c r="T1295">
        <v>0</v>
      </c>
      <c r="U1295">
        <v>0</v>
      </c>
      <c r="W1295" t="s">
        <v>62</v>
      </c>
    </row>
    <row r="1296" spans="1:42" x14ac:dyDescent="0.35">
      <c r="A1296" t="s">
        <v>45</v>
      </c>
      <c r="B1296" t="s">
        <v>2881</v>
      </c>
      <c r="C1296" t="s">
        <v>47</v>
      </c>
      <c r="D1296" t="s">
        <v>630</v>
      </c>
      <c r="E1296" t="s">
        <v>630</v>
      </c>
      <c r="F1296" t="s">
        <v>49</v>
      </c>
      <c r="G1296" t="s">
        <v>2933</v>
      </c>
      <c r="H1296" t="s">
        <v>2934</v>
      </c>
      <c r="J1296" t="str">
        <f>HYPERLINK("https://www.facebook.com/454965103328545/posts/786419253516460?comment_id=905942091259520&amp;reply_comment_id=1047025949695281","https://www.facebook.com/454965103328545/posts/786419253516460?comment_id=905942091259520&amp;reply_comment_id=1047025949695281")</f>
        <v>https://www.facebook.com/454965103328545/posts/786419253516460?comment_id=905942091259520&amp;reply_comment_id=1047025949695281</v>
      </c>
      <c r="O1296">
        <v>0</v>
      </c>
      <c r="P1296">
        <v>0</v>
      </c>
      <c r="Q1296">
        <v>0</v>
      </c>
      <c r="S1296">
        <v>0</v>
      </c>
      <c r="T1296">
        <v>0</v>
      </c>
      <c r="U1296">
        <v>0</v>
      </c>
      <c r="W1296" t="s">
        <v>62</v>
      </c>
    </row>
    <row r="1297" spans="1:45" x14ac:dyDescent="0.35">
      <c r="A1297" t="s">
        <v>45</v>
      </c>
      <c r="B1297" t="s">
        <v>2881</v>
      </c>
      <c r="C1297" t="s">
        <v>47</v>
      </c>
      <c r="D1297" t="s">
        <v>2935</v>
      </c>
      <c r="E1297" t="s">
        <v>2935</v>
      </c>
      <c r="F1297" t="s">
        <v>49</v>
      </c>
      <c r="G1297" t="s">
        <v>2936</v>
      </c>
      <c r="H1297" t="s">
        <v>2937</v>
      </c>
      <c r="J1297" t="str">
        <f>HYPERLINK("https://www.facebook.com/357267201017935/posts/4431716263572988/?comment_id=1122254828916846","https://www.facebook.com/357267201017935/posts/4431716263572988/?comment_id=1122254828916846")</f>
        <v>https://www.facebook.com/357267201017935/posts/4431716263572988/?comment_id=1122254828916846</v>
      </c>
      <c r="O1297">
        <v>0</v>
      </c>
      <c r="P1297">
        <v>0</v>
      </c>
      <c r="Q1297">
        <v>0</v>
      </c>
      <c r="S1297">
        <v>0</v>
      </c>
      <c r="T1297">
        <v>0</v>
      </c>
      <c r="U1297">
        <v>0</v>
      </c>
      <c r="W1297" t="s">
        <v>62</v>
      </c>
    </row>
    <row r="1298" spans="1:45" x14ac:dyDescent="0.35">
      <c r="A1298" t="s">
        <v>45</v>
      </c>
      <c r="B1298" t="s">
        <v>2881</v>
      </c>
      <c r="C1298" t="s">
        <v>47</v>
      </c>
      <c r="D1298" t="s">
        <v>2935</v>
      </c>
      <c r="E1298" t="s">
        <v>2935</v>
      </c>
      <c r="F1298" t="s">
        <v>49</v>
      </c>
      <c r="G1298" t="s">
        <v>2938</v>
      </c>
      <c r="H1298" t="s">
        <v>2939</v>
      </c>
      <c r="J1298" t="str">
        <f>HYPERLINK("https://www.facebook.com/357267201017935/posts/4431716263572988/?comment_id=1057484898691194","https://www.facebook.com/357267201017935/posts/4431716263572988/?comment_id=1057484898691194")</f>
        <v>https://www.facebook.com/357267201017935/posts/4431716263572988/?comment_id=1057484898691194</v>
      </c>
      <c r="O1298">
        <v>0</v>
      </c>
      <c r="P1298">
        <v>0</v>
      </c>
      <c r="Q1298">
        <v>0</v>
      </c>
      <c r="S1298">
        <v>0</v>
      </c>
      <c r="T1298">
        <v>0</v>
      </c>
      <c r="U1298">
        <v>0</v>
      </c>
      <c r="W1298" t="s">
        <v>62</v>
      </c>
    </row>
    <row r="1299" spans="1:45" x14ac:dyDescent="0.35">
      <c r="A1299" t="s">
        <v>45</v>
      </c>
      <c r="B1299" t="s">
        <v>2881</v>
      </c>
      <c r="C1299" t="s">
        <v>47</v>
      </c>
      <c r="D1299" t="s">
        <v>2506</v>
      </c>
      <c r="E1299" t="s">
        <v>2506</v>
      </c>
      <c r="F1299" t="s">
        <v>76</v>
      </c>
      <c r="G1299" t="s">
        <v>2940</v>
      </c>
      <c r="H1299" t="s">
        <v>2941</v>
      </c>
      <c r="J1299" t="str">
        <f>HYPERLINK("https://www.facebook.com/141468835099326/posts/434550445791162","https://www.facebook.com/141468835099326/posts/434550445791162")</f>
        <v>https://www.facebook.com/141468835099326/posts/434550445791162</v>
      </c>
      <c r="O1299">
        <v>0</v>
      </c>
      <c r="P1299">
        <v>0</v>
      </c>
      <c r="Q1299">
        <v>0</v>
      </c>
      <c r="S1299">
        <v>0</v>
      </c>
      <c r="T1299">
        <v>4</v>
      </c>
      <c r="U1299">
        <v>0</v>
      </c>
      <c r="W1299" t="s">
        <v>106</v>
      </c>
    </row>
    <row r="1300" spans="1:45" x14ac:dyDescent="0.35">
      <c r="A1300" t="s">
        <v>45</v>
      </c>
      <c r="B1300" t="s">
        <v>2881</v>
      </c>
      <c r="C1300" t="s">
        <v>139</v>
      </c>
      <c r="D1300" t="s">
        <v>2806</v>
      </c>
      <c r="E1300" t="s">
        <v>2807</v>
      </c>
      <c r="F1300" t="s">
        <v>49</v>
      </c>
      <c r="G1300" t="s">
        <v>2942</v>
      </c>
      <c r="H1300" t="s">
        <v>2943</v>
      </c>
      <c r="J1300" t="str">
        <f>HYPERLINK("https://twitter.com/AjjuXda/status/1767483103600423228","https://twitter.com/AjjuXda/status/1767483103600423228")</f>
        <v>https://twitter.com/AjjuXda/status/1767483103600423228</v>
      </c>
      <c r="O1300">
        <v>0</v>
      </c>
      <c r="P1300">
        <v>0</v>
      </c>
      <c r="Q1300">
        <v>5</v>
      </c>
      <c r="S1300">
        <v>0</v>
      </c>
      <c r="T1300">
        <v>0</v>
      </c>
      <c r="U1300">
        <v>0</v>
      </c>
      <c r="W1300" t="s">
        <v>146</v>
      </c>
      <c r="AS1300" t="s">
        <v>375</v>
      </c>
    </row>
    <row r="1301" spans="1:45" x14ac:dyDescent="0.35">
      <c r="A1301" t="s">
        <v>45</v>
      </c>
      <c r="B1301" t="s">
        <v>2881</v>
      </c>
      <c r="C1301" t="s">
        <v>102</v>
      </c>
      <c r="D1301" t="s">
        <v>2506</v>
      </c>
      <c r="E1301" t="s">
        <v>2506</v>
      </c>
      <c r="F1301" t="s">
        <v>76</v>
      </c>
      <c r="G1301" t="s">
        <v>2944</v>
      </c>
      <c r="H1301" t="s">
        <v>2945</v>
      </c>
      <c r="J1301" t="str">
        <f>HYPERLINK("https://www.linkedin.com/feed/update/urn:li:activity:7173246848621506560","https://www.linkedin.com/feed/update/urn:li:activity:7173246848621506560")</f>
        <v>https://www.linkedin.com/feed/update/urn:li:activity:7173246848621506560</v>
      </c>
      <c r="O1301">
        <v>0</v>
      </c>
      <c r="P1301">
        <v>0</v>
      </c>
      <c r="Q1301">
        <v>0</v>
      </c>
      <c r="S1301">
        <v>0</v>
      </c>
      <c r="T1301">
        <v>0</v>
      </c>
      <c r="U1301">
        <v>0</v>
      </c>
      <c r="W1301" t="s">
        <v>106</v>
      </c>
    </row>
    <row r="1302" spans="1:45" x14ac:dyDescent="0.35">
      <c r="A1302" t="s">
        <v>45</v>
      </c>
      <c r="B1302" t="s">
        <v>2881</v>
      </c>
      <c r="C1302" t="s">
        <v>139</v>
      </c>
      <c r="D1302" t="s">
        <v>2946</v>
      </c>
      <c r="E1302" t="s">
        <v>2947</v>
      </c>
      <c r="F1302" t="s">
        <v>49</v>
      </c>
      <c r="G1302" t="s">
        <v>2948</v>
      </c>
      <c r="H1302" t="s">
        <v>2949</v>
      </c>
      <c r="J1302" t="str">
        <f>HYPERLINK("https://twitter.com/InghNiranjan/status/1767466414406070527","https://twitter.com/InghNiranjan/status/1767466414406070527")</f>
        <v>https://twitter.com/InghNiranjan/status/1767466414406070527</v>
      </c>
      <c r="K1302" t="s">
        <v>145</v>
      </c>
      <c r="O1302">
        <v>0</v>
      </c>
      <c r="P1302">
        <v>0</v>
      </c>
      <c r="Q1302">
        <v>1976</v>
      </c>
      <c r="R1302" t="s">
        <v>2950</v>
      </c>
      <c r="S1302">
        <v>0</v>
      </c>
      <c r="T1302">
        <v>0</v>
      </c>
      <c r="U1302">
        <v>0</v>
      </c>
      <c r="W1302" t="s">
        <v>146</v>
      </c>
      <c r="Y1302" t="s">
        <v>2951</v>
      </c>
      <c r="Z1302" t="s">
        <v>613</v>
      </c>
      <c r="AA1302" t="s">
        <v>614</v>
      </c>
    </row>
    <row r="1303" spans="1:45" x14ac:dyDescent="0.35">
      <c r="A1303" t="s">
        <v>45</v>
      </c>
      <c r="B1303" t="s">
        <v>2881</v>
      </c>
      <c r="C1303" t="s">
        <v>102</v>
      </c>
      <c r="D1303" t="s">
        <v>2952</v>
      </c>
      <c r="E1303" t="s">
        <v>2952</v>
      </c>
      <c r="F1303" t="s">
        <v>76</v>
      </c>
      <c r="G1303" t="s">
        <v>2953</v>
      </c>
      <c r="H1303" t="s">
        <v>2954</v>
      </c>
      <c r="J1303" t="str">
        <f>HYPERLINK("https://www.linkedin.com/feed/update/urn:li:ugcPost:7172843634285756416/?commentUrn=urn:li:comment:(urn:li:ugcPost:7172843634285756416,7173227236496404481)","https://www.linkedin.com/feed/update/urn:li:ugcPost:7172843634285756416/?commentUrn=urn:li:comment:(urn:li:ugcPost:7172843634285756416,7173227236496404481)")</f>
        <v>https://www.linkedin.com/feed/update/urn:li:ugcPost:7172843634285756416/?commentUrn=urn:li:comment:(urn:li:ugcPost:7172843634285756416,7173227236496404481)</v>
      </c>
      <c r="O1303">
        <v>0</v>
      </c>
      <c r="P1303">
        <v>0</v>
      </c>
      <c r="Q1303">
        <v>0</v>
      </c>
      <c r="S1303">
        <v>0</v>
      </c>
      <c r="T1303">
        <v>0</v>
      </c>
      <c r="U1303">
        <v>0</v>
      </c>
      <c r="W1303" t="s">
        <v>62</v>
      </c>
    </row>
    <row r="1304" spans="1:45" x14ac:dyDescent="0.35">
      <c r="A1304" t="s">
        <v>45</v>
      </c>
      <c r="B1304" t="s">
        <v>2881</v>
      </c>
      <c r="C1304" t="s">
        <v>139</v>
      </c>
      <c r="D1304" t="s">
        <v>190</v>
      </c>
      <c r="E1304" t="s">
        <v>45</v>
      </c>
      <c r="F1304" t="s">
        <v>49</v>
      </c>
      <c r="G1304" t="s">
        <v>2955</v>
      </c>
      <c r="H1304" t="s">
        <v>2956</v>
      </c>
      <c r="J1304" t="str">
        <f>HYPERLINK("https://twitter.com/FinoPaymntsBank/status/1767450551569228263","https://twitter.com/FinoPaymntsBank/status/1767450551569228263")</f>
        <v>https://twitter.com/FinoPaymntsBank/status/1767450551569228263</v>
      </c>
      <c r="K1304" t="s">
        <v>145</v>
      </c>
      <c r="O1304">
        <v>0</v>
      </c>
      <c r="P1304">
        <v>0</v>
      </c>
      <c r="Q1304">
        <v>8434</v>
      </c>
      <c r="R1304" t="s">
        <v>193</v>
      </c>
      <c r="S1304">
        <v>0</v>
      </c>
      <c r="T1304">
        <v>0</v>
      </c>
      <c r="U1304">
        <v>0</v>
      </c>
      <c r="W1304" t="s">
        <v>146</v>
      </c>
    </row>
    <row r="1305" spans="1:45" x14ac:dyDescent="0.35">
      <c r="A1305" t="s">
        <v>45</v>
      </c>
      <c r="B1305" t="s">
        <v>2881</v>
      </c>
      <c r="C1305" t="s">
        <v>47</v>
      </c>
      <c r="D1305" t="s">
        <v>2774</v>
      </c>
      <c r="E1305" t="s">
        <v>2774</v>
      </c>
      <c r="F1305" t="s">
        <v>49</v>
      </c>
      <c r="G1305" t="s">
        <v>253</v>
      </c>
      <c r="H1305" t="s">
        <v>2957</v>
      </c>
      <c r="J1305" t="str">
        <f>HYPERLINK("https://www.facebook.com/357267201017935/inbox/7097486290329292/","https://www.facebook.com/357267201017935/inbox/7097486290329292/")</f>
        <v>https://www.facebook.com/357267201017935/inbox/7097486290329292/</v>
      </c>
      <c r="O1305">
        <v>0</v>
      </c>
      <c r="P1305">
        <v>0</v>
      </c>
      <c r="Q1305">
        <v>0</v>
      </c>
      <c r="S1305">
        <v>0</v>
      </c>
      <c r="T1305">
        <v>0</v>
      </c>
      <c r="U1305">
        <v>0</v>
      </c>
      <c r="W1305" t="s">
        <v>52</v>
      </c>
    </row>
    <row r="1306" spans="1:45" x14ac:dyDescent="0.35">
      <c r="A1306" t="s">
        <v>45</v>
      </c>
      <c r="B1306" t="s">
        <v>2881</v>
      </c>
      <c r="C1306" t="s">
        <v>47</v>
      </c>
      <c r="D1306" t="s">
        <v>2774</v>
      </c>
      <c r="E1306" t="s">
        <v>2774</v>
      </c>
      <c r="F1306" t="s">
        <v>49</v>
      </c>
      <c r="G1306" t="s">
        <v>2958</v>
      </c>
      <c r="H1306" t="s">
        <v>2959</v>
      </c>
      <c r="J1306" t="str">
        <f>HYPERLINK("https://www.facebook.com/357267201017935/inbox/7097486290329292/","https://www.facebook.com/357267201017935/inbox/7097486290329292/")</f>
        <v>https://www.facebook.com/357267201017935/inbox/7097486290329292/</v>
      </c>
      <c r="O1306">
        <v>0</v>
      </c>
      <c r="P1306">
        <v>0</v>
      </c>
      <c r="Q1306">
        <v>0</v>
      </c>
      <c r="S1306">
        <v>0</v>
      </c>
      <c r="T1306">
        <v>0</v>
      </c>
      <c r="U1306">
        <v>0</v>
      </c>
      <c r="W1306" t="s">
        <v>52</v>
      </c>
      <c r="AS1306" t="s">
        <v>375</v>
      </c>
    </row>
    <row r="1307" spans="1:45" x14ac:dyDescent="0.35">
      <c r="A1307" t="s">
        <v>45</v>
      </c>
      <c r="B1307" t="s">
        <v>2881</v>
      </c>
      <c r="C1307" t="s">
        <v>47</v>
      </c>
      <c r="D1307" t="s">
        <v>2774</v>
      </c>
      <c r="E1307" t="s">
        <v>2774</v>
      </c>
      <c r="F1307" t="s">
        <v>49</v>
      </c>
      <c r="G1307" t="s">
        <v>2960</v>
      </c>
      <c r="H1307" t="s">
        <v>2961</v>
      </c>
      <c r="J1307" t="str">
        <f>HYPERLINK("https://www.facebook.com/357267201017935/inbox/7097486290329292/","https://www.facebook.com/357267201017935/inbox/7097486290329292/")</f>
        <v>https://www.facebook.com/357267201017935/inbox/7097486290329292/</v>
      </c>
      <c r="O1307">
        <v>0</v>
      </c>
      <c r="P1307">
        <v>0</v>
      </c>
      <c r="Q1307">
        <v>0</v>
      </c>
      <c r="S1307">
        <v>0</v>
      </c>
      <c r="T1307">
        <v>0</v>
      </c>
      <c r="U1307">
        <v>0</v>
      </c>
      <c r="W1307" t="s">
        <v>52</v>
      </c>
      <c r="Y1307" t="s">
        <v>2962</v>
      </c>
      <c r="Z1307" t="s">
        <v>613</v>
      </c>
      <c r="AA1307" t="s">
        <v>614</v>
      </c>
    </row>
    <row r="1308" spans="1:45" x14ac:dyDescent="0.35">
      <c r="A1308" t="s">
        <v>45</v>
      </c>
      <c r="B1308" t="s">
        <v>2881</v>
      </c>
      <c r="C1308" t="s">
        <v>47</v>
      </c>
      <c r="D1308" t="s">
        <v>2774</v>
      </c>
      <c r="E1308" t="s">
        <v>2774</v>
      </c>
      <c r="F1308" t="s">
        <v>49</v>
      </c>
      <c r="G1308" t="s">
        <v>2963</v>
      </c>
      <c r="H1308" t="s">
        <v>2964</v>
      </c>
      <c r="J1308" t="str">
        <f>HYPERLINK("https://www.facebook.com/357267201017935/inbox/7097486290329292/","https://www.facebook.com/357267201017935/inbox/7097486290329292/")</f>
        <v>https://www.facebook.com/357267201017935/inbox/7097486290329292/</v>
      </c>
      <c r="O1308">
        <v>0</v>
      </c>
      <c r="P1308">
        <v>0</v>
      </c>
      <c r="Q1308">
        <v>0</v>
      </c>
      <c r="S1308">
        <v>0</v>
      </c>
      <c r="T1308">
        <v>0</v>
      </c>
      <c r="U1308">
        <v>0</v>
      </c>
      <c r="W1308" t="s">
        <v>52</v>
      </c>
    </row>
    <row r="1309" spans="1:45" x14ac:dyDescent="0.35">
      <c r="A1309" t="s">
        <v>45</v>
      </c>
      <c r="B1309" t="s">
        <v>2881</v>
      </c>
      <c r="C1309" t="s">
        <v>47</v>
      </c>
      <c r="D1309" t="s">
        <v>45</v>
      </c>
      <c r="E1309" t="s">
        <v>45</v>
      </c>
      <c r="F1309" t="s">
        <v>49</v>
      </c>
      <c r="G1309" t="s">
        <v>2965</v>
      </c>
      <c r="H1309" t="s">
        <v>2966</v>
      </c>
      <c r="J1309" t="str">
        <f>HYPERLINK("https://www.facebook.com/357267201017935/inbox/7097486290329292/","https://www.facebook.com/357267201017935/inbox/7097486290329292/")</f>
        <v>https://www.facebook.com/357267201017935/inbox/7097486290329292/</v>
      </c>
      <c r="O1309">
        <v>0</v>
      </c>
      <c r="P1309">
        <v>0</v>
      </c>
      <c r="Q1309">
        <v>0</v>
      </c>
      <c r="S1309">
        <v>0</v>
      </c>
      <c r="T1309">
        <v>0</v>
      </c>
      <c r="U1309">
        <v>0</v>
      </c>
      <c r="W1309" t="s">
        <v>52</v>
      </c>
    </row>
    <row r="1310" spans="1:45" x14ac:dyDescent="0.35">
      <c r="A1310" t="s">
        <v>45</v>
      </c>
      <c r="B1310" t="s">
        <v>2881</v>
      </c>
      <c r="C1310" t="s">
        <v>139</v>
      </c>
      <c r="D1310" t="s">
        <v>2967</v>
      </c>
      <c r="E1310" t="s">
        <v>2968</v>
      </c>
      <c r="F1310" t="s">
        <v>49</v>
      </c>
      <c r="G1310" t="s">
        <v>2969</v>
      </c>
      <c r="H1310" t="s">
        <v>2970</v>
      </c>
      <c r="J1310" t="str">
        <f>HYPERLINK("https://twitter.com/Milindshah2017/status/1767449135245054364","https://twitter.com/Milindshah2017/status/1767449135245054364")</f>
        <v>https://twitter.com/Milindshah2017/status/1767449135245054364</v>
      </c>
      <c r="K1310" t="s">
        <v>145</v>
      </c>
      <c r="O1310">
        <v>0</v>
      </c>
      <c r="P1310">
        <v>0</v>
      </c>
      <c r="Q1310">
        <v>55</v>
      </c>
      <c r="R1310" t="s">
        <v>2971</v>
      </c>
      <c r="S1310">
        <v>0</v>
      </c>
      <c r="T1310">
        <v>0</v>
      </c>
      <c r="U1310">
        <v>0</v>
      </c>
      <c r="W1310" t="s">
        <v>146</v>
      </c>
    </row>
    <row r="1311" spans="1:45" x14ac:dyDescent="0.35">
      <c r="A1311" t="s">
        <v>45</v>
      </c>
      <c r="B1311" t="s">
        <v>2881</v>
      </c>
      <c r="C1311" t="s">
        <v>47</v>
      </c>
      <c r="D1311" t="s">
        <v>2972</v>
      </c>
      <c r="E1311" t="s">
        <v>2972</v>
      </c>
      <c r="F1311" t="s">
        <v>49</v>
      </c>
      <c r="G1311" t="s">
        <v>2973</v>
      </c>
      <c r="H1311" t="s">
        <v>2974</v>
      </c>
      <c r="J1311" t="str">
        <f>HYPERLINK("https://www.facebook.com/454965103328545/posts/782589610566091?comment_id=1306435109997897&amp;reply_comment_id=1883619685442685","https://www.facebook.com/454965103328545/posts/782589610566091?comment_id=1306435109997897&amp;reply_comment_id=1883619685442685")</f>
        <v>https://www.facebook.com/454965103328545/posts/782589610566091?comment_id=1306435109997897&amp;reply_comment_id=1883619685442685</v>
      </c>
      <c r="O1311">
        <v>0</v>
      </c>
      <c r="P1311">
        <v>0</v>
      </c>
      <c r="Q1311">
        <v>0</v>
      </c>
      <c r="S1311">
        <v>0</v>
      </c>
      <c r="T1311">
        <v>0</v>
      </c>
      <c r="U1311">
        <v>0</v>
      </c>
      <c r="W1311" t="s">
        <v>62</v>
      </c>
    </row>
    <row r="1312" spans="1:45" x14ac:dyDescent="0.35">
      <c r="A1312" t="s">
        <v>45</v>
      </c>
      <c r="B1312" t="s">
        <v>2881</v>
      </c>
      <c r="C1312" t="s">
        <v>139</v>
      </c>
      <c r="D1312" t="s">
        <v>1934</v>
      </c>
      <c r="E1312" t="s">
        <v>1935</v>
      </c>
      <c r="F1312" t="s">
        <v>142</v>
      </c>
      <c r="G1312" t="s">
        <v>2975</v>
      </c>
      <c r="H1312" t="s">
        <v>2976</v>
      </c>
      <c r="J1312" t="str">
        <f>HYPERLINK("https://twitter.com/VarunMunjal19/status/1767448474629624148","https://twitter.com/VarunMunjal19/status/1767448474629624148")</f>
        <v>https://twitter.com/VarunMunjal19/status/1767448474629624148</v>
      </c>
      <c r="K1312" t="s">
        <v>145</v>
      </c>
      <c r="O1312">
        <v>0</v>
      </c>
      <c r="P1312">
        <v>0</v>
      </c>
      <c r="Q1312">
        <v>1</v>
      </c>
      <c r="S1312">
        <v>0</v>
      </c>
      <c r="T1312">
        <v>0</v>
      </c>
      <c r="U1312">
        <v>0</v>
      </c>
      <c r="W1312" t="s">
        <v>146</v>
      </c>
      <c r="Y1312" t="s">
        <v>2977</v>
      </c>
      <c r="Z1312" t="s">
        <v>613</v>
      </c>
      <c r="AA1312" t="s">
        <v>614</v>
      </c>
    </row>
    <row r="1313" spans="1:23" x14ac:dyDescent="0.35">
      <c r="A1313" t="s">
        <v>45</v>
      </c>
      <c r="B1313" t="s">
        <v>2881</v>
      </c>
      <c r="C1313" t="s">
        <v>47</v>
      </c>
      <c r="D1313" t="s">
        <v>45</v>
      </c>
      <c r="E1313" t="s">
        <v>45</v>
      </c>
      <c r="F1313" t="s">
        <v>49</v>
      </c>
      <c r="G1313" t="s">
        <v>2978</v>
      </c>
      <c r="H1313" t="s">
        <v>2979</v>
      </c>
      <c r="J1313" t="str">
        <f>HYPERLINK("https://www.facebook.com/454965103328545/posts/782589610566091?comment_id=1306435109997897&amp;reply_comment_id=409110978436385","https://www.facebook.com/454965103328545/posts/782589610566091?comment_id=1306435109997897&amp;reply_comment_id=409110978436385")</f>
        <v>https://www.facebook.com/454965103328545/posts/782589610566091?comment_id=1306435109997897&amp;reply_comment_id=409110978436385</v>
      </c>
      <c r="O1313">
        <v>0</v>
      </c>
      <c r="P1313">
        <v>0</v>
      </c>
      <c r="Q1313">
        <v>0</v>
      </c>
      <c r="S1313">
        <v>0</v>
      </c>
      <c r="T1313">
        <v>0</v>
      </c>
      <c r="U1313">
        <v>0</v>
      </c>
      <c r="W1313" t="s">
        <v>62</v>
      </c>
    </row>
    <row r="1314" spans="1:23" x14ac:dyDescent="0.35">
      <c r="A1314" t="s">
        <v>45</v>
      </c>
      <c r="B1314" t="s">
        <v>2881</v>
      </c>
      <c r="C1314" t="s">
        <v>47</v>
      </c>
      <c r="D1314" t="s">
        <v>45</v>
      </c>
      <c r="E1314" t="s">
        <v>45</v>
      </c>
      <c r="F1314" t="s">
        <v>49</v>
      </c>
      <c r="G1314" t="s">
        <v>2980</v>
      </c>
      <c r="H1314" t="s">
        <v>2981</v>
      </c>
      <c r="J1314" t="str">
        <f>HYPERLINK("https://www.facebook.com/357267201017935/inbox/7126340877443833/","https://www.facebook.com/357267201017935/inbox/7126340877443833/")</f>
        <v>https://www.facebook.com/357267201017935/inbox/7126340877443833/</v>
      </c>
      <c r="O1314">
        <v>0</v>
      </c>
      <c r="P1314">
        <v>0</v>
      </c>
      <c r="Q1314">
        <v>0</v>
      </c>
      <c r="S1314">
        <v>0</v>
      </c>
      <c r="T1314">
        <v>0</v>
      </c>
      <c r="U1314">
        <v>0</v>
      </c>
      <c r="W1314" t="s">
        <v>52</v>
      </c>
    </row>
    <row r="1315" spans="1:23" x14ac:dyDescent="0.35">
      <c r="A1315" t="s">
        <v>45</v>
      </c>
      <c r="B1315" t="s">
        <v>2881</v>
      </c>
      <c r="C1315" t="s">
        <v>47</v>
      </c>
      <c r="D1315" t="s">
        <v>45</v>
      </c>
      <c r="E1315" t="s">
        <v>45</v>
      </c>
      <c r="F1315" t="s">
        <v>49</v>
      </c>
      <c r="G1315" t="s">
        <v>2982</v>
      </c>
      <c r="H1315" t="s">
        <v>2983</v>
      </c>
      <c r="J1315" t="str">
        <f>HYPERLINK("https://www.facebook.com/454965103328545/posts/782603903897995?comment_id=6851418158297001&amp;reply_comment_id=418501030656238","https://www.facebook.com/454965103328545/posts/782603903897995?comment_id=6851418158297001&amp;reply_comment_id=418501030656238")</f>
        <v>https://www.facebook.com/454965103328545/posts/782603903897995?comment_id=6851418158297001&amp;reply_comment_id=418501030656238</v>
      </c>
      <c r="O1315">
        <v>0</v>
      </c>
      <c r="P1315">
        <v>0</v>
      </c>
      <c r="Q1315">
        <v>0</v>
      </c>
      <c r="S1315">
        <v>0</v>
      </c>
      <c r="T1315">
        <v>0</v>
      </c>
      <c r="U1315">
        <v>0</v>
      </c>
      <c r="W1315" t="s">
        <v>62</v>
      </c>
    </row>
    <row r="1316" spans="1:23" x14ac:dyDescent="0.35">
      <c r="A1316" t="s">
        <v>45</v>
      </c>
      <c r="B1316" t="s">
        <v>2881</v>
      </c>
      <c r="C1316" t="s">
        <v>139</v>
      </c>
      <c r="D1316" t="s">
        <v>190</v>
      </c>
      <c r="E1316" t="s">
        <v>45</v>
      </c>
      <c r="F1316" t="s">
        <v>49</v>
      </c>
      <c r="G1316" t="s">
        <v>2984</v>
      </c>
      <c r="H1316" t="s">
        <v>2985</v>
      </c>
      <c r="J1316" t="str">
        <f>HYPERLINK("https://twitter.com/FinoPaymntsBank/status/1767448099390415270","https://twitter.com/FinoPaymntsBank/status/1767448099390415270")</f>
        <v>https://twitter.com/FinoPaymntsBank/status/1767448099390415270</v>
      </c>
      <c r="K1316" t="s">
        <v>145</v>
      </c>
      <c r="O1316">
        <v>0</v>
      </c>
      <c r="P1316">
        <v>0</v>
      </c>
      <c r="Q1316">
        <v>8434</v>
      </c>
      <c r="R1316" t="s">
        <v>193</v>
      </c>
      <c r="S1316">
        <v>0</v>
      </c>
      <c r="T1316">
        <v>0</v>
      </c>
      <c r="U1316">
        <v>0</v>
      </c>
      <c r="W1316" t="s">
        <v>146</v>
      </c>
    </row>
    <row r="1317" spans="1:23" x14ac:dyDescent="0.35">
      <c r="A1317" t="s">
        <v>45</v>
      </c>
      <c r="B1317" t="s">
        <v>2881</v>
      </c>
      <c r="C1317" t="s">
        <v>47</v>
      </c>
      <c r="D1317" t="s">
        <v>45</v>
      </c>
      <c r="E1317" t="s">
        <v>45</v>
      </c>
      <c r="F1317" t="s">
        <v>49</v>
      </c>
      <c r="G1317" t="s">
        <v>2986</v>
      </c>
      <c r="H1317" t="s">
        <v>2987</v>
      </c>
      <c r="J1317" t="str">
        <f>HYPERLINK("https://www.facebook.com/357267201017935/inbox/7127401400671114/","https://www.facebook.com/357267201017935/inbox/7127401400671114/")</f>
        <v>https://www.facebook.com/357267201017935/inbox/7127401400671114/</v>
      </c>
      <c r="O1317">
        <v>0</v>
      </c>
      <c r="P1317">
        <v>0</v>
      </c>
      <c r="Q1317">
        <v>0</v>
      </c>
      <c r="S1317">
        <v>0</v>
      </c>
      <c r="T1317">
        <v>0</v>
      </c>
      <c r="U1317">
        <v>0</v>
      </c>
      <c r="W1317" t="s">
        <v>52</v>
      </c>
    </row>
    <row r="1318" spans="1:23" x14ac:dyDescent="0.35">
      <c r="A1318" t="s">
        <v>45</v>
      </c>
      <c r="B1318" t="s">
        <v>2881</v>
      </c>
      <c r="C1318" t="s">
        <v>47</v>
      </c>
      <c r="D1318" t="s">
        <v>45</v>
      </c>
      <c r="E1318" t="s">
        <v>45</v>
      </c>
      <c r="F1318" t="s">
        <v>49</v>
      </c>
      <c r="G1318" t="s">
        <v>2986</v>
      </c>
      <c r="H1318" t="s">
        <v>2988</v>
      </c>
      <c r="J1318" t="str">
        <f>HYPERLINK("https://www.facebook.com/357267201017935/inbox/7127401400671114/","https://www.facebook.com/357267201017935/inbox/7127401400671114/")</f>
        <v>https://www.facebook.com/357267201017935/inbox/7127401400671114/</v>
      </c>
      <c r="O1318">
        <v>0</v>
      </c>
      <c r="P1318">
        <v>0</v>
      </c>
      <c r="Q1318">
        <v>0</v>
      </c>
      <c r="S1318">
        <v>0</v>
      </c>
      <c r="T1318">
        <v>0</v>
      </c>
      <c r="U1318">
        <v>0</v>
      </c>
      <c r="W1318" t="s">
        <v>52</v>
      </c>
    </row>
    <row r="1319" spans="1:23" x14ac:dyDescent="0.35">
      <c r="A1319" t="s">
        <v>45</v>
      </c>
      <c r="B1319" t="s">
        <v>2881</v>
      </c>
      <c r="C1319" t="s">
        <v>47</v>
      </c>
      <c r="D1319" t="s">
        <v>45</v>
      </c>
      <c r="E1319" t="s">
        <v>45</v>
      </c>
      <c r="F1319" t="s">
        <v>49</v>
      </c>
      <c r="G1319" t="s">
        <v>2989</v>
      </c>
      <c r="H1319" t="s">
        <v>2990</v>
      </c>
      <c r="J1319" t="str">
        <f>HYPERLINK("https://www.facebook.com/357267201017935/posts/3069910089753619/?comment_id=2703303836518019&amp;reply_comment_id=714161300597469","https://www.facebook.com/357267201017935/posts/3069910089753619/?comment_id=2703303836518019&amp;reply_comment_id=714161300597469")</f>
        <v>https://www.facebook.com/357267201017935/posts/3069910089753619/?comment_id=2703303836518019&amp;reply_comment_id=714161300597469</v>
      </c>
      <c r="O1319">
        <v>0</v>
      </c>
      <c r="P1319">
        <v>0</v>
      </c>
      <c r="Q1319">
        <v>0</v>
      </c>
      <c r="S1319">
        <v>0</v>
      </c>
      <c r="T1319">
        <v>0</v>
      </c>
      <c r="U1319">
        <v>0</v>
      </c>
      <c r="W1319" t="s">
        <v>62</v>
      </c>
    </row>
    <row r="1320" spans="1:23" x14ac:dyDescent="0.35">
      <c r="A1320" t="s">
        <v>45</v>
      </c>
      <c r="B1320" t="s">
        <v>2881</v>
      </c>
      <c r="C1320" t="s">
        <v>47</v>
      </c>
      <c r="D1320" t="s">
        <v>45</v>
      </c>
      <c r="E1320" t="s">
        <v>45</v>
      </c>
      <c r="F1320" t="s">
        <v>49</v>
      </c>
      <c r="G1320" t="s">
        <v>2991</v>
      </c>
      <c r="H1320" t="s">
        <v>2992</v>
      </c>
      <c r="J1320" t="str">
        <f>HYPERLINK("https://www.facebook.com/357267201017935/inbox/7129525210458733/","https://www.facebook.com/357267201017935/inbox/7129525210458733/")</f>
        <v>https://www.facebook.com/357267201017935/inbox/7129525210458733/</v>
      </c>
      <c r="O1320">
        <v>0</v>
      </c>
      <c r="P1320">
        <v>0</v>
      </c>
      <c r="Q1320">
        <v>0</v>
      </c>
      <c r="S1320">
        <v>0</v>
      </c>
      <c r="T1320">
        <v>0</v>
      </c>
      <c r="U1320">
        <v>0</v>
      </c>
      <c r="W1320" t="s">
        <v>52</v>
      </c>
    </row>
    <row r="1321" spans="1:23" x14ac:dyDescent="0.35">
      <c r="A1321" t="s">
        <v>45</v>
      </c>
      <c r="B1321" t="s">
        <v>2881</v>
      </c>
      <c r="C1321" t="s">
        <v>139</v>
      </c>
      <c r="D1321" t="s">
        <v>190</v>
      </c>
      <c r="E1321" t="s">
        <v>45</v>
      </c>
      <c r="F1321" t="s">
        <v>49</v>
      </c>
      <c r="G1321" t="s">
        <v>2993</v>
      </c>
      <c r="H1321" t="s">
        <v>2994</v>
      </c>
      <c r="J1321" t="str">
        <f>HYPERLINK("https://twitter.com/FinoPaymntsBank/status/1767447346831618482","https://twitter.com/FinoPaymntsBank/status/1767447346831618482")</f>
        <v>https://twitter.com/FinoPaymntsBank/status/1767447346831618482</v>
      </c>
      <c r="K1321" t="s">
        <v>145</v>
      </c>
      <c r="O1321">
        <v>0</v>
      </c>
      <c r="P1321">
        <v>0</v>
      </c>
      <c r="Q1321">
        <v>8434</v>
      </c>
      <c r="R1321" t="s">
        <v>193</v>
      </c>
      <c r="S1321">
        <v>0</v>
      </c>
      <c r="T1321">
        <v>0</v>
      </c>
      <c r="U1321">
        <v>0</v>
      </c>
      <c r="W1321" t="s">
        <v>146</v>
      </c>
    </row>
    <row r="1322" spans="1:23" x14ac:dyDescent="0.35">
      <c r="A1322" t="s">
        <v>45</v>
      </c>
      <c r="B1322" t="s">
        <v>2881</v>
      </c>
      <c r="C1322" t="s">
        <v>47</v>
      </c>
      <c r="D1322" t="s">
        <v>45</v>
      </c>
      <c r="E1322" t="s">
        <v>45</v>
      </c>
      <c r="F1322" t="s">
        <v>49</v>
      </c>
      <c r="G1322" t="s">
        <v>2995</v>
      </c>
      <c r="H1322" t="s">
        <v>2996</v>
      </c>
      <c r="J1322" t="str">
        <f>HYPERLINK("https://www.facebook.com/454965103328545/posts/782603903897995?comment_id=927697882389929&amp;reply_comment_id=388886870551561","https://www.facebook.com/454965103328545/posts/782603903897995?comment_id=927697882389929&amp;reply_comment_id=388886870551561")</f>
        <v>https://www.facebook.com/454965103328545/posts/782603903897995?comment_id=927697882389929&amp;reply_comment_id=388886870551561</v>
      </c>
      <c r="O1322">
        <v>0</v>
      </c>
      <c r="P1322">
        <v>0</v>
      </c>
      <c r="Q1322">
        <v>0</v>
      </c>
      <c r="S1322">
        <v>0</v>
      </c>
      <c r="T1322">
        <v>0</v>
      </c>
      <c r="U1322">
        <v>0</v>
      </c>
      <c r="W1322" t="s">
        <v>62</v>
      </c>
    </row>
    <row r="1323" spans="1:23" x14ac:dyDescent="0.35">
      <c r="A1323" t="s">
        <v>45</v>
      </c>
      <c r="B1323" t="s">
        <v>2881</v>
      </c>
      <c r="C1323" t="s">
        <v>47</v>
      </c>
      <c r="D1323" t="s">
        <v>45</v>
      </c>
      <c r="E1323" t="s">
        <v>45</v>
      </c>
      <c r="F1323" t="s">
        <v>49</v>
      </c>
      <c r="G1323" t="s">
        <v>345</v>
      </c>
      <c r="H1323" t="s">
        <v>2997</v>
      </c>
      <c r="J1323" t="str">
        <f>HYPERLINK("https://www.facebook.com/454965103328545/posts/782605413897844?comment_id=393057713434435&amp;reply_comment_id=398374499617098","https://www.facebook.com/454965103328545/posts/782605413897844?comment_id=393057713434435&amp;reply_comment_id=398374499617098")</f>
        <v>https://www.facebook.com/454965103328545/posts/782605413897844?comment_id=393057713434435&amp;reply_comment_id=398374499617098</v>
      </c>
      <c r="O1323">
        <v>0</v>
      </c>
      <c r="P1323">
        <v>0</v>
      </c>
      <c r="Q1323">
        <v>0</v>
      </c>
      <c r="S1323">
        <v>0</v>
      </c>
      <c r="T1323">
        <v>0</v>
      </c>
      <c r="U1323">
        <v>0</v>
      </c>
      <c r="W1323" t="s">
        <v>62</v>
      </c>
    </row>
    <row r="1324" spans="1:23" x14ac:dyDescent="0.35">
      <c r="A1324" t="s">
        <v>45</v>
      </c>
      <c r="B1324" t="s">
        <v>2881</v>
      </c>
      <c r="C1324" t="s">
        <v>47</v>
      </c>
      <c r="D1324" t="s">
        <v>45</v>
      </c>
      <c r="E1324" t="s">
        <v>45</v>
      </c>
      <c r="F1324" t="s">
        <v>49</v>
      </c>
      <c r="G1324" t="s">
        <v>2998</v>
      </c>
      <c r="H1324" t="s">
        <v>2999</v>
      </c>
      <c r="J1324" t="str">
        <f>HYPERLINK("https://www.facebook.com/357267201017935/inbox/7130917956986125/","https://www.facebook.com/357267201017935/inbox/7130917956986125/")</f>
        <v>https://www.facebook.com/357267201017935/inbox/7130917956986125/</v>
      </c>
      <c r="O1324">
        <v>0</v>
      </c>
      <c r="P1324">
        <v>0</v>
      </c>
      <c r="Q1324">
        <v>0</v>
      </c>
      <c r="S1324">
        <v>0</v>
      </c>
      <c r="T1324">
        <v>0</v>
      </c>
      <c r="U1324">
        <v>0</v>
      </c>
      <c r="W1324" t="s">
        <v>52</v>
      </c>
    </row>
    <row r="1325" spans="1:23" x14ac:dyDescent="0.35">
      <c r="A1325" t="s">
        <v>45</v>
      </c>
      <c r="B1325" t="s">
        <v>2881</v>
      </c>
      <c r="C1325" t="s">
        <v>47</v>
      </c>
      <c r="D1325" t="s">
        <v>45</v>
      </c>
      <c r="E1325" t="s">
        <v>45</v>
      </c>
      <c r="F1325" t="s">
        <v>49</v>
      </c>
      <c r="G1325" t="s">
        <v>290</v>
      </c>
      <c r="H1325" t="s">
        <v>3000</v>
      </c>
      <c r="J1325" t="str">
        <f>HYPERLINK("https://www.facebook.com/357267201017935/inbox/7130917956986125/","https://www.facebook.com/357267201017935/inbox/7130917956986125/")</f>
        <v>https://www.facebook.com/357267201017935/inbox/7130917956986125/</v>
      </c>
      <c r="O1325">
        <v>0</v>
      </c>
      <c r="P1325">
        <v>0</v>
      </c>
      <c r="Q1325">
        <v>0</v>
      </c>
      <c r="S1325">
        <v>0</v>
      </c>
      <c r="T1325">
        <v>0</v>
      </c>
      <c r="U1325">
        <v>0</v>
      </c>
      <c r="W1325" t="s">
        <v>52</v>
      </c>
    </row>
    <row r="1326" spans="1:23" x14ac:dyDescent="0.35">
      <c r="A1326" t="s">
        <v>45</v>
      </c>
      <c r="B1326" t="s">
        <v>2881</v>
      </c>
      <c r="C1326" t="s">
        <v>139</v>
      </c>
      <c r="D1326" t="s">
        <v>190</v>
      </c>
      <c r="E1326" t="s">
        <v>45</v>
      </c>
      <c r="F1326" t="s">
        <v>49</v>
      </c>
      <c r="G1326" t="s">
        <v>3001</v>
      </c>
      <c r="H1326" t="s">
        <v>3002</v>
      </c>
      <c r="J1326" t="str">
        <f>HYPERLINK("https://twitter.com/FinoPaymntsBank/status/1767445176103092373","https://twitter.com/FinoPaymntsBank/status/1767445176103092373")</f>
        <v>https://twitter.com/FinoPaymntsBank/status/1767445176103092373</v>
      </c>
      <c r="K1326" t="s">
        <v>145</v>
      </c>
      <c r="O1326">
        <v>0</v>
      </c>
      <c r="P1326">
        <v>0</v>
      </c>
      <c r="Q1326">
        <v>8436</v>
      </c>
      <c r="R1326" t="s">
        <v>193</v>
      </c>
      <c r="S1326">
        <v>0</v>
      </c>
      <c r="T1326">
        <v>0</v>
      </c>
      <c r="U1326">
        <v>0</v>
      </c>
      <c r="W1326" t="s">
        <v>146</v>
      </c>
    </row>
    <row r="1327" spans="1:23" x14ac:dyDescent="0.35">
      <c r="A1327" t="s">
        <v>45</v>
      </c>
      <c r="B1327" t="s">
        <v>2881</v>
      </c>
      <c r="C1327" t="s">
        <v>139</v>
      </c>
      <c r="D1327" t="s">
        <v>190</v>
      </c>
      <c r="E1327" t="s">
        <v>45</v>
      </c>
      <c r="F1327" t="s">
        <v>49</v>
      </c>
      <c r="G1327" t="s">
        <v>3003</v>
      </c>
      <c r="H1327" t="s">
        <v>3004</v>
      </c>
      <c r="J1327" t="str">
        <f>HYPERLINK("https://twitter.com/FinoPaymntsBank/status/1767444869277196640","https://twitter.com/FinoPaymntsBank/status/1767444869277196640")</f>
        <v>https://twitter.com/FinoPaymntsBank/status/1767444869277196640</v>
      </c>
      <c r="K1327" t="s">
        <v>145</v>
      </c>
      <c r="O1327">
        <v>0</v>
      </c>
      <c r="P1327">
        <v>0</v>
      </c>
      <c r="Q1327">
        <v>8436</v>
      </c>
      <c r="R1327" t="s">
        <v>193</v>
      </c>
      <c r="S1327">
        <v>0</v>
      </c>
      <c r="T1327">
        <v>0</v>
      </c>
      <c r="U1327">
        <v>0</v>
      </c>
      <c r="W1327" t="s">
        <v>146</v>
      </c>
    </row>
    <row r="1328" spans="1:23" x14ac:dyDescent="0.35">
      <c r="A1328" t="s">
        <v>45</v>
      </c>
      <c r="B1328" t="s">
        <v>2881</v>
      </c>
      <c r="C1328" t="s">
        <v>47</v>
      </c>
      <c r="D1328" t="s">
        <v>45</v>
      </c>
      <c r="E1328" t="s">
        <v>45</v>
      </c>
      <c r="F1328" t="s">
        <v>49</v>
      </c>
      <c r="G1328" t="s">
        <v>345</v>
      </c>
      <c r="H1328" t="s">
        <v>3005</v>
      </c>
      <c r="J1328" t="str">
        <f>HYPERLINK("https://www.facebook.com/454965103328545/posts/780754084082977?comment_id=7241100556011638&amp;reply_comment_id=424443469958414","https://www.facebook.com/454965103328545/posts/780754084082977?comment_id=7241100556011638&amp;reply_comment_id=424443469958414")</f>
        <v>https://www.facebook.com/454965103328545/posts/780754084082977?comment_id=7241100556011638&amp;reply_comment_id=424443469958414</v>
      </c>
      <c r="O1328">
        <v>0</v>
      </c>
      <c r="P1328">
        <v>0</v>
      </c>
      <c r="Q1328">
        <v>0</v>
      </c>
      <c r="S1328">
        <v>0</v>
      </c>
      <c r="T1328">
        <v>0</v>
      </c>
      <c r="U1328">
        <v>0</v>
      </c>
      <c r="W1328" t="s">
        <v>62</v>
      </c>
    </row>
    <row r="1329" spans="1:23" x14ac:dyDescent="0.35">
      <c r="A1329" t="s">
        <v>45</v>
      </c>
      <c r="B1329" t="s">
        <v>2881</v>
      </c>
      <c r="C1329" t="s">
        <v>47</v>
      </c>
      <c r="D1329" t="s">
        <v>45</v>
      </c>
      <c r="E1329" t="s">
        <v>45</v>
      </c>
      <c r="F1329" t="s">
        <v>49</v>
      </c>
      <c r="G1329" t="s">
        <v>345</v>
      </c>
      <c r="H1329" t="s">
        <v>3006</v>
      </c>
      <c r="J1329" t="str">
        <f>HYPERLINK("https://www.facebook.com/454965103328545/posts/780754084082977?comment_id=955824486069291&amp;reply_comment_id=1184731866244810","https://www.facebook.com/454965103328545/posts/780754084082977?comment_id=955824486069291&amp;reply_comment_id=1184731866244810")</f>
        <v>https://www.facebook.com/454965103328545/posts/780754084082977?comment_id=955824486069291&amp;reply_comment_id=1184731866244810</v>
      </c>
      <c r="O1329">
        <v>0</v>
      </c>
      <c r="P1329">
        <v>0</v>
      </c>
      <c r="Q1329">
        <v>0</v>
      </c>
      <c r="S1329">
        <v>0</v>
      </c>
      <c r="T1329">
        <v>0</v>
      </c>
      <c r="U1329">
        <v>0</v>
      </c>
      <c r="W1329" t="s">
        <v>62</v>
      </c>
    </row>
    <row r="1330" spans="1:23" x14ac:dyDescent="0.35">
      <c r="A1330" t="s">
        <v>45</v>
      </c>
      <c r="B1330" t="s">
        <v>2881</v>
      </c>
      <c r="C1330" t="s">
        <v>47</v>
      </c>
      <c r="D1330" t="s">
        <v>45</v>
      </c>
      <c r="E1330" t="s">
        <v>45</v>
      </c>
      <c r="F1330" t="s">
        <v>49</v>
      </c>
      <c r="G1330" t="s">
        <v>3007</v>
      </c>
      <c r="H1330" t="s">
        <v>3008</v>
      </c>
      <c r="J1330" t="str">
        <f>HYPERLINK("https://www.facebook.com/454965103328545/posts/781248867366832?comment_id=417605017512596&amp;reply_comment_id=778261050829479","https://www.facebook.com/454965103328545/posts/781248867366832?comment_id=417605017512596&amp;reply_comment_id=778261050829479")</f>
        <v>https://www.facebook.com/454965103328545/posts/781248867366832?comment_id=417605017512596&amp;reply_comment_id=778261050829479</v>
      </c>
      <c r="O1330">
        <v>0</v>
      </c>
      <c r="P1330">
        <v>0</v>
      </c>
      <c r="Q1330">
        <v>0</v>
      </c>
      <c r="S1330">
        <v>0</v>
      </c>
      <c r="T1330">
        <v>0</v>
      </c>
      <c r="U1330">
        <v>0</v>
      </c>
      <c r="W1330" t="s">
        <v>62</v>
      </c>
    </row>
    <row r="1331" spans="1:23" x14ac:dyDescent="0.35">
      <c r="A1331" t="s">
        <v>45</v>
      </c>
      <c r="B1331" t="s">
        <v>2881</v>
      </c>
      <c r="C1331" t="s">
        <v>47</v>
      </c>
      <c r="D1331" t="s">
        <v>45</v>
      </c>
      <c r="E1331" t="s">
        <v>45</v>
      </c>
      <c r="F1331" t="s">
        <v>49</v>
      </c>
      <c r="G1331" t="s">
        <v>3009</v>
      </c>
      <c r="H1331" t="s">
        <v>3010</v>
      </c>
      <c r="J1331" t="str">
        <f>HYPERLINK("https://www.facebook.com/357267201017935/inbox/7134945403250047/","https://www.facebook.com/357267201017935/inbox/7134945403250047/")</f>
        <v>https://www.facebook.com/357267201017935/inbox/7134945403250047/</v>
      </c>
      <c r="O1331">
        <v>0</v>
      </c>
      <c r="P1331">
        <v>0</v>
      </c>
      <c r="Q1331">
        <v>0</v>
      </c>
      <c r="S1331">
        <v>0</v>
      </c>
      <c r="T1331">
        <v>0</v>
      </c>
      <c r="U1331">
        <v>0</v>
      </c>
      <c r="W1331" t="s">
        <v>52</v>
      </c>
    </row>
    <row r="1332" spans="1:23" x14ac:dyDescent="0.35">
      <c r="A1332" t="s">
        <v>45</v>
      </c>
      <c r="B1332" t="s">
        <v>2881</v>
      </c>
      <c r="C1332" t="s">
        <v>47</v>
      </c>
      <c r="D1332" t="s">
        <v>45</v>
      </c>
      <c r="E1332" t="s">
        <v>45</v>
      </c>
      <c r="F1332" t="s">
        <v>49</v>
      </c>
      <c r="G1332" t="s">
        <v>3011</v>
      </c>
      <c r="H1332" t="s">
        <v>3012</v>
      </c>
      <c r="J1332" t="str">
        <f>HYPERLINK("https://www.facebook.com/357267201017935/posts/3069910089753619/?comment_id=3589585404625726&amp;reply_comment_id=1568303027236886","https://www.facebook.com/357267201017935/posts/3069910089753619/?comment_id=3589585404625726&amp;reply_comment_id=1568303027236886")</f>
        <v>https://www.facebook.com/357267201017935/posts/3069910089753619/?comment_id=3589585404625726&amp;reply_comment_id=1568303027236886</v>
      </c>
      <c r="O1332">
        <v>0</v>
      </c>
      <c r="P1332">
        <v>0</v>
      </c>
      <c r="Q1332">
        <v>0</v>
      </c>
      <c r="S1332">
        <v>0</v>
      </c>
      <c r="T1332">
        <v>0</v>
      </c>
      <c r="U1332">
        <v>0</v>
      </c>
      <c r="W1332" t="s">
        <v>62</v>
      </c>
    </row>
    <row r="1333" spans="1:23" x14ac:dyDescent="0.35">
      <c r="A1333" t="s">
        <v>45</v>
      </c>
      <c r="B1333" t="s">
        <v>2881</v>
      </c>
      <c r="C1333" t="s">
        <v>139</v>
      </c>
      <c r="D1333" t="s">
        <v>190</v>
      </c>
      <c r="E1333" t="s">
        <v>45</v>
      </c>
      <c r="F1333" t="s">
        <v>49</v>
      </c>
      <c r="G1333" t="s">
        <v>3013</v>
      </c>
      <c r="H1333" t="s">
        <v>3014</v>
      </c>
      <c r="J1333" t="str">
        <f>HYPERLINK("https://twitter.com/FinoPaymntsBank/status/1767442646472278502","https://twitter.com/FinoPaymntsBank/status/1767442646472278502")</f>
        <v>https://twitter.com/FinoPaymntsBank/status/1767442646472278502</v>
      </c>
      <c r="K1333" t="s">
        <v>145</v>
      </c>
      <c r="O1333">
        <v>0</v>
      </c>
      <c r="P1333">
        <v>0</v>
      </c>
      <c r="Q1333">
        <v>8436</v>
      </c>
      <c r="R1333" t="s">
        <v>193</v>
      </c>
      <c r="S1333">
        <v>0</v>
      </c>
      <c r="T1333">
        <v>0</v>
      </c>
      <c r="U1333">
        <v>0</v>
      </c>
      <c r="W1333" t="s">
        <v>146</v>
      </c>
    </row>
    <row r="1334" spans="1:23" x14ac:dyDescent="0.35">
      <c r="A1334" t="s">
        <v>45</v>
      </c>
      <c r="B1334" t="s">
        <v>2881</v>
      </c>
      <c r="C1334" t="s">
        <v>139</v>
      </c>
      <c r="D1334" t="s">
        <v>190</v>
      </c>
      <c r="E1334" t="s">
        <v>45</v>
      </c>
      <c r="F1334" t="s">
        <v>49</v>
      </c>
      <c r="G1334" t="s">
        <v>3015</v>
      </c>
      <c r="H1334" t="s">
        <v>3016</v>
      </c>
      <c r="J1334" t="str">
        <f>HYPERLINK("https://twitter.com/FinoPaymntsBank/status/1767442256431374508","https://twitter.com/FinoPaymntsBank/status/1767442256431374508")</f>
        <v>https://twitter.com/FinoPaymntsBank/status/1767442256431374508</v>
      </c>
      <c r="K1334" t="s">
        <v>145</v>
      </c>
      <c r="O1334">
        <v>0</v>
      </c>
      <c r="P1334">
        <v>0</v>
      </c>
      <c r="Q1334">
        <v>8436</v>
      </c>
      <c r="R1334" t="s">
        <v>193</v>
      </c>
      <c r="S1334">
        <v>0</v>
      </c>
      <c r="T1334">
        <v>0</v>
      </c>
      <c r="U1334">
        <v>0</v>
      </c>
      <c r="W1334" t="s">
        <v>146</v>
      </c>
    </row>
    <row r="1335" spans="1:23" x14ac:dyDescent="0.35">
      <c r="A1335" t="s">
        <v>45</v>
      </c>
      <c r="B1335" t="s">
        <v>2881</v>
      </c>
      <c r="C1335" t="s">
        <v>139</v>
      </c>
      <c r="D1335" t="s">
        <v>190</v>
      </c>
      <c r="E1335" t="s">
        <v>45</v>
      </c>
      <c r="F1335" t="s">
        <v>49</v>
      </c>
      <c r="G1335" t="s">
        <v>3017</v>
      </c>
      <c r="H1335" t="s">
        <v>3018</v>
      </c>
      <c r="J1335" t="str">
        <f>HYPERLINK("https://twitter.com/FinoPaymntsBank/status/1767441941862736198","https://twitter.com/FinoPaymntsBank/status/1767441941862736198")</f>
        <v>https://twitter.com/FinoPaymntsBank/status/1767441941862736198</v>
      </c>
      <c r="K1335" t="s">
        <v>1994</v>
      </c>
      <c r="O1335">
        <v>0</v>
      </c>
      <c r="P1335">
        <v>0</v>
      </c>
      <c r="Q1335">
        <v>8435</v>
      </c>
      <c r="R1335" t="s">
        <v>193</v>
      </c>
      <c r="S1335">
        <v>0</v>
      </c>
      <c r="T1335">
        <v>0</v>
      </c>
      <c r="U1335">
        <v>0</v>
      </c>
      <c r="W1335" t="s">
        <v>52</v>
      </c>
    </row>
    <row r="1336" spans="1:23" x14ac:dyDescent="0.35">
      <c r="A1336" t="s">
        <v>45</v>
      </c>
      <c r="B1336" t="s">
        <v>2881</v>
      </c>
      <c r="C1336" t="s">
        <v>139</v>
      </c>
      <c r="D1336" t="s">
        <v>190</v>
      </c>
      <c r="E1336" t="s">
        <v>45</v>
      </c>
      <c r="F1336" t="s">
        <v>49</v>
      </c>
      <c r="G1336" t="s">
        <v>3019</v>
      </c>
      <c r="H1336" t="s">
        <v>3020</v>
      </c>
      <c r="J1336" t="str">
        <f>HYPERLINK("https://twitter.com/FinoPaymntsBank/status/1767441697406144816","https://twitter.com/FinoPaymntsBank/status/1767441697406144816")</f>
        <v>https://twitter.com/FinoPaymntsBank/status/1767441697406144816</v>
      </c>
      <c r="K1336" t="s">
        <v>145</v>
      </c>
      <c r="O1336">
        <v>0</v>
      </c>
      <c r="P1336">
        <v>0</v>
      </c>
      <c r="Q1336">
        <v>8436</v>
      </c>
      <c r="R1336" t="s">
        <v>193</v>
      </c>
      <c r="S1336">
        <v>0</v>
      </c>
      <c r="T1336">
        <v>0</v>
      </c>
      <c r="U1336">
        <v>0</v>
      </c>
      <c r="W1336" t="s">
        <v>146</v>
      </c>
    </row>
    <row r="1337" spans="1:23" x14ac:dyDescent="0.35">
      <c r="A1337" t="s">
        <v>45</v>
      </c>
      <c r="B1337" t="s">
        <v>2881</v>
      </c>
      <c r="C1337" t="s">
        <v>47</v>
      </c>
      <c r="D1337" t="s">
        <v>2256</v>
      </c>
      <c r="E1337" t="s">
        <v>2256</v>
      </c>
      <c r="F1337" t="s">
        <v>49</v>
      </c>
      <c r="G1337" t="s">
        <v>3021</v>
      </c>
      <c r="H1337" t="s">
        <v>3022</v>
      </c>
      <c r="J1337" t="str">
        <f>HYPERLINK("https://www.facebook.com/357267201017935/inbox/7145011188910135/","https://www.facebook.com/357267201017935/inbox/7145011188910135/")</f>
        <v>https://www.facebook.com/357267201017935/inbox/7145011188910135/</v>
      </c>
      <c r="O1337">
        <v>0</v>
      </c>
      <c r="P1337">
        <v>0</v>
      </c>
      <c r="Q1337">
        <v>0</v>
      </c>
      <c r="S1337">
        <v>0</v>
      </c>
      <c r="T1337">
        <v>0</v>
      </c>
      <c r="U1337">
        <v>0</v>
      </c>
      <c r="W1337" t="s">
        <v>52</v>
      </c>
    </row>
    <row r="1338" spans="1:23" x14ac:dyDescent="0.35">
      <c r="A1338" t="s">
        <v>45</v>
      </c>
      <c r="B1338" t="s">
        <v>2881</v>
      </c>
      <c r="C1338" t="s">
        <v>47</v>
      </c>
      <c r="D1338" t="s">
        <v>45</v>
      </c>
      <c r="E1338" t="s">
        <v>45</v>
      </c>
      <c r="F1338" t="s">
        <v>49</v>
      </c>
      <c r="G1338" t="s">
        <v>3023</v>
      </c>
      <c r="H1338" t="s">
        <v>3024</v>
      </c>
      <c r="J1338" t="str">
        <f>HYPERLINK("https://www.facebook.com/454965103328545/posts/782605413897844?comment_id=350219541346536&amp;reply_comment_id=736538465269000","https://www.facebook.com/454965103328545/posts/782605413897844?comment_id=350219541346536&amp;reply_comment_id=736538465269000")</f>
        <v>https://www.facebook.com/454965103328545/posts/782605413897844?comment_id=350219541346536&amp;reply_comment_id=736538465269000</v>
      </c>
      <c r="O1338">
        <v>0</v>
      </c>
      <c r="P1338">
        <v>0</v>
      </c>
      <c r="Q1338">
        <v>0</v>
      </c>
      <c r="S1338">
        <v>0</v>
      </c>
      <c r="T1338">
        <v>0</v>
      </c>
      <c r="U1338">
        <v>0</v>
      </c>
      <c r="W1338" t="s">
        <v>62</v>
      </c>
    </row>
    <row r="1339" spans="1:23" x14ac:dyDescent="0.35">
      <c r="A1339" t="s">
        <v>45</v>
      </c>
      <c r="B1339" t="s">
        <v>2881</v>
      </c>
      <c r="C1339" t="s">
        <v>63</v>
      </c>
      <c r="D1339" t="s">
        <v>186</v>
      </c>
      <c r="E1339" t="s">
        <v>186</v>
      </c>
      <c r="F1339" t="s">
        <v>49</v>
      </c>
      <c r="G1339" t="s">
        <v>3025</v>
      </c>
      <c r="H1339" t="s">
        <v>3026</v>
      </c>
      <c r="J1339" t="str">
        <f>HYPERLINK("https://www.instagram.com/p/C3U1uytgenK/","https://www.instagram.com/p/C3U1uytgenK/")</f>
        <v>https://www.instagram.com/p/C3U1uytgenK/</v>
      </c>
      <c r="O1339">
        <v>0</v>
      </c>
      <c r="P1339">
        <v>0</v>
      </c>
      <c r="Q1339">
        <v>0</v>
      </c>
      <c r="S1339">
        <v>0</v>
      </c>
      <c r="T1339">
        <v>0</v>
      </c>
      <c r="U1339">
        <v>0</v>
      </c>
      <c r="W1339" t="s">
        <v>62</v>
      </c>
    </row>
    <row r="1340" spans="1:23" x14ac:dyDescent="0.35">
      <c r="A1340" t="s">
        <v>45</v>
      </c>
      <c r="B1340" t="s">
        <v>2881</v>
      </c>
      <c r="C1340" t="s">
        <v>58</v>
      </c>
      <c r="D1340" t="s">
        <v>277</v>
      </c>
      <c r="E1340" t="s">
        <v>277</v>
      </c>
      <c r="F1340" t="s">
        <v>49</v>
      </c>
      <c r="G1340" t="s">
        <v>320</v>
      </c>
      <c r="H1340" t="s">
        <v>3027</v>
      </c>
      <c r="J1340" t="str">
        <f>HYPERLINK("https://www.youtube.com/watch?v=nNTi7GPdTsw&amp;lc=UgyOOKR-h6D3daD_23F4AaABAg.A0mxlmrUpygA0sNOoioF-S","https://www.youtube.com/watch?v=nNTi7GPdTsw&amp;lc=UgyOOKR-h6D3daD_23F4AaABAg.A0mxlmrUpygA0sNOoioF-S")</f>
        <v>https://www.youtube.com/watch?v=nNTi7GPdTsw&amp;lc=UgyOOKR-h6D3daD_23F4AaABAg.A0mxlmrUpygA0sNOoioF-S</v>
      </c>
      <c r="O1340">
        <v>0</v>
      </c>
      <c r="P1340">
        <v>0</v>
      </c>
      <c r="Q1340">
        <v>0</v>
      </c>
      <c r="S1340">
        <v>0</v>
      </c>
      <c r="T1340">
        <v>0</v>
      </c>
      <c r="U1340">
        <v>0</v>
      </c>
      <c r="W1340" t="s">
        <v>62</v>
      </c>
    </row>
    <row r="1341" spans="1:23" x14ac:dyDescent="0.35">
      <c r="A1341" t="s">
        <v>45</v>
      </c>
      <c r="B1341" t="s">
        <v>2881</v>
      </c>
      <c r="C1341" t="s">
        <v>47</v>
      </c>
      <c r="D1341" t="s">
        <v>45</v>
      </c>
      <c r="E1341" t="s">
        <v>45</v>
      </c>
      <c r="F1341" t="s">
        <v>49</v>
      </c>
      <c r="G1341" t="s">
        <v>3028</v>
      </c>
      <c r="H1341" t="s">
        <v>3029</v>
      </c>
      <c r="J1341" t="str">
        <f>HYPERLINK("https://www.facebook.com/357267201017935/inbox/7140275022717085/","https://www.facebook.com/357267201017935/inbox/7140275022717085/")</f>
        <v>https://www.facebook.com/357267201017935/inbox/7140275022717085/</v>
      </c>
      <c r="O1341">
        <v>0</v>
      </c>
      <c r="P1341">
        <v>0</v>
      </c>
      <c r="Q1341">
        <v>0</v>
      </c>
      <c r="S1341">
        <v>0</v>
      </c>
      <c r="T1341">
        <v>0</v>
      </c>
      <c r="U1341">
        <v>0</v>
      </c>
      <c r="W1341" t="s">
        <v>52</v>
      </c>
    </row>
    <row r="1342" spans="1:23" x14ac:dyDescent="0.35">
      <c r="A1342" t="s">
        <v>45</v>
      </c>
      <c r="B1342" t="s">
        <v>2881</v>
      </c>
      <c r="C1342" t="s">
        <v>47</v>
      </c>
      <c r="D1342" t="s">
        <v>45</v>
      </c>
      <c r="E1342" t="s">
        <v>45</v>
      </c>
      <c r="F1342" t="s">
        <v>49</v>
      </c>
      <c r="G1342" t="s">
        <v>3030</v>
      </c>
      <c r="H1342" t="s">
        <v>3031</v>
      </c>
      <c r="J1342" t="str">
        <f>HYPERLINK("https://www.facebook.com/357267201017935/inbox/7140577936020127/","https://www.facebook.com/357267201017935/inbox/7140577936020127/")</f>
        <v>https://www.facebook.com/357267201017935/inbox/7140577936020127/</v>
      </c>
      <c r="O1342">
        <v>0</v>
      </c>
      <c r="P1342">
        <v>0</v>
      </c>
      <c r="Q1342">
        <v>0</v>
      </c>
      <c r="S1342">
        <v>0</v>
      </c>
      <c r="T1342">
        <v>0</v>
      </c>
      <c r="U1342">
        <v>0</v>
      </c>
      <c r="W1342" t="s">
        <v>52</v>
      </c>
    </row>
    <row r="1343" spans="1:23" x14ac:dyDescent="0.35">
      <c r="A1343" t="s">
        <v>45</v>
      </c>
      <c r="B1343" t="s">
        <v>2881</v>
      </c>
      <c r="C1343" t="s">
        <v>47</v>
      </c>
      <c r="D1343" t="s">
        <v>45</v>
      </c>
      <c r="E1343" t="s">
        <v>45</v>
      </c>
      <c r="F1343" t="s">
        <v>49</v>
      </c>
      <c r="G1343" t="s">
        <v>3032</v>
      </c>
      <c r="H1343" t="s">
        <v>3033</v>
      </c>
      <c r="J1343" t="str">
        <f>HYPERLINK("https://www.facebook.com/357267201017935/posts/3069910089753619/?comment_id=3349117825378321&amp;reply_comment_id=25071568999158142","https://www.facebook.com/357267201017935/posts/3069910089753619/?comment_id=3349117825378321&amp;reply_comment_id=25071568999158142")</f>
        <v>https://www.facebook.com/357267201017935/posts/3069910089753619/?comment_id=3349117825378321&amp;reply_comment_id=25071568999158142</v>
      </c>
      <c r="O1343">
        <v>0</v>
      </c>
      <c r="P1343">
        <v>0</v>
      </c>
      <c r="Q1343">
        <v>0</v>
      </c>
      <c r="S1343">
        <v>0</v>
      </c>
      <c r="T1343">
        <v>0</v>
      </c>
      <c r="U1343">
        <v>0</v>
      </c>
      <c r="W1343" t="s">
        <v>62</v>
      </c>
    </row>
    <row r="1344" spans="1:23" x14ac:dyDescent="0.35">
      <c r="A1344" t="s">
        <v>45</v>
      </c>
      <c r="B1344" t="s">
        <v>2881</v>
      </c>
      <c r="C1344" t="s">
        <v>47</v>
      </c>
      <c r="D1344" t="s">
        <v>45</v>
      </c>
      <c r="E1344" t="s">
        <v>45</v>
      </c>
      <c r="F1344" t="s">
        <v>49</v>
      </c>
      <c r="G1344" t="s">
        <v>3032</v>
      </c>
      <c r="H1344" t="s">
        <v>3034</v>
      </c>
      <c r="J1344" t="str">
        <f>HYPERLINK("https://www.facebook.com/357267201017935/posts/3069910089753619/?comment_id=1407552079895861&amp;reply_comment_id=1585597855523743","https://www.facebook.com/357267201017935/posts/3069910089753619/?comment_id=1407552079895861&amp;reply_comment_id=1585597855523743")</f>
        <v>https://www.facebook.com/357267201017935/posts/3069910089753619/?comment_id=1407552079895861&amp;reply_comment_id=1585597855523743</v>
      </c>
      <c r="O1344">
        <v>0</v>
      </c>
      <c r="P1344">
        <v>0</v>
      </c>
      <c r="Q1344">
        <v>0</v>
      </c>
      <c r="S1344">
        <v>0</v>
      </c>
      <c r="T1344">
        <v>0</v>
      </c>
      <c r="U1344">
        <v>0</v>
      </c>
      <c r="W1344" t="s">
        <v>62</v>
      </c>
    </row>
    <row r="1345" spans="1:42" x14ac:dyDescent="0.35">
      <c r="A1345" t="s">
        <v>45</v>
      </c>
      <c r="B1345" t="s">
        <v>2881</v>
      </c>
      <c r="C1345" t="s">
        <v>139</v>
      </c>
      <c r="D1345" t="s">
        <v>190</v>
      </c>
      <c r="E1345" t="s">
        <v>45</v>
      </c>
      <c r="F1345" t="s">
        <v>49</v>
      </c>
      <c r="G1345" t="s">
        <v>3035</v>
      </c>
      <c r="H1345" t="s">
        <v>3036</v>
      </c>
      <c r="J1345" t="str">
        <f>HYPERLINK("https://twitter.com/FinoPaymntsBank/status/1767435492558266868","https://twitter.com/FinoPaymntsBank/status/1767435492558266868")</f>
        <v>https://twitter.com/FinoPaymntsBank/status/1767435492558266868</v>
      </c>
      <c r="K1345" t="s">
        <v>145</v>
      </c>
      <c r="O1345">
        <v>0</v>
      </c>
      <c r="P1345">
        <v>0</v>
      </c>
      <c r="Q1345">
        <v>8436</v>
      </c>
      <c r="R1345" t="s">
        <v>193</v>
      </c>
      <c r="S1345">
        <v>0</v>
      </c>
      <c r="T1345">
        <v>0</v>
      </c>
      <c r="U1345">
        <v>0</v>
      </c>
      <c r="W1345" t="s">
        <v>146</v>
      </c>
    </row>
    <row r="1346" spans="1:42" x14ac:dyDescent="0.35">
      <c r="A1346" t="s">
        <v>45</v>
      </c>
      <c r="B1346" t="s">
        <v>2881</v>
      </c>
      <c r="C1346" t="s">
        <v>139</v>
      </c>
      <c r="D1346" t="s">
        <v>190</v>
      </c>
      <c r="E1346" t="s">
        <v>45</v>
      </c>
      <c r="F1346" t="s">
        <v>49</v>
      </c>
      <c r="G1346" t="s">
        <v>3037</v>
      </c>
      <c r="H1346" t="s">
        <v>3038</v>
      </c>
      <c r="J1346" t="str">
        <f>HYPERLINK("https://twitter.com/FinoPaymntsBank/status/1767435220628955383","https://twitter.com/FinoPaymntsBank/status/1767435220628955383")</f>
        <v>https://twitter.com/FinoPaymntsBank/status/1767435220628955383</v>
      </c>
      <c r="K1346" t="s">
        <v>1994</v>
      </c>
      <c r="O1346">
        <v>0</v>
      </c>
      <c r="P1346">
        <v>0</v>
      </c>
      <c r="Q1346">
        <v>8436</v>
      </c>
      <c r="R1346" t="s">
        <v>193</v>
      </c>
      <c r="S1346">
        <v>0</v>
      </c>
      <c r="T1346">
        <v>0</v>
      </c>
      <c r="U1346">
        <v>0</v>
      </c>
      <c r="W1346" t="s">
        <v>52</v>
      </c>
    </row>
    <row r="1347" spans="1:42" x14ac:dyDescent="0.35">
      <c r="A1347" t="s">
        <v>45</v>
      </c>
      <c r="B1347" t="s">
        <v>2881</v>
      </c>
      <c r="C1347" t="s">
        <v>139</v>
      </c>
      <c r="D1347" t="s">
        <v>190</v>
      </c>
      <c r="E1347" t="s">
        <v>45</v>
      </c>
      <c r="F1347" t="s">
        <v>49</v>
      </c>
      <c r="G1347" t="s">
        <v>3039</v>
      </c>
      <c r="H1347" t="s">
        <v>3040</v>
      </c>
      <c r="J1347" t="str">
        <f>HYPERLINK("https://twitter.com/FinoPaymntsBank/status/1767435103033246149","https://twitter.com/FinoPaymntsBank/status/1767435103033246149")</f>
        <v>https://twitter.com/FinoPaymntsBank/status/1767435103033246149</v>
      </c>
      <c r="K1347" t="s">
        <v>1994</v>
      </c>
      <c r="O1347">
        <v>0</v>
      </c>
      <c r="P1347">
        <v>0</v>
      </c>
      <c r="Q1347">
        <v>8436</v>
      </c>
      <c r="R1347" t="s">
        <v>193</v>
      </c>
      <c r="S1347">
        <v>0</v>
      </c>
      <c r="T1347">
        <v>0</v>
      </c>
      <c r="U1347">
        <v>0</v>
      </c>
      <c r="W1347" t="s">
        <v>52</v>
      </c>
    </row>
    <row r="1348" spans="1:42" x14ac:dyDescent="0.35">
      <c r="A1348" t="s">
        <v>45</v>
      </c>
      <c r="B1348" t="s">
        <v>2881</v>
      </c>
      <c r="C1348" t="s">
        <v>139</v>
      </c>
      <c r="D1348" t="s">
        <v>190</v>
      </c>
      <c r="E1348" t="s">
        <v>45</v>
      </c>
      <c r="F1348" t="s">
        <v>49</v>
      </c>
      <c r="G1348" t="s">
        <v>3041</v>
      </c>
      <c r="H1348" t="s">
        <v>3042</v>
      </c>
      <c r="J1348" t="str">
        <f>HYPERLINK("https://twitter.com/FinoPaymntsBank/status/1767434662060941772","https://twitter.com/FinoPaymntsBank/status/1767434662060941772")</f>
        <v>https://twitter.com/FinoPaymntsBank/status/1767434662060941772</v>
      </c>
      <c r="K1348" t="s">
        <v>145</v>
      </c>
      <c r="O1348">
        <v>0</v>
      </c>
      <c r="P1348">
        <v>0</v>
      </c>
      <c r="Q1348">
        <v>8436</v>
      </c>
      <c r="R1348" t="s">
        <v>193</v>
      </c>
      <c r="S1348">
        <v>0</v>
      </c>
      <c r="T1348">
        <v>0</v>
      </c>
      <c r="U1348">
        <v>0</v>
      </c>
      <c r="W1348" t="s">
        <v>146</v>
      </c>
    </row>
    <row r="1349" spans="1:42" x14ac:dyDescent="0.35">
      <c r="A1349" t="s">
        <v>45</v>
      </c>
      <c r="B1349" t="s">
        <v>2881</v>
      </c>
      <c r="C1349" t="s">
        <v>47</v>
      </c>
      <c r="D1349" t="s">
        <v>3043</v>
      </c>
      <c r="E1349" t="s">
        <v>3043</v>
      </c>
      <c r="F1349" t="s">
        <v>49</v>
      </c>
      <c r="G1349" t="s">
        <v>3044</v>
      </c>
      <c r="H1349" t="s">
        <v>3045</v>
      </c>
      <c r="J1349" t="str">
        <f>HYPERLINK("https://www.facebook.com/454965103328545/posts/782603903897995?comment_id=765779555183209&amp;reply_comment_id=444595774584342","https://www.facebook.com/454965103328545/posts/782603903897995?comment_id=765779555183209&amp;reply_comment_id=444595774584342")</f>
        <v>https://www.facebook.com/454965103328545/posts/782603903897995?comment_id=765779555183209&amp;reply_comment_id=444595774584342</v>
      </c>
      <c r="O1349">
        <v>0</v>
      </c>
      <c r="P1349">
        <v>0</v>
      </c>
      <c r="Q1349">
        <v>0</v>
      </c>
      <c r="S1349">
        <v>0</v>
      </c>
      <c r="T1349">
        <v>0</v>
      </c>
      <c r="U1349">
        <v>0</v>
      </c>
      <c r="W1349" t="s">
        <v>62</v>
      </c>
    </row>
    <row r="1350" spans="1:42" x14ac:dyDescent="0.35">
      <c r="A1350" t="s">
        <v>45</v>
      </c>
      <c r="B1350" t="s">
        <v>2881</v>
      </c>
      <c r="C1350" t="s">
        <v>47</v>
      </c>
      <c r="D1350" t="s">
        <v>45</v>
      </c>
      <c r="E1350" t="s">
        <v>45</v>
      </c>
      <c r="F1350" t="s">
        <v>49</v>
      </c>
      <c r="G1350" t="s">
        <v>345</v>
      </c>
      <c r="H1350" t="s">
        <v>3046</v>
      </c>
      <c r="J1350" t="str">
        <f>HYPERLINK("https://www.facebook.com/454965103328545/posts/784845107007208?comment_id=1137033917486235&amp;reply_comment_id=1242150903409678","https://www.facebook.com/454965103328545/posts/784845107007208?comment_id=1137033917486235&amp;reply_comment_id=1242150903409678")</f>
        <v>https://www.facebook.com/454965103328545/posts/784845107007208?comment_id=1137033917486235&amp;reply_comment_id=1242150903409678</v>
      </c>
      <c r="O1350">
        <v>0</v>
      </c>
      <c r="P1350">
        <v>0</v>
      </c>
      <c r="Q1350">
        <v>0</v>
      </c>
      <c r="S1350">
        <v>0</v>
      </c>
      <c r="T1350">
        <v>0</v>
      </c>
      <c r="U1350">
        <v>0</v>
      </c>
      <c r="W1350" t="s">
        <v>62</v>
      </c>
    </row>
    <row r="1351" spans="1:42" x14ac:dyDescent="0.35">
      <c r="A1351" t="s">
        <v>45</v>
      </c>
      <c r="B1351" t="s">
        <v>2881</v>
      </c>
      <c r="C1351" t="s">
        <v>47</v>
      </c>
      <c r="D1351" t="s">
        <v>45</v>
      </c>
      <c r="E1351" t="s">
        <v>45</v>
      </c>
      <c r="F1351" t="s">
        <v>49</v>
      </c>
      <c r="G1351" t="s">
        <v>345</v>
      </c>
      <c r="H1351" t="s">
        <v>3047</v>
      </c>
      <c r="J1351" t="str">
        <f>HYPERLINK("https://www.facebook.com/454965103328545/posts/784845107007208?comment_id=316564281047779&amp;reply_comment_id=356772807332153","https://www.facebook.com/454965103328545/posts/784845107007208?comment_id=316564281047779&amp;reply_comment_id=356772807332153")</f>
        <v>https://www.facebook.com/454965103328545/posts/784845107007208?comment_id=316564281047779&amp;reply_comment_id=356772807332153</v>
      </c>
      <c r="O1351">
        <v>0</v>
      </c>
      <c r="P1351">
        <v>0</v>
      </c>
      <c r="Q1351">
        <v>0</v>
      </c>
      <c r="S1351">
        <v>0</v>
      </c>
      <c r="T1351">
        <v>0</v>
      </c>
      <c r="U1351">
        <v>0</v>
      </c>
      <c r="W1351" t="s">
        <v>62</v>
      </c>
    </row>
    <row r="1352" spans="1:42" x14ac:dyDescent="0.35">
      <c r="A1352" t="s">
        <v>45</v>
      </c>
      <c r="B1352" t="s">
        <v>2881</v>
      </c>
      <c r="C1352" t="s">
        <v>63</v>
      </c>
      <c r="D1352" t="s">
        <v>186</v>
      </c>
      <c r="E1352" t="s">
        <v>186</v>
      </c>
      <c r="F1352" t="s">
        <v>49</v>
      </c>
      <c r="G1352" t="s">
        <v>3048</v>
      </c>
      <c r="H1352" t="s">
        <v>3049</v>
      </c>
      <c r="J1352" t="str">
        <f>HYPERLINK("https://www.instagram.com/p/C4PPzsYN5dB/","https://www.instagram.com/p/C4PPzsYN5dB/")</f>
        <v>https://www.instagram.com/p/C4PPzsYN5dB/</v>
      </c>
      <c r="O1352">
        <v>0</v>
      </c>
      <c r="P1352">
        <v>0</v>
      </c>
      <c r="Q1352">
        <v>0</v>
      </c>
      <c r="S1352">
        <v>0</v>
      </c>
      <c r="T1352">
        <v>0</v>
      </c>
      <c r="U1352">
        <v>0</v>
      </c>
      <c r="W1352" t="s">
        <v>62</v>
      </c>
    </row>
    <row r="1353" spans="1:42" x14ac:dyDescent="0.35">
      <c r="A1353" t="s">
        <v>45</v>
      </c>
      <c r="B1353" t="s">
        <v>2881</v>
      </c>
      <c r="C1353" t="s">
        <v>47</v>
      </c>
      <c r="D1353" t="s">
        <v>45</v>
      </c>
      <c r="E1353" t="s">
        <v>45</v>
      </c>
      <c r="F1353" t="s">
        <v>49</v>
      </c>
      <c r="G1353" t="s">
        <v>3050</v>
      </c>
      <c r="H1353" t="s">
        <v>3051</v>
      </c>
      <c r="J1353" t="str">
        <f>HYPERLINK("https://www.facebook.com/454965103328545/posts/782605413897844?comment_id=1095967158320510&amp;reply_comment_id=778785070425605","https://www.facebook.com/454965103328545/posts/782605413897844?comment_id=1095967158320510&amp;reply_comment_id=778785070425605")</f>
        <v>https://www.facebook.com/454965103328545/posts/782605413897844?comment_id=1095967158320510&amp;reply_comment_id=778785070425605</v>
      </c>
      <c r="O1353">
        <v>0</v>
      </c>
      <c r="P1353">
        <v>0</v>
      </c>
      <c r="Q1353">
        <v>0</v>
      </c>
      <c r="S1353">
        <v>0</v>
      </c>
      <c r="T1353">
        <v>0</v>
      </c>
      <c r="U1353">
        <v>0</v>
      </c>
      <c r="W1353" t="s">
        <v>62</v>
      </c>
    </row>
    <row r="1354" spans="1:42" x14ac:dyDescent="0.35">
      <c r="A1354" t="s">
        <v>45</v>
      </c>
      <c r="B1354" t="s">
        <v>2881</v>
      </c>
      <c r="C1354" t="s">
        <v>47</v>
      </c>
      <c r="D1354" t="s">
        <v>45</v>
      </c>
      <c r="E1354" t="s">
        <v>45</v>
      </c>
      <c r="F1354" t="s">
        <v>49</v>
      </c>
      <c r="G1354" t="s">
        <v>3050</v>
      </c>
      <c r="H1354" t="s">
        <v>3052</v>
      </c>
      <c r="J1354" t="str">
        <f>HYPERLINK("https://www.facebook.com/454965103328545/posts/782603903897995?comment_id=765779555183209&amp;reply_comment_id=1104899187320401","https://www.facebook.com/454965103328545/posts/782603903897995?comment_id=765779555183209&amp;reply_comment_id=1104899187320401")</f>
        <v>https://www.facebook.com/454965103328545/posts/782603903897995?comment_id=765779555183209&amp;reply_comment_id=1104899187320401</v>
      </c>
      <c r="O1354">
        <v>0</v>
      </c>
      <c r="P1354">
        <v>0</v>
      </c>
      <c r="Q1354">
        <v>0</v>
      </c>
      <c r="S1354">
        <v>0</v>
      </c>
      <c r="T1354">
        <v>0</v>
      </c>
      <c r="U1354">
        <v>0</v>
      </c>
      <c r="W1354" t="s">
        <v>62</v>
      </c>
    </row>
    <row r="1355" spans="1:42" x14ac:dyDescent="0.35">
      <c r="A1355" t="s">
        <v>45</v>
      </c>
      <c r="B1355" t="s">
        <v>2881</v>
      </c>
      <c r="C1355" t="s">
        <v>47</v>
      </c>
      <c r="D1355" t="s">
        <v>45</v>
      </c>
      <c r="E1355" t="s">
        <v>45</v>
      </c>
      <c r="F1355" t="s">
        <v>49</v>
      </c>
      <c r="G1355" t="s">
        <v>3053</v>
      </c>
      <c r="H1355" t="s">
        <v>3054</v>
      </c>
      <c r="J1355" t="str">
        <f>HYPERLINK("https://www.facebook.com/357267201017935/inbox/7144742988936955/","https://www.facebook.com/357267201017935/inbox/7144742988936955/")</f>
        <v>https://www.facebook.com/357267201017935/inbox/7144742988936955/</v>
      </c>
      <c r="O1355">
        <v>0</v>
      </c>
      <c r="P1355">
        <v>0</v>
      </c>
      <c r="Q1355">
        <v>0</v>
      </c>
      <c r="S1355">
        <v>0</v>
      </c>
      <c r="T1355">
        <v>0</v>
      </c>
      <c r="U1355">
        <v>0</v>
      </c>
      <c r="W1355" t="s">
        <v>52</v>
      </c>
    </row>
    <row r="1356" spans="1:42" x14ac:dyDescent="0.35">
      <c r="A1356" t="s">
        <v>45</v>
      </c>
      <c r="B1356" t="s">
        <v>2881</v>
      </c>
      <c r="C1356" t="s">
        <v>47</v>
      </c>
      <c r="D1356" t="s">
        <v>45</v>
      </c>
      <c r="E1356" t="s">
        <v>45</v>
      </c>
      <c r="F1356" t="s">
        <v>49</v>
      </c>
      <c r="G1356" t="s">
        <v>2011</v>
      </c>
      <c r="H1356" t="s">
        <v>3055</v>
      </c>
      <c r="J1356" t="str">
        <f>HYPERLINK("https://www.facebook.com/357267201017935/inbox/7145011188910135/","https://www.facebook.com/357267201017935/inbox/7145011188910135/")</f>
        <v>https://www.facebook.com/357267201017935/inbox/7145011188910135/</v>
      </c>
      <c r="O1356">
        <v>0</v>
      </c>
      <c r="P1356">
        <v>0</v>
      </c>
      <c r="Q1356">
        <v>0</v>
      </c>
      <c r="S1356">
        <v>0</v>
      </c>
      <c r="T1356">
        <v>0</v>
      </c>
      <c r="U1356">
        <v>0</v>
      </c>
      <c r="W1356" t="s">
        <v>52</v>
      </c>
    </row>
    <row r="1357" spans="1:42" x14ac:dyDescent="0.35">
      <c r="A1357" t="s">
        <v>45</v>
      </c>
      <c r="B1357" t="s">
        <v>2881</v>
      </c>
      <c r="C1357" t="s">
        <v>47</v>
      </c>
      <c r="D1357" t="s">
        <v>45</v>
      </c>
      <c r="E1357" t="s">
        <v>45</v>
      </c>
      <c r="F1357" t="s">
        <v>49</v>
      </c>
      <c r="G1357" t="s">
        <v>3056</v>
      </c>
      <c r="H1357" t="s">
        <v>3057</v>
      </c>
      <c r="J1357" t="str">
        <f>HYPERLINK("https://www.facebook.com/357267201017935/inbox/7145011188910135/","https://www.facebook.com/357267201017935/inbox/7145011188910135/")</f>
        <v>https://www.facebook.com/357267201017935/inbox/7145011188910135/</v>
      </c>
      <c r="O1357">
        <v>0</v>
      </c>
      <c r="P1357">
        <v>0</v>
      </c>
      <c r="Q1357">
        <v>0</v>
      </c>
      <c r="S1357">
        <v>0</v>
      </c>
      <c r="T1357">
        <v>0</v>
      </c>
      <c r="U1357">
        <v>0</v>
      </c>
      <c r="W1357" t="s">
        <v>52</v>
      </c>
      <c r="AP1357" t="s">
        <v>101</v>
      </c>
    </row>
    <row r="1358" spans="1:42" x14ac:dyDescent="0.35">
      <c r="A1358" t="s">
        <v>45</v>
      </c>
      <c r="B1358" t="s">
        <v>2881</v>
      </c>
      <c r="C1358" t="s">
        <v>47</v>
      </c>
      <c r="D1358" t="s">
        <v>45</v>
      </c>
      <c r="E1358" t="s">
        <v>45</v>
      </c>
      <c r="F1358" t="s">
        <v>49</v>
      </c>
      <c r="G1358" t="s">
        <v>3058</v>
      </c>
      <c r="H1358" t="s">
        <v>3059</v>
      </c>
      <c r="J1358" t="str">
        <f>HYPERLINK("https://www.facebook.com/357267201017935/inbox/7145064618904792/","https://www.facebook.com/357267201017935/inbox/7145064618904792/")</f>
        <v>https://www.facebook.com/357267201017935/inbox/7145064618904792/</v>
      </c>
      <c r="O1358">
        <v>0</v>
      </c>
      <c r="P1358">
        <v>0</v>
      </c>
      <c r="Q1358">
        <v>0</v>
      </c>
      <c r="S1358">
        <v>0</v>
      </c>
      <c r="T1358">
        <v>0</v>
      </c>
      <c r="U1358">
        <v>0</v>
      </c>
      <c r="W1358" t="s">
        <v>52</v>
      </c>
    </row>
    <row r="1359" spans="1:42" x14ac:dyDescent="0.35">
      <c r="A1359" t="s">
        <v>45</v>
      </c>
      <c r="B1359" t="s">
        <v>2881</v>
      </c>
      <c r="C1359" t="s">
        <v>47</v>
      </c>
      <c r="D1359" t="s">
        <v>45</v>
      </c>
      <c r="E1359" t="s">
        <v>45</v>
      </c>
      <c r="F1359" t="s">
        <v>49</v>
      </c>
      <c r="G1359" t="s">
        <v>3060</v>
      </c>
      <c r="H1359" t="s">
        <v>3061</v>
      </c>
      <c r="J1359" t="str">
        <f>HYPERLINK("https://www.facebook.com/357267201017935/inbox/7145064618904792/","https://www.facebook.com/357267201017935/inbox/7145064618904792/")</f>
        <v>https://www.facebook.com/357267201017935/inbox/7145064618904792/</v>
      </c>
      <c r="O1359">
        <v>0</v>
      </c>
      <c r="P1359">
        <v>0</v>
      </c>
      <c r="Q1359">
        <v>0</v>
      </c>
      <c r="S1359">
        <v>0</v>
      </c>
      <c r="T1359">
        <v>0</v>
      </c>
      <c r="U1359">
        <v>0</v>
      </c>
      <c r="W1359" t="s">
        <v>52</v>
      </c>
      <c r="AP1359" t="s">
        <v>101</v>
      </c>
    </row>
    <row r="1360" spans="1:42" x14ac:dyDescent="0.35">
      <c r="A1360" t="s">
        <v>45</v>
      </c>
      <c r="B1360" t="s">
        <v>2881</v>
      </c>
      <c r="C1360" t="s">
        <v>47</v>
      </c>
      <c r="D1360" t="s">
        <v>45</v>
      </c>
      <c r="E1360" t="s">
        <v>45</v>
      </c>
      <c r="F1360" t="s">
        <v>49</v>
      </c>
      <c r="G1360" t="s">
        <v>3062</v>
      </c>
      <c r="H1360" t="s">
        <v>3063</v>
      </c>
      <c r="J1360" t="str">
        <f>HYPERLINK("https://www.facebook.com/454965103328545/posts/784845107007208?comment_id=378271678498188&amp;reply_comment_id=271496772661068","https://www.facebook.com/454965103328545/posts/784845107007208?comment_id=378271678498188&amp;reply_comment_id=271496772661068")</f>
        <v>https://www.facebook.com/454965103328545/posts/784845107007208?comment_id=378271678498188&amp;reply_comment_id=271496772661068</v>
      </c>
      <c r="O1360">
        <v>0</v>
      </c>
      <c r="P1360">
        <v>0</v>
      </c>
      <c r="Q1360">
        <v>0</v>
      </c>
      <c r="S1360">
        <v>0</v>
      </c>
      <c r="T1360">
        <v>0</v>
      </c>
      <c r="U1360">
        <v>0</v>
      </c>
      <c r="W1360" t="s">
        <v>62</v>
      </c>
    </row>
    <row r="1361" spans="1:45" x14ac:dyDescent="0.35">
      <c r="A1361" t="s">
        <v>45</v>
      </c>
      <c r="B1361" t="s">
        <v>2881</v>
      </c>
      <c r="C1361" t="s">
        <v>58</v>
      </c>
      <c r="D1361" t="s">
        <v>277</v>
      </c>
      <c r="E1361" t="s">
        <v>277</v>
      </c>
      <c r="F1361" t="s">
        <v>49</v>
      </c>
      <c r="G1361" t="s">
        <v>3064</v>
      </c>
      <c r="H1361" t="s">
        <v>3065</v>
      </c>
      <c r="J1361" t="str">
        <f>HYPERLINK("https://www.youtube.com/watch?v=uIKLPIGHaTc&amp;lc=UgyW1WDizFoLuGmpC8Z4AaABAg.A0qmwkE1J2CA0sL052e_Ps","https://www.youtube.com/watch?v=uIKLPIGHaTc&amp;lc=UgyW1WDizFoLuGmpC8Z4AaABAg.A0qmwkE1J2CA0sL052e_Ps")</f>
        <v>https://www.youtube.com/watch?v=uIKLPIGHaTc&amp;lc=UgyW1WDizFoLuGmpC8Z4AaABAg.A0qmwkE1J2CA0sL052e_Ps</v>
      </c>
      <c r="O1361">
        <v>0</v>
      </c>
      <c r="P1361">
        <v>0</v>
      </c>
      <c r="Q1361">
        <v>0</v>
      </c>
      <c r="S1361">
        <v>0</v>
      </c>
      <c r="T1361">
        <v>0</v>
      </c>
      <c r="U1361">
        <v>0</v>
      </c>
      <c r="W1361" t="s">
        <v>62</v>
      </c>
      <c r="AP1361" t="s">
        <v>101</v>
      </c>
    </row>
    <row r="1362" spans="1:45" x14ac:dyDescent="0.35">
      <c r="A1362" t="s">
        <v>45</v>
      </c>
      <c r="B1362" t="s">
        <v>2881</v>
      </c>
      <c r="C1362" t="s">
        <v>139</v>
      </c>
      <c r="D1362" t="s">
        <v>190</v>
      </c>
      <c r="E1362" t="s">
        <v>45</v>
      </c>
      <c r="F1362" t="s">
        <v>49</v>
      </c>
      <c r="G1362" t="s">
        <v>3041</v>
      </c>
      <c r="H1362" t="s">
        <v>3066</v>
      </c>
      <c r="J1362" t="str">
        <f>HYPERLINK("https://twitter.com/FinoPaymntsBank/status/1767432468825813365","https://twitter.com/FinoPaymntsBank/status/1767432468825813365")</f>
        <v>https://twitter.com/FinoPaymntsBank/status/1767432468825813365</v>
      </c>
      <c r="K1362" t="s">
        <v>145</v>
      </c>
      <c r="O1362">
        <v>0</v>
      </c>
      <c r="P1362">
        <v>0</v>
      </c>
      <c r="Q1362">
        <v>8436</v>
      </c>
      <c r="R1362" t="s">
        <v>193</v>
      </c>
      <c r="S1362">
        <v>0</v>
      </c>
      <c r="T1362">
        <v>0</v>
      </c>
      <c r="U1362">
        <v>0</v>
      </c>
      <c r="W1362" t="s">
        <v>146</v>
      </c>
    </row>
    <row r="1363" spans="1:45" x14ac:dyDescent="0.35">
      <c r="A1363" t="s">
        <v>45</v>
      </c>
      <c r="B1363" t="s">
        <v>2881</v>
      </c>
      <c r="C1363" t="s">
        <v>139</v>
      </c>
      <c r="D1363" t="s">
        <v>190</v>
      </c>
      <c r="E1363" t="s">
        <v>45</v>
      </c>
      <c r="F1363" t="s">
        <v>49</v>
      </c>
      <c r="G1363" t="s">
        <v>3067</v>
      </c>
      <c r="H1363" t="s">
        <v>3068</v>
      </c>
      <c r="J1363" t="str">
        <f>HYPERLINK("https://twitter.com/FinoPaymntsBank/status/1767432414203445754","https://twitter.com/FinoPaymntsBank/status/1767432414203445754")</f>
        <v>https://twitter.com/FinoPaymntsBank/status/1767432414203445754</v>
      </c>
      <c r="K1363" t="s">
        <v>145</v>
      </c>
      <c r="O1363">
        <v>0</v>
      </c>
      <c r="P1363">
        <v>0</v>
      </c>
      <c r="Q1363">
        <v>8436</v>
      </c>
      <c r="R1363" t="s">
        <v>193</v>
      </c>
      <c r="S1363">
        <v>0</v>
      </c>
      <c r="T1363">
        <v>0</v>
      </c>
      <c r="U1363">
        <v>0</v>
      </c>
      <c r="W1363" t="s">
        <v>146</v>
      </c>
    </row>
    <row r="1364" spans="1:45" x14ac:dyDescent="0.35">
      <c r="A1364" t="s">
        <v>45</v>
      </c>
      <c r="B1364" t="s">
        <v>2881</v>
      </c>
      <c r="C1364" t="s">
        <v>139</v>
      </c>
      <c r="D1364" t="s">
        <v>190</v>
      </c>
      <c r="E1364" t="s">
        <v>45</v>
      </c>
      <c r="F1364" t="s">
        <v>49</v>
      </c>
      <c r="G1364" t="s">
        <v>2809</v>
      </c>
      <c r="H1364" t="s">
        <v>3069</v>
      </c>
      <c r="J1364" t="str">
        <f>HYPERLINK("https://twitter.com/FinoPaymntsBank/status/1767431938447724705","https://twitter.com/FinoPaymntsBank/status/1767431938447724705")</f>
        <v>https://twitter.com/FinoPaymntsBank/status/1767431938447724705</v>
      </c>
      <c r="K1364" t="s">
        <v>145</v>
      </c>
      <c r="O1364">
        <v>0</v>
      </c>
      <c r="P1364">
        <v>0</v>
      </c>
      <c r="Q1364">
        <v>8436</v>
      </c>
      <c r="R1364" t="s">
        <v>193</v>
      </c>
      <c r="S1364">
        <v>0</v>
      </c>
      <c r="T1364">
        <v>0</v>
      </c>
      <c r="U1364">
        <v>0</v>
      </c>
      <c r="W1364" t="s">
        <v>146</v>
      </c>
    </row>
    <row r="1365" spans="1:45" x14ac:dyDescent="0.35">
      <c r="A1365" t="s">
        <v>45</v>
      </c>
      <c r="B1365" t="s">
        <v>2881</v>
      </c>
      <c r="C1365" t="s">
        <v>47</v>
      </c>
      <c r="D1365" t="s">
        <v>45</v>
      </c>
      <c r="E1365" t="s">
        <v>45</v>
      </c>
      <c r="F1365" t="s">
        <v>49</v>
      </c>
      <c r="G1365" t="s">
        <v>3070</v>
      </c>
      <c r="H1365" t="s">
        <v>3071</v>
      </c>
      <c r="J1365" t="str">
        <f>HYPERLINK("https://www.facebook.com/357267201017935/inbox/7147332152011372/","https://www.facebook.com/357267201017935/inbox/7147332152011372/")</f>
        <v>https://www.facebook.com/357267201017935/inbox/7147332152011372/</v>
      </c>
      <c r="O1365">
        <v>0</v>
      </c>
      <c r="P1365">
        <v>0</v>
      </c>
      <c r="Q1365">
        <v>0</v>
      </c>
      <c r="S1365">
        <v>0</v>
      </c>
      <c r="T1365">
        <v>0</v>
      </c>
      <c r="U1365">
        <v>0</v>
      </c>
      <c r="W1365" t="s">
        <v>52</v>
      </c>
    </row>
    <row r="1366" spans="1:45" x14ac:dyDescent="0.35">
      <c r="A1366" t="s">
        <v>45</v>
      </c>
      <c r="B1366" t="s">
        <v>2881</v>
      </c>
      <c r="C1366" t="s">
        <v>58</v>
      </c>
      <c r="D1366" t="s">
        <v>3072</v>
      </c>
      <c r="E1366" t="s">
        <v>3072</v>
      </c>
      <c r="F1366" t="s">
        <v>49</v>
      </c>
      <c r="G1366" t="s">
        <v>3073</v>
      </c>
      <c r="H1366" t="s">
        <v>3074</v>
      </c>
      <c r="J1366" t="str">
        <f>HYPERLINK("https://www.youtube.com/watch?v=Y2SmhFaOLyA&amp;lc=UgyBAkDtrxMUTABK0hN4AaABAg","https://www.youtube.com/watch?v=Y2SmhFaOLyA&amp;lc=UgyBAkDtrxMUTABK0hN4AaABAg")</f>
        <v>https://www.youtube.com/watch?v=Y2SmhFaOLyA&amp;lc=UgyBAkDtrxMUTABK0hN4AaABAg</v>
      </c>
      <c r="O1366">
        <v>0</v>
      </c>
      <c r="P1366">
        <v>0</v>
      </c>
      <c r="Q1366">
        <v>0</v>
      </c>
      <c r="S1366">
        <v>0</v>
      </c>
      <c r="T1366">
        <v>0</v>
      </c>
      <c r="U1366">
        <v>0</v>
      </c>
      <c r="W1366" t="s">
        <v>62</v>
      </c>
    </row>
    <row r="1367" spans="1:45" x14ac:dyDescent="0.35">
      <c r="A1367" t="s">
        <v>45</v>
      </c>
      <c r="B1367" t="s">
        <v>2881</v>
      </c>
      <c r="C1367" t="s">
        <v>47</v>
      </c>
      <c r="D1367" t="s">
        <v>45</v>
      </c>
      <c r="E1367" t="s">
        <v>45</v>
      </c>
      <c r="F1367" t="s">
        <v>49</v>
      </c>
      <c r="G1367" t="s">
        <v>1759</v>
      </c>
      <c r="H1367" t="s">
        <v>3075</v>
      </c>
      <c r="J1367" t="str">
        <f>HYPERLINK("https://www.facebook.com/454965103328545/videos/1792369101228633","https://www.facebook.com/454965103328545/videos/1792369101228633")</f>
        <v>https://www.facebook.com/454965103328545/videos/1792369101228633</v>
      </c>
      <c r="O1367">
        <v>0</v>
      </c>
      <c r="P1367">
        <v>0</v>
      </c>
      <c r="Q1367">
        <v>0</v>
      </c>
      <c r="S1367">
        <v>9</v>
      </c>
      <c r="T1367">
        <v>293</v>
      </c>
      <c r="U1367">
        <v>6</v>
      </c>
      <c r="W1367" t="s">
        <v>106</v>
      </c>
      <c r="AS1367" t="s">
        <v>115</v>
      </c>
    </row>
    <row r="1368" spans="1:45" x14ac:dyDescent="0.35">
      <c r="A1368" t="s">
        <v>45</v>
      </c>
      <c r="B1368" t="s">
        <v>2881</v>
      </c>
      <c r="C1368" t="s">
        <v>102</v>
      </c>
      <c r="D1368" t="s">
        <v>3076</v>
      </c>
      <c r="E1368" t="s">
        <v>3076</v>
      </c>
      <c r="F1368" t="s">
        <v>76</v>
      </c>
      <c r="G1368" t="s">
        <v>3077</v>
      </c>
      <c r="H1368" t="s">
        <v>3078</v>
      </c>
      <c r="J1368" t="str">
        <f>HYPERLINK("https://www.linkedin.com/feed/update/urn:li:ugcPost:7173182275956715521","https://www.linkedin.com/feed/update/urn:li:ugcPost:7173182275956715521")</f>
        <v>https://www.linkedin.com/feed/update/urn:li:ugcPost:7173182275956715521</v>
      </c>
      <c r="O1368">
        <v>0</v>
      </c>
      <c r="P1368">
        <v>0</v>
      </c>
      <c r="Q1368">
        <v>0</v>
      </c>
      <c r="S1368">
        <v>0</v>
      </c>
      <c r="T1368">
        <v>0</v>
      </c>
      <c r="U1368">
        <v>0</v>
      </c>
      <c r="W1368" t="s">
        <v>106</v>
      </c>
      <c r="AO1368" t="s">
        <v>119</v>
      </c>
    </row>
    <row r="1369" spans="1:45" x14ac:dyDescent="0.35">
      <c r="A1369" t="s">
        <v>45</v>
      </c>
      <c r="B1369" t="s">
        <v>2881</v>
      </c>
      <c r="C1369" t="s">
        <v>58</v>
      </c>
      <c r="D1369" t="s">
        <v>3079</v>
      </c>
      <c r="E1369" t="s">
        <v>3079</v>
      </c>
      <c r="F1369" t="s">
        <v>49</v>
      </c>
      <c r="G1369" t="s">
        <v>3080</v>
      </c>
      <c r="H1369" t="s">
        <v>3081</v>
      </c>
      <c r="J1369" t="str">
        <f>HYPERLINK("https://www.youtube.com/watch?v=EIb6aGdE_LE","https://www.youtube.com/watch?v=EIb6aGdE_LE")</f>
        <v>https://www.youtube.com/watch?v=EIb6aGdE_LE</v>
      </c>
      <c r="O1369">
        <v>0</v>
      </c>
      <c r="P1369">
        <v>0</v>
      </c>
      <c r="Q1369">
        <v>0</v>
      </c>
      <c r="S1369">
        <v>0</v>
      </c>
      <c r="T1369">
        <v>0</v>
      </c>
      <c r="U1369">
        <v>0</v>
      </c>
      <c r="W1369" t="s">
        <v>106</v>
      </c>
    </row>
    <row r="1370" spans="1:45" x14ac:dyDescent="0.35">
      <c r="A1370" t="s">
        <v>45</v>
      </c>
      <c r="B1370" t="s">
        <v>2881</v>
      </c>
      <c r="C1370" t="s">
        <v>58</v>
      </c>
      <c r="D1370" t="s">
        <v>3082</v>
      </c>
      <c r="E1370" t="s">
        <v>3082</v>
      </c>
      <c r="F1370" t="s">
        <v>49</v>
      </c>
      <c r="G1370" t="s">
        <v>3083</v>
      </c>
      <c r="H1370" t="s">
        <v>3084</v>
      </c>
      <c r="J1370" t="str">
        <f>HYPERLINK("https://www.youtube.com/watch?v=XQrZQ89LR7Q","https://www.youtube.com/watch?v=XQrZQ89LR7Q")</f>
        <v>https://www.youtube.com/watch?v=XQrZQ89LR7Q</v>
      </c>
      <c r="O1370">
        <v>0</v>
      </c>
      <c r="P1370">
        <v>0</v>
      </c>
      <c r="Q1370">
        <v>0</v>
      </c>
      <c r="S1370">
        <v>0</v>
      </c>
      <c r="T1370">
        <v>0</v>
      </c>
      <c r="U1370">
        <v>0</v>
      </c>
      <c r="W1370" t="s">
        <v>106</v>
      </c>
    </row>
    <row r="1371" spans="1:45" x14ac:dyDescent="0.35">
      <c r="A1371" t="s">
        <v>45</v>
      </c>
      <c r="B1371" t="s">
        <v>2881</v>
      </c>
      <c r="C1371" t="s">
        <v>139</v>
      </c>
      <c r="D1371" t="s">
        <v>1186</v>
      </c>
      <c r="E1371" t="s">
        <v>1187</v>
      </c>
      <c r="F1371" t="s">
        <v>142</v>
      </c>
      <c r="G1371" t="s">
        <v>3085</v>
      </c>
      <c r="H1371" t="s">
        <v>3086</v>
      </c>
      <c r="J1371" t="str">
        <f>HYPERLINK("https://twitter.com/sufiyan_77/status/1767370741199307110","https://twitter.com/sufiyan_77/status/1767370741199307110")</f>
        <v>https://twitter.com/sufiyan_77/status/1767370741199307110</v>
      </c>
      <c r="K1371" t="s">
        <v>145</v>
      </c>
      <c r="O1371">
        <v>0</v>
      </c>
      <c r="P1371">
        <v>0</v>
      </c>
      <c r="Q1371">
        <v>56</v>
      </c>
      <c r="R1371" t="s">
        <v>582</v>
      </c>
      <c r="S1371">
        <v>0</v>
      </c>
      <c r="T1371">
        <v>0</v>
      </c>
      <c r="U1371">
        <v>0</v>
      </c>
      <c r="W1371" t="s">
        <v>146</v>
      </c>
    </row>
    <row r="1372" spans="1:45" x14ac:dyDescent="0.35">
      <c r="A1372" t="s">
        <v>45</v>
      </c>
      <c r="B1372" t="s">
        <v>2881</v>
      </c>
      <c r="C1372" t="s">
        <v>47</v>
      </c>
      <c r="D1372" t="s">
        <v>3087</v>
      </c>
      <c r="E1372" t="s">
        <v>3087</v>
      </c>
      <c r="F1372" t="s">
        <v>142</v>
      </c>
      <c r="G1372" t="s">
        <v>3088</v>
      </c>
      <c r="H1372" t="s">
        <v>3089</v>
      </c>
      <c r="J1372" t="str">
        <f>HYPERLINK("https://www.facebook.com/454965103328545/posts/784345853723800?comment_id=912187943728349","https://www.facebook.com/454965103328545/posts/784345853723800?comment_id=912187943728349")</f>
        <v>https://www.facebook.com/454965103328545/posts/784345853723800?comment_id=912187943728349</v>
      </c>
      <c r="O1372">
        <v>0</v>
      </c>
      <c r="P1372">
        <v>0</v>
      </c>
      <c r="Q1372">
        <v>0</v>
      </c>
      <c r="S1372">
        <v>0</v>
      </c>
      <c r="T1372">
        <v>0</v>
      </c>
      <c r="U1372">
        <v>0</v>
      </c>
      <c r="W1372" t="s">
        <v>62</v>
      </c>
    </row>
    <row r="1373" spans="1:45" x14ac:dyDescent="0.35">
      <c r="A1373" t="s">
        <v>45</v>
      </c>
      <c r="B1373" t="s">
        <v>2881</v>
      </c>
      <c r="C1373" t="s">
        <v>47</v>
      </c>
      <c r="D1373" t="s">
        <v>3090</v>
      </c>
      <c r="E1373" t="s">
        <v>3090</v>
      </c>
      <c r="F1373" t="s">
        <v>49</v>
      </c>
      <c r="G1373" t="s">
        <v>3091</v>
      </c>
      <c r="H1373" t="s">
        <v>3092</v>
      </c>
      <c r="J1373" t="str">
        <f>HYPERLINK("https://www.facebook.com/357267201017935/inbox/7147332152011372/","https://www.facebook.com/357267201017935/inbox/7147332152011372/")</f>
        <v>https://www.facebook.com/357267201017935/inbox/7147332152011372/</v>
      </c>
      <c r="O1373">
        <v>0</v>
      </c>
      <c r="P1373">
        <v>0</v>
      </c>
      <c r="Q1373">
        <v>0</v>
      </c>
      <c r="S1373">
        <v>0</v>
      </c>
      <c r="T1373">
        <v>0</v>
      </c>
      <c r="U1373">
        <v>0</v>
      </c>
      <c r="W1373" t="s">
        <v>52</v>
      </c>
      <c r="AS1373" t="s">
        <v>375</v>
      </c>
    </row>
    <row r="1374" spans="1:45" x14ac:dyDescent="0.35">
      <c r="A1374" t="s">
        <v>45</v>
      </c>
      <c r="B1374" t="s">
        <v>2881</v>
      </c>
      <c r="C1374" t="s">
        <v>139</v>
      </c>
      <c r="D1374" t="s">
        <v>2806</v>
      </c>
      <c r="E1374" t="s">
        <v>2807</v>
      </c>
      <c r="F1374" t="s">
        <v>142</v>
      </c>
      <c r="G1374" t="s">
        <v>3093</v>
      </c>
      <c r="H1374" t="s">
        <v>3094</v>
      </c>
      <c r="J1374" t="str">
        <f>HYPERLINK("https://twitter.com/AjjuXda/status/1767286213411573968","https://twitter.com/AjjuXda/status/1767286213411573968")</f>
        <v>https://twitter.com/AjjuXda/status/1767286213411573968</v>
      </c>
      <c r="O1374">
        <v>0</v>
      </c>
      <c r="P1374">
        <v>0</v>
      </c>
      <c r="Q1374">
        <v>5</v>
      </c>
      <c r="S1374">
        <v>0</v>
      </c>
      <c r="T1374">
        <v>0</v>
      </c>
      <c r="U1374">
        <v>0</v>
      </c>
      <c r="W1374" t="s">
        <v>146</v>
      </c>
      <c r="AS1374" t="s">
        <v>375</v>
      </c>
    </row>
    <row r="1375" spans="1:45" x14ac:dyDescent="0.35">
      <c r="A1375" t="s">
        <v>45</v>
      </c>
      <c r="B1375" t="s">
        <v>2881</v>
      </c>
      <c r="C1375" t="s">
        <v>139</v>
      </c>
      <c r="D1375" t="s">
        <v>2806</v>
      </c>
      <c r="E1375" t="s">
        <v>2807</v>
      </c>
      <c r="F1375" t="s">
        <v>142</v>
      </c>
      <c r="G1375" t="s">
        <v>3095</v>
      </c>
      <c r="H1375" t="s">
        <v>3096</v>
      </c>
      <c r="J1375" t="str">
        <f>HYPERLINK("https://twitter.com/AjjuXda/status/1767285922482065703","https://twitter.com/AjjuXda/status/1767285922482065703")</f>
        <v>https://twitter.com/AjjuXda/status/1767285922482065703</v>
      </c>
      <c r="O1375">
        <v>0</v>
      </c>
      <c r="P1375">
        <v>0</v>
      </c>
      <c r="Q1375">
        <v>5</v>
      </c>
      <c r="S1375">
        <v>0</v>
      </c>
      <c r="T1375">
        <v>0</v>
      </c>
      <c r="U1375">
        <v>0</v>
      </c>
      <c r="W1375" t="s">
        <v>146</v>
      </c>
      <c r="AP1375" t="s">
        <v>147</v>
      </c>
      <c r="AS1375" t="s">
        <v>375</v>
      </c>
    </row>
    <row r="1376" spans="1:45" x14ac:dyDescent="0.35">
      <c r="A1376" t="s">
        <v>45</v>
      </c>
      <c r="B1376" t="s">
        <v>2881</v>
      </c>
      <c r="C1376" t="s">
        <v>139</v>
      </c>
      <c r="D1376" t="s">
        <v>2884</v>
      </c>
      <c r="E1376" t="s">
        <v>2885</v>
      </c>
      <c r="F1376" t="s">
        <v>142</v>
      </c>
      <c r="G1376" t="s">
        <v>3097</v>
      </c>
      <c r="H1376" t="s">
        <v>3098</v>
      </c>
      <c r="J1376" t="str">
        <f>HYPERLINK("https://twitter.com/samdani45/status/1767268968904241640","https://twitter.com/samdani45/status/1767268968904241640")</f>
        <v>https://twitter.com/samdani45/status/1767268968904241640</v>
      </c>
      <c r="K1376" t="s">
        <v>145</v>
      </c>
      <c r="O1376">
        <v>0</v>
      </c>
      <c r="P1376">
        <v>0</v>
      </c>
      <c r="Q1376">
        <v>201</v>
      </c>
      <c r="R1376" t="s">
        <v>2888</v>
      </c>
      <c r="S1376">
        <v>0</v>
      </c>
      <c r="T1376">
        <v>0</v>
      </c>
      <c r="U1376">
        <v>0</v>
      </c>
      <c r="W1376" t="s">
        <v>146</v>
      </c>
      <c r="AS1376" t="s">
        <v>375</v>
      </c>
    </row>
    <row r="1377" spans="1:45" x14ac:dyDescent="0.35">
      <c r="A1377" t="s">
        <v>45</v>
      </c>
      <c r="B1377" t="s">
        <v>3099</v>
      </c>
      <c r="C1377" t="s">
        <v>102</v>
      </c>
      <c r="D1377" t="s">
        <v>3100</v>
      </c>
      <c r="E1377" t="s">
        <v>3100</v>
      </c>
      <c r="F1377" t="s">
        <v>49</v>
      </c>
      <c r="G1377" t="s">
        <v>3101</v>
      </c>
      <c r="H1377" t="s">
        <v>3102</v>
      </c>
      <c r="J1377" t="str">
        <f>HYPERLINK("https://www.linkedin.com/feed/update/urn:li:activity:7173001559105032192","https://www.linkedin.com/feed/update/urn:li:activity:7173001559105032192")</f>
        <v>https://www.linkedin.com/feed/update/urn:li:activity:7173001559105032192</v>
      </c>
      <c r="O1377">
        <v>0</v>
      </c>
      <c r="P1377">
        <v>0</v>
      </c>
      <c r="Q1377">
        <v>0</v>
      </c>
      <c r="S1377">
        <v>0</v>
      </c>
      <c r="T1377">
        <v>0</v>
      </c>
      <c r="U1377">
        <v>0</v>
      </c>
      <c r="W1377" t="s">
        <v>106</v>
      </c>
      <c r="AO1377" t="s">
        <v>119</v>
      </c>
    </row>
    <row r="1378" spans="1:45" x14ac:dyDescent="0.35">
      <c r="A1378" t="s">
        <v>45</v>
      </c>
      <c r="B1378" t="s">
        <v>3099</v>
      </c>
      <c r="C1378" t="s">
        <v>58</v>
      </c>
      <c r="D1378" t="s">
        <v>3103</v>
      </c>
      <c r="E1378" t="s">
        <v>3103</v>
      </c>
      <c r="F1378" t="s">
        <v>49</v>
      </c>
      <c r="G1378" t="s">
        <v>3104</v>
      </c>
      <c r="H1378" t="s">
        <v>3105</v>
      </c>
      <c r="J1378" t="str">
        <f>HYPERLINK("https://www.youtube.com/watch?v=uIKLPIGHaTc&amp;lc=UgyW1WDizFoLuGmpC8Z4AaABAg","https://www.youtube.com/watch?v=uIKLPIGHaTc&amp;lc=UgyW1WDizFoLuGmpC8Z4AaABAg")</f>
        <v>https://www.youtube.com/watch?v=uIKLPIGHaTc&amp;lc=UgyW1WDizFoLuGmpC8Z4AaABAg</v>
      </c>
      <c r="O1378">
        <v>0</v>
      </c>
      <c r="P1378">
        <v>0</v>
      </c>
      <c r="Q1378">
        <v>0</v>
      </c>
      <c r="S1378">
        <v>0</v>
      </c>
      <c r="T1378">
        <v>0</v>
      </c>
      <c r="U1378">
        <v>0</v>
      </c>
      <c r="W1378" t="s">
        <v>62</v>
      </c>
      <c r="AS1378" t="s">
        <v>375</v>
      </c>
    </row>
    <row r="1379" spans="1:45" x14ac:dyDescent="0.35">
      <c r="A1379" t="s">
        <v>45</v>
      </c>
      <c r="B1379" t="s">
        <v>3099</v>
      </c>
      <c r="C1379" t="s">
        <v>47</v>
      </c>
      <c r="D1379" t="s">
        <v>45</v>
      </c>
      <c r="E1379" t="s">
        <v>45</v>
      </c>
      <c r="F1379" t="s">
        <v>49</v>
      </c>
      <c r="G1379" t="s">
        <v>469</v>
      </c>
      <c r="H1379" t="s">
        <v>3106</v>
      </c>
      <c r="J1379" t="str">
        <f>HYPERLINK("https://www.facebook.com/357267201017935_786588653499520","https://www.facebook.com/357267201017935_786588653499520")</f>
        <v>https://www.facebook.com/357267201017935_786588653499520</v>
      </c>
      <c r="O1379">
        <v>0</v>
      </c>
      <c r="P1379">
        <v>0</v>
      </c>
      <c r="Q1379">
        <v>0</v>
      </c>
      <c r="S1379">
        <v>0</v>
      </c>
      <c r="T1379">
        <v>0</v>
      </c>
      <c r="U1379">
        <v>0</v>
      </c>
      <c r="W1379" t="s">
        <v>106</v>
      </c>
      <c r="AS1379" t="s">
        <v>115</v>
      </c>
    </row>
    <row r="1380" spans="1:45" x14ac:dyDescent="0.35">
      <c r="A1380" t="s">
        <v>45</v>
      </c>
      <c r="B1380" t="s">
        <v>3099</v>
      </c>
      <c r="C1380" t="s">
        <v>47</v>
      </c>
      <c r="D1380" t="s">
        <v>2723</v>
      </c>
      <c r="E1380" t="s">
        <v>2723</v>
      </c>
      <c r="F1380" t="s">
        <v>49</v>
      </c>
      <c r="G1380" t="s">
        <v>3107</v>
      </c>
      <c r="H1380" t="s">
        <v>3108</v>
      </c>
      <c r="J1380" t="str">
        <f>HYPERLINK("https://www.facebook.com/454965103328545/posts/784845107007208?comment_id=378271678498188","https://www.facebook.com/454965103328545/posts/784845107007208?comment_id=378271678498188")</f>
        <v>https://www.facebook.com/454965103328545/posts/784845107007208?comment_id=378271678498188</v>
      </c>
      <c r="O1380">
        <v>0</v>
      </c>
      <c r="P1380">
        <v>0</v>
      </c>
      <c r="Q1380">
        <v>0</v>
      </c>
      <c r="S1380">
        <v>0</v>
      </c>
      <c r="T1380">
        <v>0</v>
      </c>
      <c r="U1380">
        <v>0</v>
      </c>
      <c r="W1380" t="s">
        <v>62</v>
      </c>
      <c r="AS1380" t="s">
        <v>375</v>
      </c>
    </row>
    <row r="1381" spans="1:45" x14ac:dyDescent="0.35">
      <c r="A1381" t="s">
        <v>45</v>
      </c>
      <c r="B1381" t="s">
        <v>3099</v>
      </c>
      <c r="C1381" t="s">
        <v>58</v>
      </c>
      <c r="D1381" t="s">
        <v>3109</v>
      </c>
      <c r="E1381" t="s">
        <v>3109</v>
      </c>
      <c r="F1381" t="s">
        <v>49</v>
      </c>
      <c r="G1381" t="s">
        <v>3110</v>
      </c>
      <c r="H1381" t="s">
        <v>3111</v>
      </c>
      <c r="J1381" t="str">
        <f>HYPERLINK("https://www.youtube.com/watch?v=9RjK2r52GHU","https://www.youtube.com/watch?v=9RjK2r52GHU")</f>
        <v>https://www.youtube.com/watch?v=9RjK2r52GHU</v>
      </c>
      <c r="O1381">
        <v>0</v>
      </c>
      <c r="P1381">
        <v>0</v>
      </c>
      <c r="Q1381">
        <v>0</v>
      </c>
      <c r="S1381">
        <v>0</v>
      </c>
      <c r="T1381">
        <v>0</v>
      </c>
      <c r="U1381">
        <v>0</v>
      </c>
      <c r="W1381" t="s">
        <v>106</v>
      </c>
    </row>
    <row r="1382" spans="1:45" x14ac:dyDescent="0.35">
      <c r="A1382" t="s">
        <v>45</v>
      </c>
      <c r="B1382" t="s">
        <v>3099</v>
      </c>
      <c r="C1382" t="s">
        <v>58</v>
      </c>
      <c r="D1382" t="s">
        <v>3112</v>
      </c>
      <c r="E1382" t="s">
        <v>3112</v>
      </c>
      <c r="F1382" t="s">
        <v>49</v>
      </c>
      <c r="G1382" t="s">
        <v>3113</v>
      </c>
      <c r="H1382" t="s">
        <v>3114</v>
      </c>
      <c r="J1382" t="str">
        <f>HYPERLINK("https://www.youtube.com/watch?v=R4jc2XgWLXg","https://www.youtube.com/watch?v=R4jc2XgWLXg")</f>
        <v>https://www.youtube.com/watch?v=R4jc2XgWLXg</v>
      </c>
      <c r="O1382">
        <v>0</v>
      </c>
      <c r="P1382">
        <v>0</v>
      </c>
      <c r="Q1382">
        <v>0</v>
      </c>
      <c r="S1382">
        <v>0</v>
      </c>
      <c r="T1382">
        <v>0</v>
      </c>
      <c r="U1382">
        <v>0</v>
      </c>
      <c r="W1382" t="s">
        <v>106</v>
      </c>
      <c r="AP1382" t="s">
        <v>101</v>
      </c>
    </row>
    <row r="1383" spans="1:45" x14ac:dyDescent="0.35">
      <c r="A1383" t="s">
        <v>45</v>
      </c>
      <c r="B1383" t="s">
        <v>3099</v>
      </c>
      <c r="C1383" t="s">
        <v>63</v>
      </c>
      <c r="D1383" t="s">
        <v>3115</v>
      </c>
      <c r="E1383" t="s">
        <v>3115</v>
      </c>
      <c r="F1383" t="s">
        <v>49</v>
      </c>
      <c r="G1383" t="s">
        <v>3116</v>
      </c>
      <c r="H1383" t="s">
        <v>3117</v>
      </c>
      <c r="J1383" t="str">
        <f>HYPERLINK("https://www.instagram.com/reel/C2M6kulhum4/","https://www.instagram.com/reel/C2M6kulhum4/")</f>
        <v>https://www.instagram.com/reel/C2M6kulhum4/</v>
      </c>
      <c r="O1383">
        <v>0</v>
      </c>
      <c r="P1383">
        <v>0</v>
      </c>
      <c r="Q1383">
        <v>0</v>
      </c>
      <c r="S1383">
        <v>0</v>
      </c>
      <c r="T1383">
        <v>0</v>
      </c>
      <c r="U1383">
        <v>0</v>
      </c>
      <c r="W1383" t="s">
        <v>62</v>
      </c>
    </row>
    <row r="1384" spans="1:45" x14ac:dyDescent="0.35">
      <c r="A1384" t="s">
        <v>45</v>
      </c>
      <c r="B1384" t="s">
        <v>3099</v>
      </c>
      <c r="C1384" t="s">
        <v>47</v>
      </c>
      <c r="D1384" t="s">
        <v>2907</v>
      </c>
      <c r="E1384" t="s">
        <v>2907</v>
      </c>
      <c r="F1384" t="s">
        <v>49</v>
      </c>
      <c r="G1384" t="s">
        <v>2326</v>
      </c>
      <c r="H1384" t="s">
        <v>3118</v>
      </c>
      <c r="J1384" t="str">
        <f>HYPERLINK("https://www.facebook.com/454965103328545/posts/786419253516460?comment_id=1199715920990970","https://www.facebook.com/454965103328545/posts/786419253516460?comment_id=1199715920990970")</f>
        <v>https://www.facebook.com/454965103328545/posts/786419253516460?comment_id=1199715920990970</v>
      </c>
      <c r="O1384">
        <v>0</v>
      </c>
      <c r="P1384">
        <v>0</v>
      </c>
      <c r="Q1384">
        <v>0</v>
      </c>
      <c r="S1384">
        <v>0</v>
      </c>
      <c r="T1384">
        <v>0</v>
      </c>
      <c r="U1384">
        <v>0</v>
      </c>
      <c r="W1384" t="s">
        <v>62</v>
      </c>
    </row>
    <row r="1385" spans="1:45" x14ac:dyDescent="0.35">
      <c r="A1385" t="s">
        <v>45</v>
      </c>
      <c r="B1385" t="s">
        <v>3099</v>
      </c>
      <c r="C1385" t="s">
        <v>47</v>
      </c>
      <c r="D1385" t="s">
        <v>3119</v>
      </c>
      <c r="E1385" t="s">
        <v>3119</v>
      </c>
      <c r="F1385" t="s">
        <v>49</v>
      </c>
      <c r="G1385" t="s">
        <v>3120</v>
      </c>
      <c r="H1385" t="s">
        <v>3121</v>
      </c>
      <c r="J1385" t="str">
        <f>HYPERLINK("https://www.facebook.com/357267201017935/inbox/7145064618904792/","https://www.facebook.com/357267201017935/inbox/7145064618904792/")</f>
        <v>https://www.facebook.com/357267201017935/inbox/7145064618904792/</v>
      </c>
      <c r="O1385">
        <v>0</v>
      </c>
      <c r="P1385">
        <v>0</v>
      </c>
      <c r="Q1385">
        <v>0</v>
      </c>
      <c r="S1385">
        <v>0</v>
      </c>
      <c r="T1385">
        <v>0</v>
      </c>
      <c r="U1385">
        <v>0</v>
      </c>
      <c r="W1385" t="s">
        <v>52</v>
      </c>
      <c r="AS1385" t="s">
        <v>375</v>
      </c>
    </row>
    <row r="1386" spans="1:45" x14ac:dyDescent="0.35">
      <c r="A1386" t="s">
        <v>45</v>
      </c>
      <c r="B1386" t="s">
        <v>3099</v>
      </c>
      <c r="C1386" t="s">
        <v>47</v>
      </c>
      <c r="D1386" t="s">
        <v>3119</v>
      </c>
      <c r="E1386" t="s">
        <v>3119</v>
      </c>
      <c r="F1386" t="s">
        <v>49</v>
      </c>
      <c r="G1386" t="s">
        <v>50</v>
      </c>
      <c r="H1386" t="s">
        <v>3122</v>
      </c>
      <c r="J1386" t="str">
        <f>HYPERLINK("https://www.facebook.com/357267201017935/inbox/7145064618904792/","https://www.facebook.com/357267201017935/inbox/7145064618904792/")</f>
        <v>https://www.facebook.com/357267201017935/inbox/7145064618904792/</v>
      </c>
      <c r="O1386">
        <v>0</v>
      </c>
      <c r="P1386">
        <v>0</v>
      </c>
      <c r="Q1386">
        <v>0</v>
      </c>
      <c r="S1386">
        <v>0</v>
      </c>
      <c r="T1386">
        <v>0</v>
      </c>
      <c r="U1386">
        <v>0</v>
      </c>
      <c r="W1386" t="s">
        <v>52</v>
      </c>
      <c r="AS1386" t="s">
        <v>375</v>
      </c>
    </row>
    <row r="1387" spans="1:45" x14ac:dyDescent="0.35">
      <c r="A1387" t="s">
        <v>45</v>
      </c>
      <c r="B1387" t="s">
        <v>3099</v>
      </c>
      <c r="C1387" t="s">
        <v>139</v>
      </c>
      <c r="D1387" t="s">
        <v>3123</v>
      </c>
      <c r="E1387" t="s">
        <v>3124</v>
      </c>
      <c r="F1387" t="s">
        <v>76</v>
      </c>
      <c r="G1387" t="s">
        <v>3125</v>
      </c>
      <c r="H1387" t="s">
        <v>3126</v>
      </c>
      <c r="J1387" t="str">
        <f>HYPERLINK("https://twitter.com/sirsiyasrvnews/status/1767153727482531968","https://twitter.com/sirsiyasrvnews/status/1767153727482531968")</f>
        <v>https://twitter.com/sirsiyasrvnews/status/1767153727482531968</v>
      </c>
      <c r="O1387">
        <v>0</v>
      </c>
      <c r="P1387">
        <v>0</v>
      </c>
      <c r="Q1387">
        <v>186</v>
      </c>
      <c r="R1387" t="s">
        <v>829</v>
      </c>
      <c r="S1387">
        <v>0</v>
      </c>
      <c r="T1387">
        <v>0</v>
      </c>
      <c r="U1387">
        <v>0</v>
      </c>
      <c r="W1387" t="s">
        <v>146</v>
      </c>
    </row>
    <row r="1388" spans="1:45" x14ac:dyDescent="0.35">
      <c r="A1388" t="s">
        <v>45</v>
      </c>
      <c r="B1388" t="s">
        <v>3099</v>
      </c>
      <c r="C1388" t="s">
        <v>3127</v>
      </c>
      <c r="D1388" t="s">
        <v>3128</v>
      </c>
      <c r="E1388" t="s">
        <v>3128</v>
      </c>
      <c r="F1388" t="s">
        <v>76</v>
      </c>
      <c r="G1388" t="s">
        <v>3129</v>
      </c>
      <c r="H1388" t="s">
        <v>3130</v>
      </c>
      <c r="J1388" t="str">
        <f>HYPERLINK("","")</f>
        <v/>
      </c>
      <c r="O1388">
        <v>0</v>
      </c>
      <c r="P1388">
        <v>0</v>
      </c>
      <c r="Q1388">
        <v>0</v>
      </c>
      <c r="S1388">
        <v>0</v>
      </c>
      <c r="T1388">
        <v>0</v>
      </c>
      <c r="U1388">
        <v>0</v>
      </c>
    </row>
    <row r="1389" spans="1:45" x14ac:dyDescent="0.35">
      <c r="A1389" t="s">
        <v>45</v>
      </c>
      <c r="B1389" t="s">
        <v>3099</v>
      </c>
      <c r="C1389" t="s">
        <v>47</v>
      </c>
      <c r="D1389" t="s">
        <v>2256</v>
      </c>
      <c r="E1389" t="s">
        <v>2256</v>
      </c>
      <c r="F1389" t="s">
        <v>49</v>
      </c>
      <c r="G1389" t="s">
        <v>3131</v>
      </c>
      <c r="H1389" t="s">
        <v>3132</v>
      </c>
      <c r="J1389" t="str">
        <f>HYPERLINK("https://www.facebook.com/357267201017935/inbox/7145011188910135/","https://www.facebook.com/357267201017935/inbox/7145011188910135/")</f>
        <v>https://www.facebook.com/357267201017935/inbox/7145011188910135/</v>
      </c>
      <c r="O1389">
        <v>0</v>
      </c>
      <c r="P1389">
        <v>0</v>
      </c>
      <c r="Q1389">
        <v>0</v>
      </c>
      <c r="S1389">
        <v>0</v>
      </c>
      <c r="T1389">
        <v>0</v>
      </c>
      <c r="U1389">
        <v>0</v>
      </c>
      <c r="W1389" t="s">
        <v>52</v>
      </c>
      <c r="AO1389" t="s">
        <v>119</v>
      </c>
      <c r="AP1389" t="s">
        <v>101</v>
      </c>
      <c r="AS1389" t="s">
        <v>375</v>
      </c>
    </row>
    <row r="1390" spans="1:45" x14ac:dyDescent="0.35">
      <c r="A1390" t="s">
        <v>45</v>
      </c>
      <c r="B1390" t="s">
        <v>3099</v>
      </c>
      <c r="C1390" t="s">
        <v>47</v>
      </c>
      <c r="D1390" t="s">
        <v>2256</v>
      </c>
      <c r="E1390" t="s">
        <v>2256</v>
      </c>
      <c r="F1390" t="s">
        <v>49</v>
      </c>
      <c r="G1390" t="s">
        <v>56</v>
      </c>
      <c r="H1390" t="s">
        <v>3133</v>
      </c>
      <c r="J1390" t="str">
        <f>HYPERLINK("https://www.facebook.com/357267201017935/inbox/7145011188910135/","https://www.facebook.com/357267201017935/inbox/7145011188910135/")</f>
        <v>https://www.facebook.com/357267201017935/inbox/7145011188910135/</v>
      </c>
      <c r="O1390">
        <v>0</v>
      </c>
      <c r="P1390">
        <v>0</v>
      </c>
      <c r="Q1390">
        <v>0</v>
      </c>
      <c r="S1390">
        <v>0</v>
      </c>
      <c r="T1390">
        <v>0</v>
      </c>
      <c r="U1390">
        <v>0</v>
      </c>
      <c r="W1390" t="s">
        <v>52</v>
      </c>
      <c r="AS1390" t="s">
        <v>375</v>
      </c>
    </row>
    <row r="1391" spans="1:45" x14ac:dyDescent="0.35">
      <c r="A1391" t="s">
        <v>45</v>
      </c>
      <c r="B1391" t="s">
        <v>3099</v>
      </c>
      <c r="C1391" t="s">
        <v>47</v>
      </c>
      <c r="D1391" t="s">
        <v>3134</v>
      </c>
      <c r="E1391" t="s">
        <v>3134</v>
      </c>
      <c r="F1391" t="s">
        <v>49</v>
      </c>
      <c r="G1391" t="s">
        <v>3135</v>
      </c>
      <c r="H1391" t="s">
        <v>3136</v>
      </c>
      <c r="J1391" t="str">
        <f>HYPERLINK("https://www.facebook.com/454965103328545/posts/784845107007208?comment_id=407915441888025","https://www.facebook.com/454965103328545/posts/784845107007208?comment_id=407915441888025")</f>
        <v>https://www.facebook.com/454965103328545/posts/784845107007208?comment_id=407915441888025</v>
      </c>
      <c r="O1391">
        <v>0</v>
      </c>
      <c r="P1391">
        <v>0</v>
      </c>
      <c r="Q1391">
        <v>0</v>
      </c>
      <c r="S1391">
        <v>0</v>
      </c>
      <c r="T1391">
        <v>0</v>
      </c>
      <c r="U1391">
        <v>0</v>
      </c>
      <c r="W1391" t="s">
        <v>62</v>
      </c>
    </row>
    <row r="1392" spans="1:45" x14ac:dyDescent="0.35">
      <c r="A1392" t="s">
        <v>45</v>
      </c>
      <c r="B1392" t="s">
        <v>3099</v>
      </c>
      <c r="C1392" t="s">
        <v>63</v>
      </c>
      <c r="D1392" t="s">
        <v>3137</v>
      </c>
      <c r="E1392" t="s">
        <v>3137</v>
      </c>
      <c r="F1392" t="s">
        <v>76</v>
      </c>
      <c r="G1392" t="s">
        <v>3138</v>
      </c>
      <c r="H1392" t="s">
        <v>3139</v>
      </c>
      <c r="J1392" t="str">
        <f>HYPERLINK("https://www.instagram.com/p/C2w6aNLgipi/","https://www.instagram.com/p/C2w6aNLgipi/")</f>
        <v>https://www.instagram.com/p/C2w6aNLgipi/</v>
      </c>
      <c r="O1392">
        <v>0</v>
      </c>
      <c r="P1392">
        <v>0</v>
      </c>
      <c r="Q1392">
        <v>0</v>
      </c>
      <c r="S1392">
        <v>0</v>
      </c>
      <c r="T1392">
        <v>0</v>
      </c>
      <c r="U1392">
        <v>0</v>
      </c>
      <c r="W1392" t="s">
        <v>62</v>
      </c>
    </row>
    <row r="1393" spans="1:45" x14ac:dyDescent="0.35">
      <c r="A1393" t="s">
        <v>45</v>
      </c>
      <c r="B1393" t="s">
        <v>3099</v>
      </c>
      <c r="C1393" t="s">
        <v>47</v>
      </c>
      <c r="D1393" t="s">
        <v>3140</v>
      </c>
      <c r="E1393" t="s">
        <v>3140</v>
      </c>
      <c r="F1393" t="s">
        <v>49</v>
      </c>
      <c r="G1393" t="s">
        <v>3141</v>
      </c>
      <c r="H1393" t="s">
        <v>3142</v>
      </c>
      <c r="J1393" t="str">
        <f>HYPERLINK("https://www.facebook.com/357267201017935/inbox/7144742988936955/","https://www.facebook.com/357267201017935/inbox/7144742988936955/")</f>
        <v>https://www.facebook.com/357267201017935/inbox/7144742988936955/</v>
      </c>
      <c r="O1393">
        <v>0</v>
      </c>
      <c r="P1393">
        <v>0</v>
      </c>
      <c r="Q1393">
        <v>0</v>
      </c>
      <c r="S1393">
        <v>0</v>
      </c>
      <c r="T1393">
        <v>0</v>
      </c>
      <c r="U1393">
        <v>0</v>
      </c>
      <c r="W1393" t="s">
        <v>52</v>
      </c>
      <c r="AS1393" t="s">
        <v>375</v>
      </c>
    </row>
    <row r="1394" spans="1:45" x14ac:dyDescent="0.35">
      <c r="A1394" t="s">
        <v>45</v>
      </c>
      <c r="B1394" t="s">
        <v>3099</v>
      </c>
      <c r="C1394" t="s">
        <v>47</v>
      </c>
      <c r="D1394" t="s">
        <v>3043</v>
      </c>
      <c r="E1394" t="s">
        <v>3043</v>
      </c>
      <c r="F1394" t="s">
        <v>49</v>
      </c>
      <c r="G1394" t="s">
        <v>3143</v>
      </c>
      <c r="H1394" t="s">
        <v>3144</v>
      </c>
      <c r="J1394" t="str">
        <f>HYPERLINK("https://www.facebook.com/454965103328545/posts/782603903897995?comment_id=765779555183209","https://www.facebook.com/454965103328545/posts/782603903897995?comment_id=765779555183209")</f>
        <v>https://www.facebook.com/454965103328545/posts/782603903897995?comment_id=765779555183209</v>
      </c>
      <c r="O1394">
        <v>0</v>
      </c>
      <c r="P1394">
        <v>0</v>
      </c>
      <c r="Q1394">
        <v>0</v>
      </c>
      <c r="S1394">
        <v>0</v>
      </c>
      <c r="T1394">
        <v>0</v>
      </c>
      <c r="U1394">
        <v>0</v>
      </c>
      <c r="W1394" t="s">
        <v>62</v>
      </c>
      <c r="AS1394" t="s">
        <v>375</v>
      </c>
    </row>
    <row r="1395" spans="1:45" x14ac:dyDescent="0.35">
      <c r="A1395" t="s">
        <v>45</v>
      </c>
      <c r="B1395" t="s">
        <v>3099</v>
      </c>
      <c r="C1395" t="s">
        <v>47</v>
      </c>
      <c r="D1395" t="s">
        <v>3043</v>
      </c>
      <c r="E1395" t="s">
        <v>3043</v>
      </c>
      <c r="F1395" t="s">
        <v>49</v>
      </c>
      <c r="G1395" t="s">
        <v>3143</v>
      </c>
      <c r="H1395" t="s">
        <v>3145</v>
      </c>
      <c r="J1395" t="str">
        <f>HYPERLINK("https://www.facebook.com/454965103328545/posts/782605413897844?comment_id=1095967158320510","https://www.facebook.com/454965103328545/posts/782605413897844?comment_id=1095967158320510")</f>
        <v>https://www.facebook.com/454965103328545/posts/782605413897844?comment_id=1095967158320510</v>
      </c>
      <c r="O1395">
        <v>0</v>
      </c>
      <c r="P1395">
        <v>0</v>
      </c>
      <c r="Q1395">
        <v>0</v>
      </c>
      <c r="S1395">
        <v>0</v>
      </c>
      <c r="T1395">
        <v>0</v>
      </c>
      <c r="U1395">
        <v>0</v>
      </c>
      <c r="W1395" t="s">
        <v>62</v>
      </c>
      <c r="AS1395" t="s">
        <v>375</v>
      </c>
    </row>
    <row r="1396" spans="1:45" x14ac:dyDescent="0.35">
      <c r="A1396" t="s">
        <v>45</v>
      </c>
      <c r="B1396" t="s">
        <v>3099</v>
      </c>
      <c r="C1396" t="s">
        <v>47</v>
      </c>
      <c r="D1396" t="s">
        <v>3043</v>
      </c>
      <c r="E1396" t="s">
        <v>3043</v>
      </c>
      <c r="F1396" t="s">
        <v>49</v>
      </c>
      <c r="G1396" t="s">
        <v>3143</v>
      </c>
      <c r="H1396" t="s">
        <v>3146</v>
      </c>
      <c r="J1396" t="str">
        <f>HYPERLINK("https://www.facebook.com/454965103328545/posts/781247020700350?comment_id=289827124132402","https://www.facebook.com/454965103328545/posts/781247020700350?comment_id=289827124132402")</f>
        <v>https://www.facebook.com/454965103328545/posts/781247020700350?comment_id=289827124132402</v>
      </c>
      <c r="O1396">
        <v>0</v>
      </c>
      <c r="P1396">
        <v>0</v>
      </c>
      <c r="Q1396">
        <v>0</v>
      </c>
      <c r="S1396">
        <v>0</v>
      </c>
      <c r="T1396">
        <v>0</v>
      </c>
      <c r="U1396">
        <v>0</v>
      </c>
      <c r="W1396" t="s">
        <v>62</v>
      </c>
    </row>
    <row r="1397" spans="1:45" x14ac:dyDescent="0.35">
      <c r="A1397" t="s">
        <v>45</v>
      </c>
      <c r="B1397" t="s">
        <v>3099</v>
      </c>
      <c r="C1397" t="s">
        <v>47</v>
      </c>
      <c r="D1397" t="s">
        <v>3043</v>
      </c>
      <c r="E1397" t="s">
        <v>3043</v>
      </c>
      <c r="F1397" t="s">
        <v>49</v>
      </c>
      <c r="G1397" t="s">
        <v>3143</v>
      </c>
      <c r="H1397" t="s">
        <v>3147</v>
      </c>
      <c r="J1397" t="str">
        <f>HYPERLINK("https://www.facebook.com/454965103328545/posts/781248867366832?comment_id=1625758438230263","https://www.facebook.com/454965103328545/posts/781248867366832?comment_id=1625758438230263")</f>
        <v>https://www.facebook.com/454965103328545/posts/781248867366832?comment_id=1625758438230263</v>
      </c>
      <c r="O1397">
        <v>0</v>
      </c>
      <c r="P1397">
        <v>0</v>
      </c>
      <c r="Q1397">
        <v>0</v>
      </c>
      <c r="S1397">
        <v>0</v>
      </c>
      <c r="T1397">
        <v>0</v>
      </c>
      <c r="U1397">
        <v>0</v>
      </c>
      <c r="W1397" t="s">
        <v>62</v>
      </c>
    </row>
    <row r="1398" spans="1:45" x14ac:dyDescent="0.35">
      <c r="A1398" t="s">
        <v>45</v>
      </c>
      <c r="B1398" t="s">
        <v>3099</v>
      </c>
      <c r="C1398" t="s">
        <v>47</v>
      </c>
      <c r="D1398" t="s">
        <v>3043</v>
      </c>
      <c r="E1398" t="s">
        <v>3043</v>
      </c>
      <c r="F1398" t="s">
        <v>49</v>
      </c>
      <c r="G1398" t="s">
        <v>3143</v>
      </c>
      <c r="H1398" t="s">
        <v>3148</v>
      </c>
      <c r="J1398" t="str">
        <f>HYPERLINK("https://www.facebook.com/454965103328545/posts/784345853723800?comment_id=818974990006370","https://www.facebook.com/454965103328545/posts/784345853723800?comment_id=818974990006370")</f>
        <v>https://www.facebook.com/454965103328545/posts/784345853723800?comment_id=818974990006370</v>
      </c>
      <c r="O1398">
        <v>0</v>
      </c>
      <c r="P1398">
        <v>0</v>
      </c>
      <c r="Q1398">
        <v>0</v>
      </c>
      <c r="S1398">
        <v>0</v>
      </c>
      <c r="T1398">
        <v>0</v>
      </c>
      <c r="U1398">
        <v>0</v>
      </c>
      <c r="W1398" t="s">
        <v>62</v>
      </c>
    </row>
    <row r="1399" spans="1:45" x14ac:dyDescent="0.35">
      <c r="A1399" t="s">
        <v>45</v>
      </c>
      <c r="B1399" t="s">
        <v>3099</v>
      </c>
      <c r="C1399" t="s">
        <v>47</v>
      </c>
      <c r="D1399" t="s">
        <v>3043</v>
      </c>
      <c r="E1399" t="s">
        <v>3043</v>
      </c>
      <c r="F1399" t="s">
        <v>49</v>
      </c>
      <c r="G1399" t="s">
        <v>3143</v>
      </c>
      <c r="H1399" t="s">
        <v>3149</v>
      </c>
      <c r="J1399" t="str">
        <f>HYPERLINK("https://www.facebook.com/454965103328545/posts/784845107007208?comment_id=2068887266806660","https://www.facebook.com/454965103328545/posts/784845107007208?comment_id=2068887266806660")</f>
        <v>https://www.facebook.com/454965103328545/posts/784845107007208?comment_id=2068887266806660</v>
      </c>
      <c r="O1399">
        <v>0</v>
      </c>
      <c r="P1399">
        <v>0</v>
      </c>
      <c r="Q1399">
        <v>0</v>
      </c>
      <c r="S1399">
        <v>0</v>
      </c>
      <c r="T1399">
        <v>0</v>
      </c>
      <c r="U1399">
        <v>0</v>
      </c>
      <c r="W1399" t="s">
        <v>62</v>
      </c>
    </row>
    <row r="1400" spans="1:45" x14ac:dyDescent="0.35">
      <c r="A1400" t="s">
        <v>45</v>
      </c>
      <c r="B1400" t="s">
        <v>3099</v>
      </c>
      <c r="C1400" t="s">
        <v>47</v>
      </c>
      <c r="D1400" t="s">
        <v>3043</v>
      </c>
      <c r="E1400" t="s">
        <v>3043</v>
      </c>
      <c r="F1400" t="s">
        <v>49</v>
      </c>
      <c r="G1400" t="s">
        <v>3143</v>
      </c>
      <c r="H1400" t="s">
        <v>3150</v>
      </c>
      <c r="J1400" t="str">
        <f>HYPERLINK("https://www.facebook.com/454965103328545/posts/786419253516460?comment_id=1194531354843343","https://www.facebook.com/454965103328545/posts/786419253516460?comment_id=1194531354843343")</f>
        <v>https://www.facebook.com/454965103328545/posts/786419253516460?comment_id=1194531354843343</v>
      </c>
      <c r="O1400">
        <v>0</v>
      </c>
      <c r="P1400">
        <v>0</v>
      </c>
      <c r="Q1400">
        <v>0</v>
      </c>
      <c r="S1400">
        <v>0</v>
      </c>
      <c r="T1400">
        <v>0</v>
      </c>
      <c r="U1400">
        <v>0</v>
      </c>
      <c r="W1400" t="s">
        <v>62</v>
      </c>
    </row>
    <row r="1401" spans="1:45" x14ac:dyDescent="0.35">
      <c r="A1401" t="s">
        <v>45</v>
      </c>
      <c r="B1401" t="s">
        <v>3099</v>
      </c>
      <c r="C1401" t="s">
        <v>63</v>
      </c>
      <c r="D1401" t="s">
        <v>1832</v>
      </c>
      <c r="E1401" t="s">
        <v>1832</v>
      </c>
      <c r="F1401" t="s">
        <v>142</v>
      </c>
      <c r="G1401" t="s">
        <v>3151</v>
      </c>
      <c r="H1401" t="s">
        <v>3152</v>
      </c>
      <c r="J1401" t="str">
        <f>HYPERLINK("https://www.instagram.com/p/C4PPzsYN5dB/","https://www.instagram.com/p/C4PPzsYN5dB/")</f>
        <v>https://www.instagram.com/p/C4PPzsYN5dB/</v>
      </c>
      <c r="O1401">
        <v>0</v>
      </c>
      <c r="P1401">
        <v>0</v>
      </c>
      <c r="Q1401">
        <v>0</v>
      </c>
      <c r="S1401">
        <v>0</v>
      </c>
      <c r="T1401">
        <v>0</v>
      </c>
      <c r="U1401">
        <v>0</v>
      </c>
      <c r="W1401" t="s">
        <v>62</v>
      </c>
      <c r="AP1401" t="s">
        <v>147</v>
      </c>
      <c r="AS1401" t="s">
        <v>375</v>
      </c>
    </row>
    <row r="1402" spans="1:45" x14ac:dyDescent="0.35">
      <c r="A1402" t="s">
        <v>45</v>
      </c>
      <c r="B1402" t="s">
        <v>3099</v>
      </c>
      <c r="C1402" t="s">
        <v>63</v>
      </c>
      <c r="D1402" t="s">
        <v>1832</v>
      </c>
      <c r="E1402" t="s">
        <v>1832</v>
      </c>
      <c r="F1402" t="s">
        <v>142</v>
      </c>
      <c r="G1402" t="s">
        <v>3151</v>
      </c>
      <c r="H1402" t="s">
        <v>3153</v>
      </c>
      <c r="J1402" t="str">
        <f>HYPERLINK("https://www.instagram.com/reel/C4QGwE9CLXZ/","https://www.instagram.com/reel/C4QGwE9CLXZ/")</f>
        <v>https://www.instagram.com/reel/C4QGwE9CLXZ/</v>
      </c>
      <c r="O1402">
        <v>0</v>
      </c>
      <c r="P1402">
        <v>0</v>
      </c>
      <c r="Q1402">
        <v>0</v>
      </c>
      <c r="S1402">
        <v>0</v>
      </c>
      <c r="T1402">
        <v>0</v>
      </c>
      <c r="U1402">
        <v>0</v>
      </c>
      <c r="W1402" t="s">
        <v>62</v>
      </c>
      <c r="AP1402" t="s">
        <v>147</v>
      </c>
    </row>
    <row r="1403" spans="1:45" x14ac:dyDescent="0.35">
      <c r="A1403" t="s">
        <v>45</v>
      </c>
      <c r="B1403" t="s">
        <v>3099</v>
      </c>
      <c r="C1403" t="s">
        <v>63</v>
      </c>
      <c r="D1403" t="s">
        <v>1832</v>
      </c>
      <c r="E1403" t="s">
        <v>1832</v>
      </c>
      <c r="F1403" t="s">
        <v>49</v>
      </c>
      <c r="G1403" t="s">
        <v>3154</v>
      </c>
      <c r="H1403" t="s">
        <v>3155</v>
      </c>
      <c r="J1403" t="str">
        <f>HYPERLINK("https://www.instagram.com/p/C4W3TJcvND4/","https://www.instagram.com/p/C4W3TJcvND4/")</f>
        <v>https://www.instagram.com/p/C4W3TJcvND4/</v>
      </c>
      <c r="O1403">
        <v>0</v>
      </c>
      <c r="P1403">
        <v>0</v>
      </c>
      <c r="Q1403">
        <v>0</v>
      </c>
      <c r="S1403">
        <v>0</v>
      </c>
      <c r="T1403">
        <v>0</v>
      </c>
      <c r="U1403">
        <v>0</v>
      </c>
      <c r="W1403" t="s">
        <v>62</v>
      </c>
    </row>
    <row r="1404" spans="1:45" x14ac:dyDescent="0.35">
      <c r="A1404" t="s">
        <v>45</v>
      </c>
      <c r="B1404" t="s">
        <v>3099</v>
      </c>
      <c r="C1404" t="s">
        <v>102</v>
      </c>
      <c r="D1404" t="s">
        <v>3156</v>
      </c>
      <c r="E1404" t="s">
        <v>3156</v>
      </c>
      <c r="F1404" t="s">
        <v>76</v>
      </c>
      <c r="G1404" t="s">
        <v>3157</v>
      </c>
      <c r="H1404" t="s">
        <v>3158</v>
      </c>
      <c r="J1404" t="str">
        <f>HYPERLINK("https://www.linkedin.com/feed/update/urn:li:activity:7172867242416566272","https://www.linkedin.com/feed/update/urn:li:activity:7172867242416566272")</f>
        <v>https://www.linkedin.com/feed/update/urn:li:activity:7172867242416566272</v>
      </c>
      <c r="O1404">
        <v>0</v>
      </c>
      <c r="P1404">
        <v>0</v>
      </c>
      <c r="Q1404">
        <v>0</v>
      </c>
      <c r="S1404">
        <v>0</v>
      </c>
      <c r="T1404">
        <v>0</v>
      </c>
      <c r="U1404">
        <v>0</v>
      </c>
      <c r="W1404" t="s">
        <v>106</v>
      </c>
    </row>
    <row r="1405" spans="1:45" x14ac:dyDescent="0.35">
      <c r="A1405" t="s">
        <v>45</v>
      </c>
      <c r="B1405" t="s">
        <v>3099</v>
      </c>
      <c r="C1405" t="s">
        <v>47</v>
      </c>
      <c r="D1405" t="s">
        <v>3159</v>
      </c>
      <c r="E1405" t="s">
        <v>3159</v>
      </c>
      <c r="F1405" t="s">
        <v>49</v>
      </c>
      <c r="G1405" t="s">
        <v>3160</v>
      </c>
      <c r="H1405" t="s">
        <v>3161</v>
      </c>
      <c r="J1405" t="str">
        <f>HYPERLINK("https://www.facebook.com/454965103328545/posts/784845107007208?comment_id=939783834407552","https://www.facebook.com/454965103328545/posts/784845107007208?comment_id=939783834407552")</f>
        <v>https://www.facebook.com/454965103328545/posts/784845107007208?comment_id=939783834407552</v>
      </c>
      <c r="O1405">
        <v>0</v>
      </c>
      <c r="P1405">
        <v>0</v>
      </c>
      <c r="Q1405">
        <v>0</v>
      </c>
      <c r="S1405">
        <v>0</v>
      </c>
      <c r="T1405">
        <v>0</v>
      </c>
      <c r="U1405">
        <v>0</v>
      </c>
      <c r="W1405" t="s">
        <v>62</v>
      </c>
    </row>
    <row r="1406" spans="1:45" x14ac:dyDescent="0.35">
      <c r="A1406" t="s">
        <v>45</v>
      </c>
      <c r="B1406" t="s">
        <v>3099</v>
      </c>
      <c r="C1406" t="s">
        <v>47</v>
      </c>
      <c r="D1406" t="s">
        <v>2930</v>
      </c>
      <c r="E1406" t="s">
        <v>2930</v>
      </c>
      <c r="F1406" t="s">
        <v>76</v>
      </c>
      <c r="G1406" t="s">
        <v>3162</v>
      </c>
      <c r="H1406" t="s">
        <v>3163</v>
      </c>
      <c r="J1406" t="str">
        <f>HYPERLINK("https://www.facebook.com/454965103328545/posts/786419253516460?comment_id=905942091259520","https://www.facebook.com/454965103328545/posts/786419253516460?comment_id=905942091259520")</f>
        <v>https://www.facebook.com/454965103328545/posts/786419253516460?comment_id=905942091259520</v>
      </c>
      <c r="O1406">
        <v>0</v>
      </c>
      <c r="P1406">
        <v>0</v>
      </c>
      <c r="Q1406">
        <v>0</v>
      </c>
      <c r="S1406">
        <v>0</v>
      </c>
      <c r="T1406">
        <v>0</v>
      </c>
      <c r="U1406">
        <v>0</v>
      </c>
      <c r="W1406" t="s">
        <v>62</v>
      </c>
      <c r="AP1406" t="s">
        <v>101</v>
      </c>
    </row>
    <row r="1407" spans="1:45" x14ac:dyDescent="0.35">
      <c r="A1407" t="s">
        <v>45</v>
      </c>
      <c r="B1407" t="s">
        <v>3099</v>
      </c>
      <c r="C1407" t="s">
        <v>139</v>
      </c>
      <c r="D1407" t="s">
        <v>942</v>
      </c>
      <c r="E1407" t="s">
        <v>943</v>
      </c>
      <c r="F1407" t="s">
        <v>49</v>
      </c>
      <c r="G1407" t="s">
        <v>3164</v>
      </c>
      <c r="H1407" t="s">
        <v>3165</v>
      </c>
      <c r="J1407" t="str">
        <f>HYPERLINK("https://twitter.com/rajendras1819/status/1767090735332098226","https://twitter.com/rajendras1819/status/1767090735332098226")</f>
        <v>https://twitter.com/rajendras1819/status/1767090735332098226</v>
      </c>
      <c r="O1407">
        <v>0</v>
      </c>
      <c r="P1407">
        <v>0</v>
      </c>
      <c r="Q1407">
        <v>263</v>
      </c>
      <c r="R1407" t="s">
        <v>946</v>
      </c>
      <c r="S1407">
        <v>0</v>
      </c>
      <c r="T1407">
        <v>0</v>
      </c>
      <c r="U1407">
        <v>0</v>
      </c>
      <c r="W1407" t="s">
        <v>552</v>
      </c>
      <c r="AO1407" t="s">
        <v>67</v>
      </c>
    </row>
    <row r="1408" spans="1:45" x14ac:dyDescent="0.35">
      <c r="A1408" t="s">
        <v>45</v>
      </c>
      <c r="B1408" t="s">
        <v>3099</v>
      </c>
      <c r="C1408" t="s">
        <v>139</v>
      </c>
      <c r="D1408" t="s">
        <v>190</v>
      </c>
      <c r="E1408" t="s">
        <v>45</v>
      </c>
      <c r="F1408" t="s">
        <v>49</v>
      </c>
      <c r="G1408" t="s">
        <v>3164</v>
      </c>
      <c r="H1408" t="s">
        <v>3166</v>
      </c>
      <c r="J1408" t="str">
        <f>HYPERLINK("https://twitter.com/FinoPaymntsBank/status/1767089325362012259","https://twitter.com/FinoPaymntsBank/status/1767089325362012259")</f>
        <v>https://twitter.com/FinoPaymntsBank/status/1767089325362012259</v>
      </c>
      <c r="K1408" t="s">
        <v>145</v>
      </c>
      <c r="O1408">
        <v>0</v>
      </c>
      <c r="P1408">
        <v>0</v>
      </c>
      <c r="Q1408">
        <v>8432</v>
      </c>
      <c r="R1408" t="s">
        <v>193</v>
      </c>
      <c r="S1408">
        <v>0</v>
      </c>
      <c r="T1408">
        <v>0</v>
      </c>
      <c r="U1408">
        <v>0</v>
      </c>
      <c r="W1408" t="s">
        <v>146</v>
      </c>
      <c r="AO1408" t="s">
        <v>67</v>
      </c>
    </row>
    <row r="1409" spans="1:45" x14ac:dyDescent="0.35">
      <c r="A1409" t="s">
        <v>45</v>
      </c>
      <c r="B1409" t="s">
        <v>3099</v>
      </c>
      <c r="C1409" t="s">
        <v>47</v>
      </c>
      <c r="D1409" t="s">
        <v>3167</v>
      </c>
      <c r="E1409" t="s">
        <v>3167</v>
      </c>
      <c r="F1409" t="s">
        <v>142</v>
      </c>
      <c r="G1409" t="s">
        <v>3168</v>
      </c>
      <c r="H1409" t="s">
        <v>3169</v>
      </c>
      <c r="J1409" t="str">
        <f>HYPERLINK("https://www.facebook.com/454965103328545/posts/784845107007208?comment_id=2029027640799191","https://www.facebook.com/454965103328545/posts/784845107007208?comment_id=2029027640799191")</f>
        <v>https://www.facebook.com/454965103328545/posts/784845107007208?comment_id=2029027640799191</v>
      </c>
      <c r="O1409">
        <v>0</v>
      </c>
      <c r="P1409">
        <v>0</v>
      </c>
      <c r="Q1409">
        <v>0</v>
      </c>
      <c r="S1409">
        <v>0</v>
      </c>
      <c r="T1409">
        <v>0</v>
      </c>
      <c r="U1409">
        <v>0</v>
      </c>
      <c r="W1409" t="s">
        <v>62</v>
      </c>
      <c r="AP1409" t="s">
        <v>101</v>
      </c>
    </row>
    <row r="1410" spans="1:45" x14ac:dyDescent="0.35">
      <c r="A1410" t="s">
        <v>45</v>
      </c>
      <c r="B1410" t="s">
        <v>3099</v>
      </c>
      <c r="C1410" t="s">
        <v>47</v>
      </c>
      <c r="D1410" t="s">
        <v>45</v>
      </c>
      <c r="E1410" t="s">
        <v>45</v>
      </c>
      <c r="F1410" t="s">
        <v>49</v>
      </c>
      <c r="G1410" t="s">
        <v>3170</v>
      </c>
      <c r="H1410" t="s">
        <v>3171</v>
      </c>
      <c r="J1410" t="str">
        <f>HYPERLINK("https://www.facebook.com/454965103328545/posts/786419253516460","https://www.facebook.com/454965103328545/posts/786419253516460")</f>
        <v>https://www.facebook.com/454965103328545/posts/786419253516460</v>
      </c>
      <c r="O1410">
        <v>0</v>
      </c>
      <c r="P1410">
        <v>0</v>
      </c>
      <c r="Q1410">
        <v>0</v>
      </c>
      <c r="S1410">
        <v>4</v>
      </c>
      <c r="T1410">
        <v>43</v>
      </c>
      <c r="U1410">
        <v>6</v>
      </c>
      <c r="W1410" t="s">
        <v>106</v>
      </c>
      <c r="AO1410" t="s">
        <v>67</v>
      </c>
    </row>
    <row r="1411" spans="1:45" x14ac:dyDescent="0.35">
      <c r="A1411" t="s">
        <v>45</v>
      </c>
      <c r="B1411" t="s">
        <v>3099</v>
      </c>
      <c r="C1411" t="s">
        <v>102</v>
      </c>
      <c r="D1411" t="s">
        <v>965</v>
      </c>
      <c r="E1411" t="s">
        <v>965</v>
      </c>
      <c r="F1411" t="s">
        <v>49</v>
      </c>
      <c r="G1411" t="s">
        <v>3172</v>
      </c>
      <c r="H1411" t="s">
        <v>3173</v>
      </c>
      <c r="J1411" t="str">
        <f>HYPERLINK("https://www.linkedin.com/feed/update/urn:li:ugcPost:7172843634285756416","https://www.linkedin.com/feed/update/urn:li:ugcPost:7172843634285756416")</f>
        <v>https://www.linkedin.com/feed/update/urn:li:ugcPost:7172843634285756416</v>
      </c>
      <c r="O1411">
        <v>0</v>
      </c>
      <c r="P1411">
        <v>0</v>
      </c>
      <c r="Q1411">
        <v>0</v>
      </c>
      <c r="S1411">
        <v>2</v>
      </c>
      <c r="T1411">
        <v>88</v>
      </c>
      <c r="U1411">
        <v>0</v>
      </c>
      <c r="W1411" t="s">
        <v>106</v>
      </c>
      <c r="AO1411" t="s">
        <v>67</v>
      </c>
    </row>
    <row r="1412" spans="1:45" x14ac:dyDescent="0.35">
      <c r="A1412" t="s">
        <v>45</v>
      </c>
      <c r="B1412" t="s">
        <v>3099</v>
      </c>
      <c r="C1412" t="s">
        <v>63</v>
      </c>
      <c r="D1412" t="s">
        <v>2855</v>
      </c>
      <c r="E1412" t="s">
        <v>2855</v>
      </c>
      <c r="F1412" t="s">
        <v>49</v>
      </c>
      <c r="G1412" t="s">
        <v>3174</v>
      </c>
      <c r="H1412" t="s">
        <v>3175</v>
      </c>
      <c r="J1412" t="str">
        <f>HYPERLINK("https://www.instagram.com/reel/C4QGwE9CLXZ/","https://www.instagram.com/reel/C4QGwE9CLXZ/")</f>
        <v>https://www.instagram.com/reel/C4QGwE9CLXZ/</v>
      </c>
      <c r="O1412">
        <v>0</v>
      </c>
      <c r="P1412">
        <v>0</v>
      </c>
      <c r="Q1412">
        <v>0</v>
      </c>
      <c r="S1412">
        <v>0</v>
      </c>
      <c r="T1412">
        <v>0</v>
      </c>
      <c r="U1412">
        <v>0</v>
      </c>
      <c r="W1412" t="s">
        <v>62</v>
      </c>
    </row>
    <row r="1413" spans="1:45" x14ac:dyDescent="0.35">
      <c r="A1413" t="s">
        <v>45</v>
      </c>
      <c r="B1413" t="s">
        <v>3099</v>
      </c>
      <c r="C1413" t="s">
        <v>58</v>
      </c>
      <c r="D1413" t="s">
        <v>3176</v>
      </c>
      <c r="E1413" t="s">
        <v>3176</v>
      </c>
      <c r="F1413" t="s">
        <v>49</v>
      </c>
      <c r="G1413" t="s">
        <v>3177</v>
      </c>
      <c r="H1413" t="s">
        <v>3178</v>
      </c>
      <c r="J1413" t="str">
        <f>HYPERLINK("https://www.youtube.com/watch?v=ys5S8MbiCZM","https://www.youtube.com/watch?v=ys5S8MbiCZM")</f>
        <v>https://www.youtube.com/watch?v=ys5S8MbiCZM</v>
      </c>
      <c r="O1413">
        <v>0</v>
      </c>
      <c r="P1413">
        <v>0</v>
      </c>
      <c r="Q1413">
        <v>0</v>
      </c>
      <c r="S1413">
        <v>0</v>
      </c>
      <c r="T1413">
        <v>0</v>
      </c>
      <c r="U1413">
        <v>0</v>
      </c>
      <c r="W1413" t="s">
        <v>106</v>
      </c>
      <c r="AP1413" t="s">
        <v>101</v>
      </c>
    </row>
    <row r="1414" spans="1:45" x14ac:dyDescent="0.35">
      <c r="A1414" t="s">
        <v>45</v>
      </c>
      <c r="B1414" t="s">
        <v>3099</v>
      </c>
      <c r="C1414" t="s">
        <v>58</v>
      </c>
      <c r="D1414" t="s">
        <v>3179</v>
      </c>
      <c r="E1414" t="s">
        <v>3179</v>
      </c>
      <c r="F1414" t="s">
        <v>76</v>
      </c>
      <c r="G1414" t="s">
        <v>3180</v>
      </c>
      <c r="H1414" t="s">
        <v>3181</v>
      </c>
      <c r="J1414" t="str">
        <f>HYPERLINK("https://www.youtube.com/watch?v=bAWOjwQXRAU","https://www.youtube.com/watch?v=bAWOjwQXRAU")</f>
        <v>https://www.youtube.com/watch?v=bAWOjwQXRAU</v>
      </c>
      <c r="O1414">
        <v>0</v>
      </c>
      <c r="P1414">
        <v>0</v>
      </c>
      <c r="Q1414">
        <v>0</v>
      </c>
      <c r="S1414">
        <v>0</v>
      </c>
      <c r="T1414">
        <v>0</v>
      </c>
      <c r="U1414">
        <v>0</v>
      </c>
      <c r="W1414" t="s">
        <v>106</v>
      </c>
      <c r="AP1414" t="s">
        <v>101</v>
      </c>
    </row>
    <row r="1415" spans="1:45" x14ac:dyDescent="0.35">
      <c r="A1415" t="s">
        <v>45</v>
      </c>
      <c r="B1415" t="s">
        <v>3099</v>
      </c>
      <c r="C1415" t="s">
        <v>47</v>
      </c>
      <c r="D1415" t="s">
        <v>445</v>
      </c>
      <c r="E1415" t="s">
        <v>445</v>
      </c>
      <c r="F1415" t="s">
        <v>49</v>
      </c>
      <c r="G1415" t="s">
        <v>477</v>
      </c>
      <c r="H1415" t="s">
        <v>3182</v>
      </c>
      <c r="J1415" t="str">
        <f>HYPERLINK("https://www.facebook.com/454965103328545/posts/784845107007208?comment_id=316564281047779","https://www.facebook.com/454965103328545/posts/784845107007208?comment_id=316564281047779")</f>
        <v>https://www.facebook.com/454965103328545/posts/784845107007208?comment_id=316564281047779</v>
      </c>
      <c r="O1415">
        <v>0</v>
      </c>
      <c r="P1415">
        <v>0</v>
      </c>
      <c r="Q1415">
        <v>0</v>
      </c>
      <c r="S1415">
        <v>0</v>
      </c>
      <c r="T1415">
        <v>0</v>
      </c>
      <c r="U1415">
        <v>0</v>
      </c>
      <c r="W1415" t="s">
        <v>62</v>
      </c>
      <c r="AS1415" t="s">
        <v>375</v>
      </c>
    </row>
    <row r="1416" spans="1:45" x14ac:dyDescent="0.35">
      <c r="A1416" t="s">
        <v>45</v>
      </c>
      <c r="B1416" t="s">
        <v>3099</v>
      </c>
      <c r="C1416" t="s">
        <v>47</v>
      </c>
      <c r="D1416" t="s">
        <v>445</v>
      </c>
      <c r="E1416" t="s">
        <v>445</v>
      </c>
      <c r="F1416" t="s">
        <v>49</v>
      </c>
      <c r="G1416" t="s">
        <v>477</v>
      </c>
      <c r="H1416" t="s">
        <v>3183</v>
      </c>
      <c r="J1416" t="str">
        <f>HYPERLINK("https://www.facebook.com/454965103328545/posts/784845107007208?comment_id=1545829356266624","https://www.facebook.com/454965103328545/posts/784845107007208?comment_id=1545829356266624")</f>
        <v>https://www.facebook.com/454965103328545/posts/784845107007208?comment_id=1545829356266624</v>
      </c>
      <c r="O1416">
        <v>0</v>
      </c>
      <c r="P1416">
        <v>0</v>
      </c>
      <c r="Q1416">
        <v>0</v>
      </c>
      <c r="S1416">
        <v>0</v>
      </c>
      <c r="T1416">
        <v>0</v>
      </c>
      <c r="U1416">
        <v>0</v>
      </c>
      <c r="W1416" t="s">
        <v>62</v>
      </c>
    </row>
    <row r="1417" spans="1:45" x14ac:dyDescent="0.35">
      <c r="A1417" t="s">
        <v>45</v>
      </c>
      <c r="B1417" t="s">
        <v>3099</v>
      </c>
      <c r="C1417" t="s">
        <v>47</v>
      </c>
      <c r="D1417" t="s">
        <v>445</v>
      </c>
      <c r="E1417" t="s">
        <v>445</v>
      </c>
      <c r="F1417" t="s">
        <v>49</v>
      </c>
      <c r="G1417" t="s">
        <v>477</v>
      </c>
      <c r="H1417" t="s">
        <v>3184</v>
      </c>
      <c r="J1417" t="str">
        <f>HYPERLINK("https://www.facebook.com/454965103328545/posts/784845107007208?comment_id=361991886814364","https://www.facebook.com/454965103328545/posts/784845107007208?comment_id=361991886814364")</f>
        <v>https://www.facebook.com/454965103328545/posts/784845107007208?comment_id=361991886814364</v>
      </c>
      <c r="O1417">
        <v>0</v>
      </c>
      <c r="P1417">
        <v>0</v>
      </c>
      <c r="Q1417">
        <v>0</v>
      </c>
      <c r="S1417">
        <v>0</v>
      </c>
      <c r="T1417">
        <v>0</v>
      </c>
      <c r="U1417">
        <v>0</v>
      </c>
      <c r="W1417" t="s">
        <v>62</v>
      </c>
    </row>
    <row r="1418" spans="1:45" x14ac:dyDescent="0.35">
      <c r="A1418" t="s">
        <v>45</v>
      </c>
      <c r="B1418" t="s">
        <v>3099</v>
      </c>
      <c r="C1418" t="s">
        <v>47</v>
      </c>
      <c r="D1418" t="s">
        <v>445</v>
      </c>
      <c r="E1418" t="s">
        <v>445</v>
      </c>
      <c r="F1418" t="s">
        <v>49</v>
      </c>
      <c r="G1418" t="s">
        <v>477</v>
      </c>
      <c r="H1418" t="s">
        <v>3185</v>
      </c>
      <c r="J1418" t="str">
        <f>HYPERLINK("https://www.facebook.com/454965103328545/posts/784845107007208?comment_id=1165984418101040","https://www.facebook.com/454965103328545/posts/784845107007208?comment_id=1165984418101040")</f>
        <v>https://www.facebook.com/454965103328545/posts/784845107007208?comment_id=1165984418101040</v>
      </c>
      <c r="O1418">
        <v>0</v>
      </c>
      <c r="P1418">
        <v>0</v>
      </c>
      <c r="Q1418">
        <v>0</v>
      </c>
      <c r="S1418">
        <v>0</v>
      </c>
      <c r="T1418">
        <v>0</v>
      </c>
      <c r="U1418">
        <v>0</v>
      </c>
      <c r="W1418" t="s">
        <v>62</v>
      </c>
    </row>
    <row r="1419" spans="1:45" x14ac:dyDescent="0.35">
      <c r="A1419" t="s">
        <v>45</v>
      </c>
      <c r="B1419" t="s">
        <v>3099</v>
      </c>
      <c r="C1419" t="s">
        <v>47</v>
      </c>
      <c r="D1419" t="s">
        <v>445</v>
      </c>
      <c r="E1419" t="s">
        <v>445</v>
      </c>
      <c r="F1419" t="s">
        <v>49</v>
      </c>
      <c r="G1419" t="s">
        <v>477</v>
      </c>
      <c r="H1419" t="s">
        <v>3186</v>
      </c>
      <c r="J1419" t="str">
        <f>HYPERLINK("https://www.facebook.com/454965103328545/posts/784845107007208?comment_id=426677453354383","https://www.facebook.com/454965103328545/posts/784845107007208?comment_id=426677453354383")</f>
        <v>https://www.facebook.com/454965103328545/posts/784845107007208?comment_id=426677453354383</v>
      </c>
      <c r="O1419">
        <v>0</v>
      </c>
      <c r="P1419">
        <v>0</v>
      </c>
      <c r="Q1419">
        <v>0</v>
      </c>
      <c r="S1419">
        <v>0</v>
      </c>
      <c r="T1419">
        <v>0</v>
      </c>
      <c r="U1419">
        <v>0</v>
      </c>
      <c r="W1419" t="s">
        <v>62</v>
      </c>
    </row>
    <row r="1420" spans="1:45" x14ac:dyDescent="0.35">
      <c r="A1420" t="s">
        <v>45</v>
      </c>
      <c r="B1420" t="s">
        <v>3099</v>
      </c>
      <c r="C1420" t="s">
        <v>47</v>
      </c>
      <c r="D1420" t="s">
        <v>445</v>
      </c>
      <c r="E1420" t="s">
        <v>445</v>
      </c>
      <c r="F1420" t="s">
        <v>49</v>
      </c>
      <c r="G1420" t="s">
        <v>477</v>
      </c>
      <c r="H1420" t="s">
        <v>3187</v>
      </c>
      <c r="J1420" t="str">
        <f>HYPERLINK("https://www.facebook.com/454965103328545/posts/784845107007208?comment_id=616655410651395","https://www.facebook.com/454965103328545/posts/784845107007208?comment_id=616655410651395")</f>
        <v>https://www.facebook.com/454965103328545/posts/784845107007208?comment_id=616655410651395</v>
      </c>
      <c r="O1420">
        <v>0</v>
      </c>
      <c r="P1420">
        <v>0</v>
      </c>
      <c r="Q1420">
        <v>0</v>
      </c>
      <c r="S1420">
        <v>0</v>
      </c>
      <c r="T1420">
        <v>0</v>
      </c>
      <c r="U1420">
        <v>0</v>
      </c>
      <c r="W1420" t="s">
        <v>62</v>
      </c>
    </row>
    <row r="1421" spans="1:45" x14ac:dyDescent="0.35">
      <c r="A1421" t="s">
        <v>45</v>
      </c>
      <c r="B1421" t="s">
        <v>3099</v>
      </c>
      <c r="C1421" t="s">
        <v>47</v>
      </c>
      <c r="D1421" t="s">
        <v>445</v>
      </c>
      <c r="E1421" t="s">
        <v>445</v>
      </c>
      <c r="F1421" t="s">
        <v>49</v>
      </c>
      <c r="G1421" t="s">
        <v>477</v>
      </c>
      <c r="H1421" t="s">
        <v>3188</v>
      </c>
      <c r="J1421" t="str">
        <f>HYPERLINK("https://www.facebook.com/454965103328545/posts/784845107007208?comment_id=6422600764509658","https://www.facebook.com/454965103328545/posts/784845107007208?comment_id=6422600764509658")</f>
        <v>https://www.facebook.com/454965103328545/posts/784845107007208?comment_id=6422600764509658</v>
      </c>
      <c r="O1421">
        <v>0</v>
      </c>
      <c r="P1421">
        <v>0</v>
      </c>
      <c r="Q1421">
        <v>0</v>
      </c>
      <c r="S1421">
        <v>0</v>
      </c>
      <c r="T1421">
        <v>0</v>
      </c>
      <c r="U1421">
        <v>0</v>
      </c>
      <c r="W1421" t="s">
        <v>62</v>
      </c>
    </row>
    <row r="1422" spans="1:45" x14ac:dyDescent="0.35">
      <c r="A1422" t="s">
        <v>45</v>
      </c>
      <c r="B1422" t="s">
        <v>3099</v>
      </c>
      <c r="C1422" t="s">
        <v>47</v>
      </c>
      <c r="D1422" t="s">
        <v>445</v>
      </c>
      <c r="E1422" t="s">
        <v>445</v>
      </c>
      <c r="F1422" t="s">
        <v>49</v>
      </c>
      <c r="G1422" t="s">
        <v>477</v>
      </c>
      <c r="H1422" t="s">
        <v>3189</v>
      </c>
      <c r="J1422" t="str">
        <f>HYPERLINK("https://www.facebook.com/454965103328545/posts/784845107007208?comment_id=1137033917486235","https://www.facebook.com/454965103328545/posts/784845107007208?comment_id=1137033917486235")</f>
        <v>https://www.facebook.com/454965103328545/posts/784845107007208?comment_id=1137033917486235</v>
      </c>
      <c r="O1422">
        <v>0</v>
      </c>
      <c r="P1422">
        <v>0</v>
      </c>
      <c r="Q1422">
        <v>0</v>
      </c>
      <c r="S1422">
        <v>0</v>
      </c>
      <c r="T1422">
        <v>0</v>
      </c>
      <c r="U1422">
        <v>0</v>
      </c>
      <c r="W1422" t="s">
        <v>62</v>
      </c>
      <c r="AS1422" t="s">
        <v>375</v>
      </c>
    </row>
    <row r="1423" spans="1:45" x14ac:dyDescent="0.35">
      <c r="A1423" t="s">
        <v>45</v>
      </c>
      <c r="B1423" t="s">
        <v>3099</v>
      </c>
      <c r="C1423" t="s">
        <v>47</v>
      </c>
      <c r="D1423" t="s">
        <v>445</v>
      </c>
      <c r="E1423" t="s">
        <v>445</v>
      </c>
      <c r="F1423" t="s">
        <v>49</v>
      </c>
      <c r="G1423" t="s">
        <v>477</v>
      </c>
      <c r="H1423" t="s">
        <v>3190</v>
      </c>
      <c r="J1423" t="str">
        <f>HYPERLINK("https://www.facebook.com/454965103328545/posts/784845107007208?comment_id=413704421148997","https://www.facebook.com/454965103328545/posts/784845107007208?comment_id=413704421148997")</f>
        <v>https://www.facebook.com/454965103328545/posts/784845107007208?comment_id=413704421148997</v>
      </c>
      <c r="O1423">
        <v>0</v>
      </c>
      <c r="P1423">
        <v>0</v>
      </c>
      <c r="Q1423">
        <v>0</v>
      </c>
      <c r="S1423">
        <v>0</v>
      </c>
      <c r="T1423">
        <v>0</v>
      </c>
      <c r="U1423">
        <v>0</v>
      </c>
      <c r="W1423" t="s">
        <v>62</v>
      </c>
    </row>
    <row r="1424" spans="1:45" x14ac:dyDescent="0.35">
      <c r="A1424" t="s">
        <v>45</v>
      </c>
      <c r="B1424" t="s">
        <v>3099</v>
      </c>
      <c r="C1424" t="s">
        <v>47</v>
      </c>
      <c r="D1424" t="s">
        <v>445</v>
      </c>
      <c r="E1424" t="s">
        <v>445</v>
      </c>
      <c r="F1424" t="s">
        <v>49</v>
      </c>
      <c r="G1424" t="s">
        <v>477</v>
      </c>
      <c r="H1424" t="s">
        <v>3190</v>
      </c>
      <c r="J1424" t="str">
        <f>HYPERLINK("https://www.facebook.com/454965103328545/posts/784845107007208?comment_id=1468215500707943","https://www.facebook.com/454965103328545/posts/784845107007208?comment_id=1468215500707943")</f>
        <v>https://www.facebook.com/454965103328545/posts/784845107007208?comment_id=1468215500707943</v>
      </c>
      <c r="O1424">
        <v>0</v>
      </c>
      <c r="P1424">
        <v>0</v>
      </c>
      <c r="Q1424">
        <v>0</v>
      </c>
      <c r="S1424">
        <v>0</v>
      </c>
      <c r="T1424">
        <v>0</v>
      </c>
      <c r="U1424">
        <v>0</v>
      </c>
      <c r="W1424" t="s">
        <v>62</v>
      </c>
    </row>
    <row r="1425" spans="1:45" x14ac:dyDescent="0.35">
      <c r="A1425" t="s">
        <v>45</v>
      </c>
      <c r="B1425" t="s">
        <v>3099</v>
      </c>
      <c r="C1425" t="s">
        <v>47</v>
      </c>
      <c r="D1425" t="s">
        <v>445</v>
      </c>
      <c r="E1425" t="s">
        <v>445</v>
      </c>
      <c r="F1425" t="s">
        <v>49</v>
      </c>
      <c r="G1425" t="s">
        <v>477</v>
      </c>
      <c r="H1425" t="s">
        <v>3191</v>
      </c>
      <c r="J1425" t="str">
        <f>HYPERLINK("https://www.facebook.com/454965103328545/posts/784845107007208?comment_id=923466366112263","https://www.facebook.com/454965103328545/posts/784845107007208?comment_id=923466366112263")</f>
        <v>https://www.facebook.com/454965103328545/posts/784845107007208?comment_id=923466366112263</v>
      </c>
      <c r="O1425">
        <v>0</v>
      </c>
      <c r="P1425">
        <v>0</v>
      </c>
      <c r="Q1425">
        <v>0</v>
      </c>
      <c r="S1425">
        <v>0</v>
      </c>
      <c r="T1425">
        <v>0</v>
      </c>
      <c r="U1425">
        <v>0</v>
      </c>
      <c r="W1425" t="s">
        <v>62</v>
      </c>
    </row>
    <row r="1426" spans="1:45" x14ac:dyDescent="0.35">
      <c r="A1426" t="s">
        <v>45</v>
      </c>
      <c r="B1426" t="s">
        <v>3099</v>
      </c>
      <c r="C1426" t="s">
        <v>47</v>
      </c>
      <c r="D1426" t="s">
        <v>445</v>
      </c>
      <c r="E1426" t="s">
        <v>445</v>
      </c>
      <c r="F1426" t="s">
        <v>49</v>
      </c>
      <c r="G1426" t="s">
        <v>477</v>
      </c>
      <c r="H1426" t="s">
        <v>3192</v>
      </c>
      <c r="J1426" t="str">
        <f>HYPERLINK("https://www.facebook.com/454965103328545/posts/784845107007208?comment_id=718756683763690","https://www.facebook.com/454965103328545/posts/784845107007208?comment_id=718756683763690")</f>
        <v>https://www.facebook.com/454965103328545/posts/784845107007208?comment_id=718756683763690</v>
      </c>
      <c r="O1426">
        <v>0</v>
      </c>
      <c r="P1426">
        <v>0</v>
      </c>
      <c r="Q1426">
        <v>0</v>
      </c>
      <c r="S1426">
        <v>0</v>
      </c>
      <c r="T1426">
        <v>0</v>
      </c>
      <c r="U1426">
        <v>0</v>
      </c>
      <c r="W1426" t="s">
        <v>62</v>
      </c>
    </row>
    <row r="1427" spans="1:45" x14ac:dyDescent="0.35">
      <c r="A1427" t="s">
        <v>45</v>
      </c>
      <c r="B1427" t="s">
        <v>3099</v>
      </c>
      <c r="C1427" t="s">
        <v>47</v>
      </c>
      <c r="D1427" t="s">
        <v>445</v>
      </c>
      <c r="E1427" t="s">
        <v>445</v>
      </c>
      <c r="F1427" t="s">
        <v>49</v>
      </c>
      <c r="G1427" t="s">
        <v>477</v>
      </c>
      <c r="H1427" t="s">
        <v>3193</v>
      </c>
      <c r="J1427" t="str">
        <f>HYPERLINK("https://www.facebook.com/454965103328545/posts/784845107007208?comment_id=455947356762489","https://www.facebook.com/454965103328545/posts/784845107007208?comment_id=455947356762489")</f>
        <v>https://www.facebook.com/454965103328545/posts/784845107007208?comment_id=455947356762489</v>
      </c>
      <c r="O1427">
        <v>0</v>
      </c>
      <c r="P1427">
        <v>0</v>
      </c>
      <c r="Q1427">
        <v>0</v>
      </c>
      <c r="S1427">
        <v>0</v>
      </c>
      <c r="T1427">
        <v>0</v>
      </c>
      <c r="U1427">
        <v>0</v>
      </c>
      <c r="W1427" t="s">
        <v>62</v>
      </c>
    </row>
    <row r="1428" spans="1:45" x14ac:dyDescent="0.35">
      <c r="A1428" t="s">
        <v>45</v>
      </c>
      <c r="B1428" t="s">
        <v>3099</v>
      </c>
      <c r="C1428" t="s">
        <v>47</v>
      </c>
      <c r="D1428" t="s">
        <v>445</v>
      </c>
      <c r="E1428" t="s">
        <v>445</v>
      </c>
      <c r="F1428" t="s">
        <v>49</v>
      </c>
      <c r="G1428" t="s">
        <v>477</v>
      </c>
      <c r="H1428" t="s">
        <v>3194</v>
      </c>
      <c r="J1428" t="str">
        <f>HYPERLINK("https://www.facebook.com/454965103328545/posts/784845107007208?comment_id=3634087150239804","https://www.facebook.com/454965103328545/posts/784845107007208?comment_id=3634087150239804")</f>
        <v>https://www.facebook.com/454965103328545/posts/784845107007208?comment_id=3634087150239804</v>
      </c>
      <c r="O1428">
        <v>0</v>
      </c>
      <c r="P1428">
        <v>0</v>
      </c>
      <c r="Q1428">
        <v>0</v>
      </c>
      <c r="S1428">
        <v>0</v>
      </c>
      <c r="T1428">
        <v>0</v>
      </c>
      <c r="U1428">
        <v>0</v>
      </c>
      <c r="W1428" t="s">
        <v>62</v>
      </c>
    </row>
    <row r="1429" spans="1:45" x14ac:dyDescent="0.35">
      <c r="A1429" t="s">
        <v>45</v>
      </c>
      <c r="B1429" t="s">
        <v>3099</v>
      </c>
      <c r="C1429" t="s">
        <v>102</v>
      </c>
      <c r="D1429" t="s">
        <v>3195</v>
      </c>
      <c r="E1429" t="s">
        <v>3195</v>
      </c>
      <c r="F1429" t="s">
        <v>49</v>
      </c>
      <c r="G1429" t="s">
        <v>3196</v>
      </c>
      <c r="H1429" t="s">
        <v>3197</v>
      </c>
      <c r="J1429" t="str">
        <f>HYPERLINK("https://www.linkedin.com/feed/update/urn:li:ugcPost:7172800531407495169","https://www.linkedin.com/feed/update/urn:li:ugcPost:7172800531407495169")</f>
        <v>https://www.linkedin.com/feed/update/urn:li:ugcPost:7172800531407495169</v>
      </c>
      <c r="O1429">
        <v>0</v>
      </c>
      <c r="P1429">
        <v>0</v>
      </c>
      <c r="Q1429">
        <v>0</v>
      </c>
      <c r="S1429">
        <v>0</v>
      </c>
      <c r="T1429">
        <v>0</v>
      </c>
      <c r="U1429">
        <v>0</v>
      </c>
      <c r="W1429" t="s">
        <v>106</v>
      </c>
    </row>
    <row r="1430" spans="1:45" x14ac:dyDescent="0.35">
      <c r="A1430" t="s">
        <v>45</v>
      </c>
      <c r="B1430" t="s">
        <v>3099</v>
      </c>
      <c r="C1430" t="s">
        <v>63</v>
      </c>
      <c r="D1430" t="s">
        <v>3198</v>
      </c>
      <c r="E1430" t="s">
        <v>3198</v>
      </c>
      <c r="F1430" t="s">
        <v>49</v>
      </c>
      <c r="G1430" t="s">
        <v>3199</v>
      </c>
      <c r="H1430" t="s">
        <v>3200</v>
      </c>
      <c r="J1430" t="str">
        <f>HYPERLINK("https://www.instagram.com/p/C4W3TJcvND4/","https://www.instagram.com/p/C4W3TJcvND4/")</f>
        <v>https://www.instagram.com/p/C4W3TJcvND4/</v>
      </c>
      <c r="O1430">
        <v>0</v>
      </c>
      <c r="P1430">
        <v>0</v>
      </c>
      <c r="Q1430">
        <v>0</v>
      </c>
      <c r="S1430">
        <v>0</v>
      </c>
      <c r="T1430">
        <v>0</v>
      </c>
      <c r="U1430">
        <v>0</v>
      </c>
      <c r="W1430" t="s">
        <v>62</v>
      </c>
    </row>
    <row r="1431" spans="1:45" x14ac:dyDescent="0.35">
      <c r="A1431" t="s">
        <v>45</v>
      </c>
      <c r="B1431" t="s">
        <v>3099</v>
      </c>
      <c r="C1431" t="s">
        <v>139</v>
      </c>
      <c r="D1431" t="s">
        <v>190</v>
      </c>
      <c r="E1431" t="s">
        <v>45</v>
      </c>
      <c r="F1431" t="s">
        <v>49</v>
      </c>
      <c r="G1431" t="s">
        <v>3201</v>
      </c>
      <c r="H1431" t="s">
        <v>3202</v>
      </c>
      <c r="J1431" t="str">
        <f>HYPERLINK("https://twitter.com/FinoPaymntsBank/status/1767015180054216907","https://twitter.com/FinoPaymntsBank/status/1767015180054216907")</f>
        <v>https://twitter.com/FinoPaymntsBank/status/1767015180054216907</v>
      </c>
      <c r="K1431" t="s">
        <v>145</v>
      </c>
      <c r="O1431">
        <v>0</v>
      </c>
      <c r="P1431">
        <v>0</v>
      </c>
      <c r="Q1431">
        <v>8432</v>
      </c>
      <c r="R1431" t="s">
        <v>193</v>
      </c>
      <c r="S1431">
        <v>0</v>
      </c>
      <c r="T1431">
        <v>0</v>
      </c>
      <c r="U1431">
        <v>0</v>
      </c>
      <c r="W1431" t="s">
        <v>146</v>
      </c>
    </row>
    <row r="1432" spans="1:45" x14ac:dyDescent="0.35">
      <c r="A1432" t="s">
        <v>45</v>
      </c>
      <c r="B1432" t="s">
        <v>3099</v>
      </c>
      <c r="C1432" t="s">
        <v>63</v>
      </c>
      <c r="D1432" t="s">
        <v>186</v>
      </c>
      <c r="E1432" t="s">
        <v>186</v>
      </c>
      <c r="F1432" t="s">
        <v>49</v>
      </c>
      <c r="G1432" t="s">
        <v>3203</v>
      </c>
      <c r="H1432" t="s">
        <v>3204</v>
      </c>
      <c r="J1432" t="str">
        <f>HYPERLINK("https://www.instagram.com/p/C4W3TJcvND4/","https://www.instagram.com/p/C4W3TJcvND4/")</f>
        <v>https://www.instagram.com/p/C4W3TJcvND4/</v>
      </c>
      <c r="O1432">
        <v>0</v>
      </c>
      <c r="P1432">
        <v>0</v>
      </c>
      <c r="Q1432">
        <v>0</v>
      </c>
      <c r="S1432">
        <v>3</v>
      </c>
      <c r="T1432">
        <v>121</v>
      </c>
      <c r="U1432">
        <v>0</v>
      </c>
      <c r="W1432" t="s">
        <v>106</v>
      </c>
    </row>
    <row r="1433" spans="1:45" x14ac:dyDescent="0.35">
      <c r="A1433" t="s">
        <v>45</v>
      </c>
      <c r="B1433" t="s">
        <v>3099</v>
      </c>
      <c r="C1433" t="s">
        <v>47</v>
      </c>
      <c r="D1433" t="s">
        <v>45</v>
      </c>
      <c r="E1433" t="s">
        <v>45</v>
      </c>
      <c r="F1433" t="s">
        <v>49</v>
      </c>
      <c r="G1433" t="s">
        <v>3203</v>
      </c>
      <c r="H1433" t="s">
        <v>3205</v>
      </c>
      <c r="J1433" t="str">
        <f>HYPERLINK("https://www.facebook.com/357267201017935_784845107007208","https://www.facebook.com/357267201017935_784845107007208")</f>
        <v>https://www.facebook.com/357267201017935_784845107007208</v>
      </c>
      <c r="O1433">
        <v>0</v>
      </c>
      <c r="P1433">
        <v>0</v>
      </c>
      <c r="Q1433">
        <v>0</v>
      </c>
      <c r="S1433">
        <v>21</v>
      </c>
      <c r="T1433">
        <v>154</v>
      </c>
      <c r="U1433">
        <v>13</v>
      </c>
      <c r="W1433" t="s">
        <v>106</v>
      </c>
    </row>
    <row r="1434" spans="1:45" x14ac:dyDescent="0.35">
      <c r="A1434" t="s">
        <v>45</v>
      </c>
      <c r="B1434" t="s">
        <v>3099</v>
      </c>
      <c r="C1434" t="s">
        <v>47</v>
      </c>
      <c r="D1434" t="s">
        <v>45</v>
      </c>
      <c r="E1434" t="s">
        <v>45</v>
      </c>
      <c r="F1434" t="s">
        <v>49</v>
      </c>
      <c r="G1434" t="s">
        <v>586</v>
      </c>
      <c r="H1434" t="s">
        <v>3206</v>
      </c>
      <c r="J1434" t="str">
        <f>HYPERLINK("https://www.facebook.com/357267201017935_786249360200116","https://www.facebook.com/357267201017935_786249360200116")</f>
        <v>https://www.facebook.com/357267201017935_786249360200116</v>
      </c>
      <c r="O1434">
        <v>0</v>
      </c>
      <c r="P1434">
        <v>0</v>
      </c>
      <c r="Q1434">
        <v>0</v>
      </c>
      <c r="S1434">
        <v>0</v>
      </c>
      <c r="T1434">
        <v>0</v>
      </c>
      <c r="U1434">
        <v>0</v>
      </c>
      <c r="W1434" t="s">
        <v>106</v>
      </c>
      <c r="AS1434" t="s">
        <v>115</v>
      </c>
    </row>
    <row r="1435" spans="1:45" x14ac:dyDescent="0.35">
      <c r="A1435" t="s">
        <v>45</v>
      </c>
      <c r="B1435" t="s">
        <v>3099</v>
      </c>
      <c r="C1435" t="s">
        <v>139</v>
      </c>
      <c r="D1435" t="s">
        <v>2884</v>
      </c>
      <c r="E1435" t="s">
        <v>2885</v>
      </c>
      <c r="F1435" t="s">
        <v>142</v>
      </c>
      <c r="G1435" t="s">
        <v>3207</v>
      </c>
      <c r="H1435" t="s">
        <v>3208</v>
      </c>
      <c r="J1435" t="str">
        <f>HYPERLINK("https://twitter.com/samdani45/status/1766905943894499417","https://twitter.com/samdani45/status/1766905943894499417")</f>
        <v>https://twitter.com/samdani45/status/1766905943894499417</v>
      </c>
      <c r="K1435" t="s">
        <v>145</v>
      </c>
      <c r="O1435">
        <v>0</v>
      </c>
      <c r="P1435">
        <v>0</v>
      </c>
      <c r="Q1435">
        <v>201</v>
      </c>
      <c r="R1435" t="s">
        <v>2888</v>
      </c>
      <c r="S1435">
        <v>0</v>
      </c>
      <c r="T1435">
        <v>0</v>
      </c>
      <c r="U1435">
        <v>0</v>
      </c>
      <c r="W1435" t="s">
        <v>146</v>
      </c>
      <c r="AS1435" t="s">
        <v>375</v>
      </c>
    </row>
    <row r="1436" spans="1:45" x14ac:dyDescent="0.35">
      <c r="A1436" t="s">
        <v>45</v>
      </c>
      <c r="B1436" t="s">
        <v>3209</v>
      </c>
      <c r="C1436" t="s">
        <v>139</v>
      </c>
      <c r="D1436" t="s">
        <v>2577</v>
      </c>
      <c r="E1436" t="s">
        <v>2578</v>
      </c>
      <c r="F1436" t="s">
        <v>142</v>
      </c>
      <c r="G1436" t="s">
        <v>2581</v>
      </c>
      <c r="H1436" t="s">
        <v>3210</v>
      </c>
      <c r="J1436" t="str">
        <f>HYPERLINK("https://twitter.com/VarshaTaragi/status/1766876300000567763","https://twitter.com/VarshaTaragi/status/1766876300000567763")</f>
        <v>https://twitter.com/VarshaTaragi/status/1766876300000567763</v>
      </c>
      <c r="K1436" t="s">
        <v>1769</v>
      </c>
      <c r="O1436">
        <v>0</v>
      </c>
      <c r="P1436">
        <v>0</v>
      </c>
      <c r="Q1436">
        <v>0</v>
      </c>
      <c r="S1436">
        <v>0</v>
      </c>
      <c r="T1436">
        <v>0</v>
      </c>
      <c r="U1436">
        <v>0</v>
      </c>
      <c r="W1436" t="s">
        <v>146</v>
      </c>
      <c r="AO1436" t="s">
        <v>67</v>
      </c>
    </row>
    <row r="1437" spans="1:45" x14ac:dyDescent="0.35">
      <c r="A1437" t="s">
        <v>45</v>
      </c>
      <c r="B1437" t="s">
        <v>3209</v>
      </c>
      <c r="C1437" t="s">
        <v>139</v>
      </c>
      <c r="D1437" t="s">
        <v>3211</v>
      </c>
      <c r="E1437" t="s">
        <v>994</v>
      </c>
      <c r="F1437" t="s">
        <v>142</v>
      </c>
      <c r="G1437" t="s">
        <v>3212</v>
      </c>
      <c r="H1437" t="s">
        <v>3213</v>
      </c>
      <c r="J1437" t="str">
        <f>HYPERLINK("https://twitter.com/sunilyadav9223/status/1766871907830477284","https://twitter.com/sunilyadav9223/status/1766871907830477284")</f>
        <v>https://twitter.com/sunilyadav9223/status/1766871907830477284</v>
      </c>
      <c r="K1437" t="s">
        <v>145</v>
      </c>
      <c r="O1437">
        <v>0</v>
      </c>
      <c r="P1437">
        <v>0</v>
      </c>
      <c r="Q1437">
        <v>1165</v>
      </c>
      <c r="R1437" t="s">
        <v>829</v>
      </c>
      <c r="S1437">
        <v>0</v>
      </c>
      <c r="T1437">
        <v>0</v>
      </c>
      <c r="U1437">
        <v>0</v>
      </c>
      <c r="W1437" t="s">
        <v>52</v>
      </c>
      <c r="AO1437" t="s">
        <v>119</v>
      </c>
      <c r="AP1437" t="s">
        <v>101</v>
      </c>
    </row>
    <row r="1438" spans="1:45" x14ac:dyDescent="0.35">
      <c r="A1438" t="s">
        <v>45</v>
      </c>
      <c r="B1438" t="s">
        <v>3209</v>
      </c>
      <c r="C1438" t="s">
        <v>102</v>
      </c>
      <c r="D1438" t="s">
        <v>3214</v>
      </c>
      <c r="E1438" t="s">
        <v>3214</v>
      </c>
      <c r="F1438" t="s">
        <v>49</v>
      </c>
      <c r="G1438" t="s">
        <v>1319</v>
      </c>
      <c r="H1438" t="s">
        <v>3215</v>
      </c>
      <c r="J1438" t="str">
        <f>HYPERLINK("https://www.linkedin.com/feed/update/urn:li:ugcPost:7172626278892593153","https://www.linkedin.com/feed/update/urn:li:ugcPost:7172626278892593153")</f>
        <v>https://www.linkedin.com/feed/update/urn:li:ugcPost:7172626278892593153</v>
      </c>
      <c r="O1438">
        <v>0</v>
      </c>
      <c r="P1438">
        <v>0</v>
      </c>
      <c r="Q1438">
        <v>0</v>
      </c>
      <c r="S1438">
        <v>0</v>
      </c>
      <c r="T1438">
        <v>0</v>
      </c>
      <c r="U1438">
        <v>0</v>
      </c>
      <c r="W1438" t="s">
        <v>106</v>
      </c>
    </row>
    <row r="1439" spans="1:45" x14ac:dyDescent="0.35">
      <c r="A1439" t="s">
        <v>45</v>
      </c>
      <c r="B1439" t="s">
        <v>3209</v>
      </c>
      <c r="C1439" t="s">
        <v>58</v>
      </c>
      <c r="D1439" t="s">
        <v>3216</v>
      </c>
      <c r="E1439" t="s">
        <v>3216</v>
      </c>
      <c r="F1439" t="s">
        <v>49</v>
      </c>
      <c r="G1439" t="s">
        <v>3217</v>
      </c>
      <c r="H1439" t="s">
        <v>3218</v>
      </c>
      <c r="J1439" t="str">
        <f>HYPERLINK("https://www.youtube.com/watch?v=goaSowRZM80","https://www.youtube.com/watch?v=goaSowRZM80")</f>
        <v>https://www.youtube.com/watch?v=goaSowRZM80</v>
      </c>
      <c r="O1439">
        <v>0</v>
      </c>
      <c r="P1439">
        <v>0</v>
      </c>
      <c r="Q1439">
        <v>0</v>
      </c>
      <c r="S1439">
        <v>0</v>
      </c>
      <c r="T1439">
        <v>0</v>
      </c>
      <c r="U1439">
        <v>0</v>
      </c>
      <c r="W1439" t="s">
        <v>106</v>
      </c>
      <c r="AO1439" t="s">
        <v>67</v>
      </c>
    </row>
    <row r="1440" spans="1:45" x14ac:dyDescent="0.35">
      <c r="A1440" t="s">
        <v>45</v>
      </c>
      <c r="B1440" t="s">
        <v>3209</v>
      </c>
      <c r="C1440" t="s">
        <v>58</v>
      </c>
      <c r="D1440" t="s">
        <v>3219</v>
      </c>
      <c r="E1440" t="s">
        <v>3219</v>
      </c>
      <c r="F1440" t="s">
        <v>49</v>
      </c>
      <c r="G1440" t="s">
        <v>3220</v>
      </c>
      <c r="H1440" t="s">
        <v>3221</v>
      </c>
      <c r="J1440" t="str">
        <f>HYPERLINK("https://www.youtube.com/watch?v=Ea16MuNEGu8","https://www.youtube.com/watch?v=Ea16MuNEGu8")</f>
        <v>https://www.youtube.com/watch?v=Ea16MuNEGu8</v>
      </c>
      <c r="O1440">
        <v>0</v>
      </c>
      <c r="P1440">
        <v>0</v>
      </c>
      <c r="Q1440">
        <v>0</v>
      </c>
      <c r="S1440">
        <v>0</v>
      </c>
      <c r="T1440">
        <v>0</v>
      </c>
      <c r="U1440">
        <v>0</v>
      </c>
      <c r="W1440" t="s">
        <v>106</v>
      </c>
    </row>
    <row r="1441" spans="1:45" x14ac:dyDescent="0.35">
      <c r="A1441" t="s">
        <v>45</v>
      </c>
      <c r="B1441" t="s">
        <v>3209</v>
      </c>
      <c r="C1441" t="s">
        <v>47</v>
      </c>
      <c r="D1441" t="s">
        <v>3222</v>
      </c>
      <c r="E1441" t="s">
        <v>3222</v>
      </c>
      <c r="F1441" t="s">
        <v>49</v>
      </c>
      <c r="G1441" t="s">
        <v>3223</v>
      </c>
      <c r="H1441" t="s">
        <v>3224</v>
      </c>
      <c r="J1441" t="str">
        <f>HYPERLINK("https://www.facebook.com/454965103328545/posts/782603903897995?comment_id=6851418158297001&amp;reply_comment_id=2711662862318904","https://www.facebook.com/454965103328545/posts/782603903897995?comment_id=6851418158297001&amp;reply_comment_id=2711662862318904")</f>
        <v>https://www.facebook.com/454965103328545/posts/782603903897995?comment_id=6851418158297001&amp;reply_comment_id=2711662862318904</v>
      </c>
      <c r="O1441">
        <v>0</v>
      </c>
      <c r="P1441">
        <v>0</v>
      </c>
      <c r="Q1441">
        <v>0</v>
      </c>
      <c r="S1441">
        <v>0</v>
      </c>
      <c r="T1441">
        <v>0</v>
      </c>
      <c r="U1441">
        <v>0</v>
      </c>
      <c r="W1441" t="s">
        <v>62</v>
      </c>
    </row>
    <row r="1442" spans="1:45" x14ac:dyDescent="0.35">
      <c r="A1442" t="s">
        <v>45</v>
      </c>
      <c r="B1442" t="s">
        <v>3209</v>
      </c>
      <c r="C1442" t="s">
        <v>47</v>
      </c>
      <c r="D1442" t="s">
        <v>3222</v>
      </c>
      <c r="E1442" t="s">
        <v>3222</v>
      </c>
      <c r="F1442" t="s">
        <v>49</v>
      </c>
      <c r="G1442" t="s">
        <v>3225</v>
      </c>
      <c r="H1442" t="s">
        <v>3226</v>
      </c>
      <c r="J1442" t="str">
        <f>HYPERLINK("https://www.facebook.com/454965103328545/posts/782605413897844?comment_id=908914894050835&amp;reply_comment_id=1871766039943738","https://www.facebook.com/454965103328545/posts/782605413897844?comment_id=908914894050835&amp;reply_comment_id=1871766039943738")</f>
        <v>https://www.facebook.com/454965103328545/posts/782605413897844?comment_id=908914894050835&amp;reply_comment_id=1871766039943738</v>
      </c>
      <c r="O1442">
        <v>0</v>
      </c>
      <c r="P1442">
        <v>0</v>
      </c>
      <c r="Q1442">
        <v>0</v>
      </c>
      <c r="S1442">
        <v>0</v>
      </c>
      <c r="T1442">
        <v>0</v>
      </c>
      <c r="U1442">
        <v>0</v>
      </c>
      <c r="W1442" t="s">
        <v>62</v>
      </c>
    </row>
    <row r="1443" spans="1:45" x14ac:dyDescent="0.35">
      <c r="A1443" t="s">
        <v>45</v>
      </c>
      <c r="B1443" t="s">
        <v>3209</v>
      </c>
      <c r="C1443" t="s">
        <v>47</v>
      </c>
      <c r="D1443" t="s">
        <v>3222</v>
      </c>
      <c r="E1443" t="s">
        <v>3222</v>
      </c>
      <c r="F1443" t="s">
        <v>49</v>
      </c>
      <c r="G1443" t="s">
        <v>3227</v>
      </c>
      <c r="H1443" t="s">
        <v>3228</v>
      </c>
      <c r="J1443" t="str">
        <f>HYPERLINK("https://www.facebook.com/454965103328545/posts/782605413897844?comment_id=350219541346536&amp;reply_comment_id=1224239138536638","https://www.facebook.com/454965103328545/posts/782605413897844?comment_id=350219541346536&amp;reply_comment_id=1224239138536638")</f>
        <v>https://www.facebook.com/454965103328545/posts/782605413897844?comment_id=350219541346536&amp;reply_comment_id=1224239138536638</v>
      </c>
      <c r="O1443">
        <v>0</v>
      </c>
      <c r="P1443">
        <v>0</v>
      </c>
      <c r="Q1443">
        <v>0</v>
      </c>
      <c r="S1443">
        <v>0</v>
      </c>
      <c r="T1443">
        <v>0</v>
      </c>
      <c r="U1443">
        <v>0</v>
      </c>
      <c r="W1443" t="s">
        <v>62</v>
      </c>
    </row>
    <row r="1444" spans="1:45" x14ac:dyDescent="0.35">
      <c r="A1444" t="s">
        <v>45</v>
      </c>
      <c r="B1444" t="s">
        <v>3209</v>
      </c>
      <c r="C1444" t="s">
        <v>47</v>
      </c>
      <c r="D1444" t="s">
        <v>3222</v>
      </c>
      <c r="E1444" t="s">
        <v>3222</v>
      </c>
      <c r="F1444" t="s">
        <v>49</v>
      </c>
      <c r="G1444" t="s">
        <v>3229</v>
      </c>
      <c r="H1444" t="s">
        <v>3230</v>
      </c>
      <c r="J1444" t="str">
        <f>HYPERLINK("https://www.facebook.com/454965103328545/posts/781248867366832?comment_id=417605017512596&amp;reply_comment_id=1109733840239023","https://www.facebook.com/454965103328545/posts/781248867366832?comment_id=417605017512596&amp;reply_comment_id=1109733840239023")</f>
        <v>https://www.facebook.com/454965103328545/posts/781248867366832?comment_id=417605017512596&amp;reply_comment_id=1109733840239023</v>
      </c>
      <c r="O1444">
        <v>0</v>
      </c>
      <c r="P1444">
        <v>0</v>
      </c>
      <c r="Q1444">
        <v>0</v>
      </c>
      <c r="S1444">
        <v>0</v>
      </c>
      <c r="T1444">
        <v>0</v>
      </c>
      <c r="U1444">
        <v>0</v>
      </c>
      <c r="W1444" t="s">
        <v>62</v>
      </c>
    </row>
    <row r="1445" spans="1:45" x14ac:dyDescent="0.35">
      <c r="A1445" t="s">
        <v>45</v>
      </c>
      <c r="B1445" t="s">
        <v>3209</v>
      </c>
      <c r="C1445" t="s">
        <v>47</v>
      </c>
      <c r="D1445" t="s">
        <v>3222</v>
      </c>
      <c r="E1445" t="s">
        <v>3222</v>
      </c>
      <c r="F1445" t="s">
        <v>49</v>
      </c>
      <c r="G1445" t="s">
        <v>3231</v>
      </c>
      <c r="H1445" t="s">
        <v>3232</v>
      </c>
      <c r="J1445" t="str">
        <f>HYPERLINK("https://www.facebook.com/454965103328545/posts/784345853723800?comment_id=3674382019514098&amp;reply_comment_id=426147769795222","https://www.facebook.com/454965103328545/posts/784345853723800?comment_id=3674382019514098&amp;reply_comment_id=426147769795222")</f>
        <v>https://www.facebook.com/454965103328545/posts/784345853723800?comment_id=3674382019514098&amp;reply_comment_id=426147769795222</v>
      </c>
      <c r="O1445">
        <v>0</v>
      </c>
      <c r="P1445">
        <v>0</v>
      </c>
      <c r="Q1445">
        <v>0</v>
      </c>
      <c r="S1445">
        <v>0</v>
      </c>
      <c r="T1445">
        <v>0</v>
      </c>
      <c r="U1445">
        <v>0</v>
      </c>
      <c r="W1445" t="s">
        <v>62</v>
      </c>
    </row>
    <row r="1446" spans="1:45" x14ac:dyDescent="0.35">
      <c r="A1446" t="s">
        <v>45</v>
      </c>
      <c r="B1446" t="s">
        <v>3209</v>
      </c>
      <c r="C1446" t="s">
        <v>47</v>
      </c>
      <c r="D1446" t="s">
        <v>3222</v>
      </c>
      <c r="E1446" t="s">
        <v>3222</v>
      </c>
      <c r="F1446" t="s">
        <v>49</v>
      </c>
      <c r="G1446" t="s">
        <v>3233</v>
      </c>
      <c r="H1446" t="s">
        <v>3234</v>
      </c>
      <c r="J1446" t="str">
        <f>HYPERLINK("https://www.facebook.com/454965103328545/posts/784345853723800?comment_id=267931556254857&amp;reply_comment_id=1120531396053928","https://www.facebook.com/454965103328545/posts/784345853723800?comment_id=267931556254857&amp;reply_comment_id=1120531396053928")</f>
        <v>https://www.facebook.com/454965103328545/posts/784345853723800?comment_id=267931556254857&amp;reply_comment_id=1120531396053928</v>
      </c>
      <c r="O1446">
        <v>0</v>
      </c>
      <c r="P1446">
        <v>0</v>
      </c>
      <c r="Q1446">
        <v>0</v>
      </c>
      <c r="S1446">
        <v>0</v>
      </c>
      <c r="T1446">
        <v>0</v>
      </c>
      <c r="U1446">
        <v>0</v>
      </c>
      <c r="W1446" t="s">
        <v>62</v>
      </c>
    </row>
    <row r="1447" spans="1:45" x14ac:dyDescent="0.35">
      <c r="A1447" t="s">
        <v>45</v>
      </c>
      <c r="B1447" t="s">
        <v>3209</v>
      </c>
      <c r="C1447" t="s">
        <v>47</v>
      </c>
      <c r="D1447" t="s">
        <v>3222</v>
      </c>
      <c r="E1447" t="s">
        <v>3222</v>
      </c>
      <c r="F1447" t="s">
        <v>49</v>
      </c>
      <c r="G1447" t="s">
        <v>3235</v>
      </c>
      <c r="H1447" t="s">
        <v>3236</v>
      </c>
      <c r="J1447" t="str">
        <f>HYPERLINK("https://www.facebook.com/454965103328545/posts/784345853723800?comment_id=278477512008931&amp;reply_comment_id=2693739324118233","https://www.facebook.com/454965103328545/posts/784345853723800?comment_id=278477512008931&amp;reply_comment_id=2693739324118233")</f>
        <v>https://www.facebook.com/454965103328545/posts/784345853723800?comment_id=278477512008931&amp;reply_comment_id=2693739324118233</v>
      </c>
      <c r="O1447">
        <v>0</v>
      </c>
      <c r="P1447">
        <v>0</v>
      </c>
      <c r="Q1447">
        <v>0</v>
      </c>
      <c r="S1447">
        <v>0</v>
      </c>
      <c r="T1447">
        <v>0</v>
      </c>
      <c r="U1447">
        <v>0</v>
      </c>
      <c r="W1447" t="s">
        <v>62</v>
      </c>
    </row>
    <row r="1448" spans="1:45" x14ac:dyDescent="0.35">
      <c r="A1448" t="s">
        <v>45</v>
      </c>
      <c r="B1448" t="s">
        <v>3209</v>
      </c>
      <c r="C1448" t="s">
        <v>58</v>
      </c>
      <c r="D1448" t="s">
        <v>3237</v>
      </c>
      <c r="E1448" t="s">
        <v>3237</v>
      </c>
      <c r="F1448" t="s">
        <v>49</v>
      </c>
      <c r="G1448" t="s">
        <v>3238</v>
      </c>
      <c r="H1448" t="s">
        <v>3239</v>
      </c>
      <c r="J1448" t="str">
        <f>HYPERLINK("https://www.youtube.com/watch?v=ULw_yd6X2i4","https://www.youtube.com/watch?v=ULw_yd6X2i4")</f>
        <v>https://www.youtube.com/watch?v=ULw_yd6X2i4</v>
      </c>
      <c r="O1448">
        <v>0</v>
      </c>
      <c r="P1448">
        <v>0</v>
      </c>
      <c r="Q1448">
        <v>0</v>
      </c>
      <c r="S1448">
        <v>0</v>
      </c>
      <c r="T1448">
        <v>0</v>
      </c>
      <c r="U1448">
        <v>0</v>
      </c>
      <c r="W1448" t="s">
        <v>106</v>
      </c>
    </row>
    <row r="1449" spans="1:45" x14ac:dyDescent="0.35">
      <c r="A1449" t="s">
        <v>45</v>
      </c>
      <c r="B1449" t="s">
        <v>3209</v>
      </c>
      <c r="C1449" t="s">
        <v>58</v>
      </c>
      <c r="D1449" t="s">
        <v>3240</v>
      </c>
      <c r="E1449" t="s">
        <v>3240</v>
      </c>
      <c r="F1449" t="s">
        <v>49</v>
      </c>
      <c r="G1449" t="s">
        <v>3241</v>
      </c>
      <c r="H1449" t="s">
        <v>3242</v>
      </c>
      <c r="J1449" t="str">
        <f>HYPERLINK("https://www.youtube.com/watch?v=T4OwzZxWn_I","https://www.youtube.com/watch?v=T4OwzZxWn_I")</f>
        <v>https://www.youtube.com/watch?v=T4OwzZxWn_I</v>
      </c>
      <c r="O1449">
        <v>0</v>
      </c>
      <c r="P1449">
        <v>0</v>
      </c>
      <c r="Q1449">
        <v>0</v>
      </c>
      <c r="S1449">
        <v>0</v>
      </c>
      <c r="T1449">
        <v>0</v>
      </c>
      <c r="U1449">
        <v>0</v>
      </c>
      <c r="W1449" t="s">
        <v>106</v>
      </c>
    </row>
    <row r="1450" spans="1:45" x14ac:dyDescent="0.35">
      <c r="A1450" t="s">
        <v>45</v>
      </c>
      <c r="B1450" t="s">
        <v>3209</v>
      </c>
      <c r="C1450" t="s">
        <v>139</v>
      </c>
      <c r="D1450" t="s">
        <v>2902</v>
      </c>
      <c r="E1450" t="s">
        <v>2903</v>
      </c>
      <c r="F1450" t="s">
        <v>142</v>
      </c>
      <c r="G1450" t="s">
        <v>3243</v>
      </c>
      <c r="H1450" t="s">
        <v>3244</v>
      </c>
      <c r="J1450" t="str">
        <f>HYPERLINK("https://twitter.com/Biragbhan_Aheer/status/1766776193959776360","https://twitter.com/Biragbhan_Aheer/status/1766776193959776360")</f>
        <v>https://twitter.com/Biragbhan_Aheer/status/1766776193959776360</v>
      </c>
      <c r="O1450">
        <v>0</v>
      </c>
      <c r="P1450">
        <v>0</v>
      </c>
      <c r="Q1450">
        <v>3026</v>
      </c>
      <c r="R1450" t="s">
        <v>582</v>
      </c>
      <c r="S1450">
        <v>0</v>
      </c>
      <c r="T1450">
        <v>0</v>
      </c>
      <c r="U1450">
        <v>0</v>
      </c>
      <c r="W1450" t="s">
        <v>52</v>
      </c>
      <c r="AP1450" t="s">
        <v>147</v>
      </c>
      <c r="AS1450" t="s">
        <v>375</v>
      </c>
    </row>
    <row r="1451" spans="1:45" x14ac:dyDescent="0.35">
      <c r="A1451" t="s">
        <v>45</v>
      </c>
      <c r="B1451" t="s">
        <v>3209</v>
      </c>
      <c r="C1451" t="s">
        <v>139</v>
      </c>
      <c r="D1451" t="s">
        <v>2902</v>
      </c>
      <c r="E1451" t="s">
        <v>2903</v>
      </c>
      <c r="F1451" t="s">
        <v>49</v>
      </c>
      <c r="G1451" t="s">
        <v>3245</v>
      </c>
      <c r="H1451" t="s">
        <v>3246</v>
      </c>
      <c r="J1451" t="str">
        <f>HYPERLINK("https://twitter.com/Biragbhan_Aheer/status/1766776063382712508","https://twitter.com/Biragbhan_Aheer/status/1766776063382712508")</f>
        <v>https://twitter.com/Biragbhan_Aheer/status/1766776063382712508</v>
      </c>
      <c r="O1451">
        <v>0</v>
      </c>
      <c r="P1451">
        <v>0</v>
      </c>
      <c r="Q1451">
        <v>3026</v>
      </c>
      <c r="R1451" t="s">
        <v>582</v>
      </c>
      <c r="S1451">
        <v>0</v>
      </c>
      <c r="T1451">
        <v>0</v>
      </c>
      <c r="U1451">
        <v>0</v>
      </c>
      <c r="W1451" t="s">
        <v>52</v>
      </c>
      <c r="AS1451" t="s">
        <v>375</v>
      </c>
    </row>
    <row r="1452" spans="1:45" x14ac:dyDescent="0.35">
      <c r="A1452" t="s">
        <v>45</v>
      </c>
      <c r="B1452" t="s">
        <v>3209</v>
      </c>
      <c r="C1452" t="s">
        <v>139</v>
      </c>
      <c r="D1452" t="s">
        <v>3247</v>
      </c>
      <c r="E1452" t="s">
        <v>3248</v>
      </c>
      <c r="F1452" t="s">
        <v>49</v>
      </c>
      <c r="G1452" t="s">
        <v>3249</v>
      </c>
      <c r="H1452" t="s">
        <v>3250</v>
      </c>
      <c r="J1452" t="str">
        <f>HYPERLINK("https://twitter.com/parthshah178/status/1766764901719224456","https://twitter.com/parthshah178/status/1766764901719224456")</f>
        <v>https://twitter.com/parthshah178/status/1766764901719224456</v>
      </c>
      <c r="K1452" t="s">
        <v>145</v>
      </c>
      <c r="O1452">
        <v>0</v>
      </c>
      <c r="P1452">
        <v>0</v>
      </c>
      <c r="Q1452">
        <v>782</v>
      </c>
      <c r="R1452" t="s">
        <v>1247</v>
      </c>
      <c r="S1452">
        <v>0</v>
      </c>
      <c r="T1452">
        <v>0</v>
      </c>
      <c r="U1452">
        <v>0</v>
      </c>
      <c r="W1452" t="s">
        <v>146</v>
      </c>
    </row>
    <row r="1453" spans="1:45" x14ac:dyDescent="0.35">
      <c r="A1453" t="s">
        <v>45</v>
      </c>
      <c r="B1453" t="s">
        <v>3209</v>
      </c>
      <c r="C1453" t="s">
        <v>139</v>
      </c>
      <c r="D1453" t="s">
        <v>3251</v>
      </c>
      <c r="E1453" t="s">
        <v>3252</v>
      </c>
      <c r="F1453" t="s">
        <v>142</v>
      </c>
      <c r="G1453" t="s">
        <v>3253</v>
      </c>
      <c r="H1453" t="s">
        <v>3254</v>
      </c>
      <c r="J1453" t="str">
        <f>HYPERLINK("https://twitter.com/VISHUJAIZS/status/1766759127928500631","https://twitter.com/VISHUJAIZS/status/1766759127928500631")</f>
        <v>https://twitter.com/VISHUJAIZS/status/1766759127928500631</v>
      </c>
      <c r="K1453" t="s">
        <v>145</v>
      </c>
      <c r="O1453">
        <v>0</v>
      </c>
      <c r="P1453">
        <v>0</v>
      </c>
      <c r="Q1453">
        <v>42</v>
      </c>
      <c r="R1453" t="s">
        <v>3255</v>
      </c>
      <c r="S1453">
        <v>0</v>
      </c>
      <c r="T1453">
        <v>0</v>
      </c>
      <c r="U1453">
        <v>0</v>
      </c>
      <c r="W1453" t="s">
        <v>146</v>
      </c>
      <c r="AP1453" t="s">
        <v>147</v>
      </c>
      <c r="AS1453" t="s">
        <v>375</v>
      </c>
    </row>
    <row r="1454" spans="1:45" x14ac:dyDescent="0.35">
      <c r="A1454" t="s">
        <v>45</v>
      </c>
      <c r="B1454" t="s">
        <v>3209</v>
      </c>
      <c r="C1454" t="s">
        <v>58</v>
      </c>
      <c r="D1454" t="s">
        <v>3256</v>
      </c>
      <c r="E1454" t="s">
        <v>3256</v>
      </c>
      <c r="F1454" t="s">
        <v>49</v>
      </c>
      <c r="G1454" t="s">
        <v>3257</v>
      </c>
      <c r="H1454" t="s">
        <v>3258</v>
      </c>
      <c r="J1454" t="str">
        <f>HYPERLINK("https://www.youtube.com/watch?v=B3pRjj6zddg","https://www.youtube.com/watch?v=B3pRjj6zddg")</f>
        <v>https://www.youtube.com/watch?v=B3pRjj6zddg</v>
      </c>
      <c r="O1454">
        <v>0</v>
      </c>
      <c r="P1454">
        <v>0</v>
      </c>
      <c r="Q1454">
        <v>0</v>
      </c>
      <c r="S1454">
        <v>0</v>
      </c>
      <c r="T1454">
        <v>0</v>
      </c>
      <c r="U1454">
        <v>0</v>
      </c>
      <c r="W1454" t="s">
        <v>106</v>
      </c>
    </row>
    <row r="1455" spans="1:45" x14ac:dyDescent="0.35">
      <c r="A1455" t="s">
        <v>45</v>
      </c>
      <c r="B1455" t="s">
        <v>3209</v>
      </c>
      <c r="C1455" t="s">
        <v>58</v>
      </c>
      <c r="D1455" t="s">
        <v>3259</v>
      </c>
      <c r="E1455" t="s">
        <v>3259</v>
      </c>
      <c r="F1455" t="s">
        <v>49</v>
      </c>
      <c r="G1455" t="s">
        <v>3260</v>
      </c>
      <c r="H1455" t="s">
        <v>3261</v>
      </c>
      <c r="J1455" t="str">
        <f>HYPERLINK("https://www.youtube.com/watch?v=k4mmN1sVA4Q","https://www.youtube.com/watch?v=k4mmN1sVA4Q")</f>
        <v>https://www.youtube.com/watch?v=k4mmN1sVA4Q</v>
      </c>
      <c r="O1455">
        <v>0</v>
      </c>
      <c r="P1455">
        <v>0</v>
      </c>
      <c r="Q1455">
        <v>0</v>
      </c>
      <c r="S1455">
        <v>0</v>
      </c>
      <c r="T1455">
        <v>0</v>
      </c>
      <c r="U1455">
        <v>0</v>
      </c>
      <c r="W1455" t="s">
        <v>106</v>
      </c>
      <c r="AP1455" t="s">
        <v>101</v>
      </c>
    </row>
    <row r="1456" spans="1:45" x14ac:dyDescent="0.35">
      <c r="A1456" t="s">
        <v>45</v>
      </c>
      <c r="B1456" t="s">
        <v>3209</v>
      </c>
      <c r="C1456" t="s">
        <v>47</v>
      </c>
      <c r="D1456" t="s">
        <v>3262</v>
      </c>
      <c r="E1456" t="s">
        <v>3262</v>
      </c>
      <c r="F1456" t="s">
        <v>49</v>
      </c>
      <c r="G1456" t="s">
        <v>3263</v>
      </c>
      <c r="H1456" t="s">
        <v>3264</v>
      </c>
      <c r="J1456" t="str">
        <f>HYPERLINK("https://www.facebook.com/357267201017935/posts/3069910089753619/?comment_id=1407552079895861","https://www.facebook.com/357267201017935/posts/3069910089753619/?comment_id=1407552079895861")</f>
        <v>https://www.facebook.com/357267201017935/posts/3069910089753619/?comment_id=1407552079895861</v>
      </c>
      <c r="O1456">
        <v>0</v>
      </c>
      <c r="P1456">
        <v>0</v>
      </c>
      <c r="Q1456">
        <v>0</v>
      </c>
      <c r="S1456">
        <v>0</v>
      </c>
      <c r="T1456">
        <v>0</v>
      </c>
      <c r="U1456">
        <v>0</v>
      </c>
      <c r="W1456" t="s">
        <v>62</v>
      </c>
      <c r="AO1456" t="s">
        <v>119</v>
      </c>
      <c r="AS1456" t="s">
        <v>375</v>
      </c>
    </row>
    <row r="1457" spans="1:45" x14ac:dyDescent="0.35">
      <c r="A1457" t="s">
        <v>45</v>
      </c>
      <c r="B1457" t="s">
        <v>3209</v>
      </c>
      <c r="C1457" t="s">
        <v>47</v>
      </c>
      <c r="D1457" t="s">
        <v>3262</v>
      </c>
      <c r="E1457" t="s">
        <v>3262</v>
      </c>
      <c r="F1457" t="s">
        <v>49</v>
      </c>
      <c r="G1457" t="s">
        <v>3265</v>
      </c>
      <c r="H1457" t="s">
        <v>3266</v>
      </c>
      <c r="J1457" t="str">
        <f>HYPERLINK("https://www.facebook.com/357267201017935/posts/3069910089753619/?comment_id=3349117825378321","https://www.facebook.com/357267201017935/posts/3069910089753619/?comment_id=3349117825378321")</f>
        <v>https://www.facebook.com/357267201017935/posts/3069910089753619/?comment_id=3349117825378321</v>
      </c>
      <c r="O1457">
        <v>0</v>
      </c>
      <c r="P1457">
        <v>0</v>
      </c>
      <c r="Q1457">
        <v>0</v>
      </c>
      <c r="S1457">
        <v>0</v>
      </c>
      <c r="T1457">
        <v>0</v>
      </c>
      <c r="U1457">
        <v>0</v>
      </c>
      <c r="W1457" t="s">
        <v>62</v>
      </c>
      <c r="AS1457" t="s">
        <v>375</v>
      </c>
    </row>
    <row r="1458" spans="1:45" x14ac:dyDescent="0.35">
      <c r="A1458" t="s">
        <v>45</v>
      </c>
      <c r="B1458" t="s">
        <v>3209</v>
      </c>
      <c r="C1458" t="s">
        <v>47</v>
      </c>
      <c r="D1458" t="s">
        <v>3267</v>
      </c>
      <c r="E1458" t="s">
        <v>3267</v>
      </c>
      <c r="F1458" t="s">
        <v>49</v>
      </c>
      <c r="G1458" t="s">
        <v>3268</v>
      </c>
      <c r="H1458" t="s">
        <v>3269</v>
      </c>
      <c r="J1458" t="str">
        <f>HYPERLINK("https://www.facebook.com/357267201017935/inbox/7140577936020127/","https://www.facebook.com/357267201017935/inbox/7140577936020127/")</f>
        <v>https://www.facebook.com/357267201017935/inbox/7140577936020127/</v>
      </c>
      <c r="O1458">
        <v>0</v>
      </c>
      <c r="P1458">
        <v>0</v>
      </c>
      <c r="Q1458">
        <v>0</v>
      </c>
      <c r="S1458">
        <v>0</v>
      </c>
      <c r="T1458">
        <v>0</v>
      </c>
      <c r="U1458">
        <v>0</v>
      </c>
      <c r="W1458" t="s">
        <v>52</v>
      </c>
      <c r="AS1458" t="s">
        <v>375</v>
      </c>
    </row>
    <row r="1459" spans="1:45" x14ac:dyDescent="0.35">
      <c r="A1459" t="s">
        <v>45</v>
      </c>
      <c r="B1459" t="s">
        <v>3209</v>
      </c>
      <c r="C1459" t="s">
        <v>63</v>
      </c>
      <c r="D1459" t="s">
        <v>3270</v>
      </c>
      <c r="E1459" t="s">
        <v>3270</v>
      </c>
      <c r="F1459" t="s">
        <v>142</v>
      </c>
      <c r="G1459" t="s">
        <v>3271</v>
      </c>
      <c r="H1459" t="s">
        <v>3272</v>
      </c>
      <c r="J1459" t="str">
        <f>HYPERLINK("https://www.instagram.com/p/C4PPzsYN5dB/","https://www.instagram.com/p/C4PPzsYN5dB/")</f>
        <v>https://www.instagram.com/p/C4PPzsYN5dB/</v>
      </c>
      <c r="O1459">
        <v>0</v>
      </c>
      <c r="P1459">
        <v>0</v>
      </c>
      <c r="Q1459">
        <v>0</v>
      </c>
      <c r="S1459">
        <v>0</v>
      </c>
      <c r="T1459">
        <v>0</v>
      </c>
      <c r="U1459">
        <v>0</v>
      </c>
      <c r="W1459" t="s">
        <v>62</v>
      </c>
    </row>
    <row r="1460" spans="1:45" x14ac:dyDescent="0.35">
      <c r="A1460" t="s">
        <v>45</v>
      </c>
      <c r="B1460" t="s">
        <v>3209</v>
      </c>
      <c r="C1460" t="s">
        <v>63</v>
      </c>
      <c r="D1460" t="s">
        <v>3270</v>
      </c>
      <c r="E1460" t="s">
        <v>3270</v>
      </c>
      <c r="F1460" t="s">
        <v>142</v>
      </c>
      <c r="G1460" t="s">
        <v>3273</v>
      </c>
      <c r="H1460" t="s">
        <v>3274</v>
      </c>
      <c r="J1460" t="str">
        <f>HYPERLINK("https://www.instagram.com/p/C4UhnlaStB9/","https://www.instagram.com/p/C4UhnlaStB9/")</f>
        <v>https://www.instagram.com/p/C4UhnlaStB9/</v>
      </c>
      <c r="O1460">
        <v>0</v>
      </c>
      <c r="P1460">
        <v>0</v>
      </c>
      <c r="Q1460">
        <v>0</v>
      </c>
      <c r="S1460">
        <v>0</v>
      </c>
      <c r="T1460">
        <v>0</v>
      </c>
      <c r="U1460">
        <v>0</v>
      </c>
      <c r="W1460" t="s">
        <v>106</v>
      </c>
    </row>
    <row r="1461" spans="1:45" x14ac:dyDescent="0.35">
      <c r="A1461" t="s">
        <v>45</v>
      </c>
      <c r="B1461" t="s">
        <v>3209</v>
      </c>
      <c r="C1461" t="s">
        <v>47</v>
      </c>
      <c r="D1461" t="s">
        <v>2927</v>
      </c>
      <c r="E1461" t="s">
        <v>2927</v>
      </c>
      <c r="F1461" t="s">
        <v>49</v>
      </c>
      <c r="G1461" t="s">
        <v>3275</v>
      </c>
      <c r="H1461" t="s">
        <v>3276</v>
      </c>
      <c r="J1461" t="str">
        <f>HYPERLINK("https://www.facebook.com/357267201017935/inbox/7140275022717085/","https://www.facebook.com/357267201017935/inbox/7140275022717085/")</f>
        <v>https://www.facebook.com/357267201017935/inbox/7140275022717085/</v>
      </c>
      <c r="O1461">
        <v>0</v>
      </c>
      <c r="P1461">
        <v>0</v>
      </c>
      <c r="Q1461">
        <v>0</v>
      </c>
      <c r="S1461">
        <v>0</v>
      </c>
      <c r="T1461">
        <v>0</v>
      </c>
      <c r="U1461">
        <v>0</v>
      </c>
      <c r="W1461" t="s">
        <v>52</v>
      </c>
      <c r="AS1461" t="s">
        <v>375</v>
      </c>
    </row>
    <row r="1462" spans="1:45" x14ac:dyDescent="0.35">
      <c r="A1462" t="s">
        <v>45</v>
      </c>
      <c r="B1462" t="s">
        <v>3209</v>
      </c>
      <c r="C1462" t="s">
        <v>58</v>
      </c>
      <c r="D1462" t="s">
        <v>3277</v>
      </c>
      <c r="E1462" t="s">
        <v>3277</v>
      </c>
      <c r="F1462" t="s">
        <v>49</v>
      </c>
      <c r="G1462" t="s">
        <v>3278</v>
      </c>
      <c r="H1462" t="s">
        <v>3279</v>
      </c>
      <c r="J1462" t="str">
        <f>HYPERLINK("https://www.youtube.com/watch?v=nNTi7GPdTsw&amp;lc=UgyOOKR-h6D3daD_23F4AaABAg","https://www.youtube.com/watch?v=nNTi7GPdTsw&amp;lc=UgyOOKR-h6D3daD_23F4AaABAg")</f>
        <v>https://www.youtube.com/watch?v=nNTi7GPdTsw&amp;lc=UgyOOKR-h6D3daD_23F4AaABAg</v>
      </c>
      <c r="O1462">
        <v>0</v>
      </c>
      <c r="P1462">
        <v>0</v>
      </c>
      <c r="Q1462">
        <v>0</v>
      </c>
      <c r="S1462">
        <v>0</v>
      </c>
      <c r="T1462">
        <v>0</v>
      </c>
      <c r="U1462">
        <v>0</v>
      </c>
      <c r="W1462" t="s">
        <v>62</v>
      </c>
      <c r="AS1462" t="s">
        <v>375</v>
      </c>
    </row>
    <row r="1463" spans="1:45" x14ac:dyDescent="0.35">
      <c r="A1463" t="s">
        <v>45</v>
      </c>
      <c r="B1463" t="s">
        <v>3209</v>
      </c>
      <c r="C1463" t="s">
        <v>58</v>
      </c>
      <c r="D1463" t="s">
        <v>3277</v>
      </c>
      <c r="E1463" t="s">
        <v>3277</v>
      </c>
      <c r="F1463" t="s">
        <v>49</v>
      </c>
      <c r="G1463" t="s">
        <v>3280</v>
      </c>
      <c r="H1463" t="s">
        <v>3281</v>
      </c>
      <c r="J1463" t="str">
        <f>HYPERLINK("https://www.youtube.com/watch?v=nNTi7GPdTsw&amp;lc=UgyIqNhpjkdpAPzFn6J4AaABAg","https://www.youtube.com/watch?v=nNTi7GPdTsw&amp;lc=UgyIqNhpjkdpAPzFn6J4AaABAg")</f>
        <v>https://www.youtube.com/watch?v=nNTi7GPdTsw&amp;lc=UgyIqNhpjkdpAPzFn6J4AaABAg</v>
      </c>
      <c r="O1463">
        <v>0</v>
      </c>
      <c r="P1463">
        <v>0</v>
      </c>
      <c r="Q1463">
        <v>0</v>
      </c>
      <c r="S1463">
        <v>0</v>
      </c>
      <c r="T1463">
        <v>0</v>
      </c>
      <c r="U1463">
        <v>0</v>
      </c>
      <c r="W1463" t="s">
        <v>62</v>
      </c>
    </row>
    <row r="1464" spans="1:45" x14ac:dyDescent="0.35">
      <c r="A1464" t="s">
        <v>45</v>
      </c>
      <c r="B1464" t="s">
        <v>3209</v>
      </c>
      <c r="C1464" t="s">
        <v>58</v>
      </c>
      <c r="D1464" t="s">
        <v>3282</v>
      </c>
      <c r="E1464" t="s">
        <v>3282</v>
      </c>
      <c r="F1464" t="s">
        <v>49</v>
      </c>
      <c r="G1464" t="s">
        <v>3283</v>
      </c>
      <c r="H1464" t="s">
        <v>3284</v>
      </c>
      <c r="J1464" t="str">
        <f>HYPERLINK("https://www.youtube.com/watch?v=kED_Jdl3r5U&amp;lc=UgwNz_BpVTwpmn1TEMx4AaABAg","https://www.youtube.com/watch?v=kED_Jdl3r5U&amp;lc=UgwNz_BpVTwpmn1TEMx4AaABAg")</f>
        <v>https://www.youtube.com/watch?v=kED_Jdl3r5U&amp;lc=UgwNz_BpVTwpmn1TEMx4AaABAg</v>
      </c>
      <c r="O1464">
        <v>0</v>
      </c>
      <c r="P1464">
        <v>0</v>
      </c>
      <c r="Q1464">
        <v>0</v>
      </c>
      <c r="S1464">
        <v>0</v>
      </c>
      <c r="T1464">
        <v>0</v>
      </c>
      <c r="U1464">
        <v>0</v>
      </c>
      <c r="W1464" t="s">
        <v>62</v>
      </c>
    </row>
    <row r="1465" spans="1:45" x14ac:dyDescent="0.35">
      <c r="A1465" t="s">
        <v>45</v>
      </c>
      <c r="B1465" t="s">
        <v>3209</v>
      </c>
      <c r="C1465" t="s">
        <v>139</v>
      </c>
      <c r="D1465" t="s">
        <v>190</v>
      </c>
      <c r="E1465" t="s">
        <v>45</v>
      </c>
      <c r="F1465" t="s">
        <v>49</v>
      </c>
      <c r="G1465" t="s">
        <v>3285</v>
      </c>
      <c r="H1465" t="s">
        <v>3286</v>
      </c>
      <c r="J1465" t="str">
        <f>HYPERLINK("https://twitter.com/FinoPaymntsBank/status/1766652697657147809","https://twitter.com/FinoPaymntsBank/status/1766652697657147809")</f>
        <v>https://twitter.com/FinoPaymntsBank/status/1766652697657147809</v>
      </c>
      <c r="K1465" t="s">
        <v>145</v>
      </c>
      <c r="O1465">
        <v>0</v>
      </c>
      <c r="P1465">
        <v>0</v>
      </c>
      <c r="Q1465">
        <v>8430</v>
      </c>
      <c r="R1465" t="s">
        <v>193</v>
      </c>
      <c r="S1465">
        <v>0</v>
      </c>
      <c r="T1465">
        <v>0</v>
      </c>
      <c r="U1465">
        <v>0</v>
      </c>
      <c r="W1465" t="s">
        <v>146</v>
      </c>
    </row>
    <row r="1466" spans="1:45" x14ac:dyDescent="0.35">
      <c r="A1466" t="s">
        <v>45</v>
      </c>
      <c r="B1466" t="s">
        <v>3209</v>
      </c>
      <c r="C1466" t="s">
        <v>102</v>
      </c>
      <c r="D1466" t="s">
        <v>965</v>
      </c>
      <c r="E1466" t="s">
        <v>965</v>
      </c>
      <c r="F1466" t="s">
        <v>49</v>
      </c>
      <c r="G1466" t="s">
        <v>3287</v>
      </c>
      <c r="H1466" t="s">
        <v>3288</v>
      </c>
      <c r="J1466" t="str">
        <f>HYPERLINK("https://www.linkedin.com/feed/update/urn:li:share:7172417347293581312","https://www.linkedin.com/feed/update/urn:li:share:7172417347293581312")</f>
        <v>https://www.linkedin.com/feed/update/urn:li:share:7172417347293581312</v>
      </c>
      <c r="O1466">
        <v>0</v>
      </c>
      <c r="P1466">
        <v>0</v>
      </c>
      <c r="Q1466">
        <v>0</v>
      </c>
      <c r="S1466">
        <v>0</v>
      </c>
      <c r="T1466">
        <v>73</v>
      </c>
      <c r="U1466">
        <v>0</v>
      </c>
      <c r="W1466" t="s">
        <v>106</v>
      </c>
    </row>
    <row r="1467" spans="1:45" x14ac:dyDescent="0.35">
      <c r="A1467" t="s">
        <v>45</v>
      </c>
      <c r="B1467" t="s">
        <v>3289</v>
      </c>
      <c r="C1467" t="s">
        <v>58</v>
      </c>
      <c r="D1467" t="s">
        <v>752</v>
      </c>
      <c r="E1467" t="s">
        <v>752</v>
      </c>
      <c r="F1467" t="s">
        <v>142</v>
      </c>
      <c r="G1467" t="s">
        <v>3290</v>
      </c>
      <c r="H1467" t="s">
        <v>3291</v>
      </c>
      <c r="J1467" t="str">
        <f>HYPERLINK("https://www.youtube.com/watch?v=NjbH8lv8rXA","https://www.youtube.com/watch?v=NjbH8lv8rXA")</f>
        <v>https://www.youtube.com/watch?v=NjbH8lv8rXA</v>
      </c>
      <c r="O1467">
        <v>0</v>
      </c>
      <c r="P1467">
        <v>0</v>
      </c>
      <c r="Q1467">
        <v>0</v>
      </c>
      <c r="S1467">
        <v>0</v>
      </c>
      <c r="T1467">
        <v>0</v>
      </c>
      <c r="U1467">
        <v>0</v>
      </c>
      <c r="W1467" t="s">
        <v>106</v>
      </c>
      <c r="AP1467" t="s">
        <v>147</v>
      </c>
    </row>
    <row r="1468" spans="1:45" x14ac:dyDescent="0.35">
      <c r="A1468" t="s">
        <v>45</v>
      </c>
      <c r="B1468" t="s">
        <v>3289</v>
      </c>
      <c r="C1468" t="s">
        <v>47</v>
      </c>
      <c r="D1468" t="s">
        <v>168</v>
      </c>
      <c r="E1468" t="s">
        <v>168</v>
      </c>
      <c r="F1468" t="s">
        <v>49</v>
      </c>
      <c r="G1468" t="s">
        <v>3292</v>
      </c>
      <c r="H1468" t="s">
        <v>3293</v>
      </c>
      <c r="J1468" t="str">
        <f>HYPERLINK("https://www.facebook.com/454965103328545/posts/784345853723800?comment_id=278477512008931","https://www.facebook.com/454965103328545/posts/784345853723800?comment_id=278477512008931")</f>
        <v>https://www.facebook.com/454965103328545/posts/784345853723800?comment_id=278477512008931</v>
      </c>
      <c r="O1468">
        <v>0</v>
      </c>
      <c r="P1468">
        <v>0</v>
      </c>
      <c r="Q1468">
        <v>0</v>
      </c>
      <c r="S1468">
        <v>0</v>
      </c>
      <c r="T1468">
        <v>0</v>
      </c>
      <c r="U1468">
        <v>0</v>
      </c>
      <c r="W1468" t="s">
        <v>62</v>
      </c>
    </row>
    <row r="1469" spans="1:45" x14ac:dyDescent="0.35">
      <c r="A1469" t="s">
        <v>45</v>
      </c>
      <c r="B1469" t="s">
        <v>3289</v>
      </c>
      <c r="C1469" t="s">
        <v>58</v>
      </c>
      <c r="D1469" t="s">
        <v>1406</v>
      </c>
      <c r="E1469" t="s">
        <v>1406</v>
      </c>
      <c r="F1469" t="s">
        <v>49</v>
      </c>
      <c r="G1469" t="s">
        <v>3294</v>
      </c>
      <c r="H1469" t="s">
        <v>3295</v>
      </c>
      <c r="J1469" t="str">
        <f>HYPERLINK("https://www.youtube.com/watch?v=gLYdOXcfN4g","https://www.youtube.com/watch?v=gLYdOXcfN4g")</f>
        <v>https://www.youtube.com/watch?v=gLYdOXcfN4g</v>
      </c>
      <c r="O1469">
        <v>0</v>
      </c>
      <c r="P1469">
        <v>0</v>
      </c>
      <c r="Q1469">
        <v>0</v>
      </c>
      <c r="S1469">
        <v>0</v>
      </c>
      <c r="T1469">
        <v>0</v>
      </c>
      <c r="U1469">
        <v>0</v>
      </c>
      <c r="W1469" t="s">
        <v>106</v>
      </c>
    </row>
    <row r="1470" spans="1:45" x14ac:dyDescent="0.35">
      <c r="A1470" t="s">
        <v>45</v>
      </c>
      <c r="B1470" t="s">
        <v>3289</v>
      </c>
      <c r="C1470" t="s">
        <v>63</v>
      </c>
      <c r="D1470" t="s">
        <v>3296</v>
      </c>
      <c r="E1470" t="s">
        <v>3296</v>
      </c>
      <c r="F1470" t="s">
        <v>49</v>
      </c>
      <c r="G1470" t="s">
        <v>3297</v>
      </c>
      <c r="H1470" t="s">
        <v>3298</v>
      </c>
      <c r="J1470" t="str">
        <f>HYPERLINK("https://www.instagram.com/p/C3U1uytgenK/","https://www.instagram.com/p/C3U1uytgenK/")</f>
        <v>https://www.instagram.com/p/C3U1uytgenK/</v>
      </c>
      <c r="O1470">
        <v>0</v>
      </c>
      <c r="P1470">
        <v>0</v>
      </c>
      <c r="Q1470">
        <v>0</v>
      </c>
      <c r="S1470">
        <v>0</v>
      </c>
      <c r="T1470">
        <v>0</v>
      </c>
      <c r="U1470">
        <v>0</v>
      </c>
      <c r="W1470" t="s">
        <v>62</v>
      </c>
    </row>
    <row r="1471" spans="1:45" x14ac:dyDescent="0.35">
      <c r="A1471" t="s">
        <v>45</v>
      </c>
      <c r="B1471" t="s">
        <v>3289</v>
      </c>
      <c r="C1471" t="s">
        <v>63</v>
      </c>
      <c r="D1471" t="s">
        <v>3299</v>
      </c>
      <c r="E1471" t="s">
        <v>3299</v>
      </c>
      <c r="F1471" t="s">
        <v>49</v>
      </c>
      <c r="G1471" t="s">
        <v>3300</v>
      </c>
      <c r="H1471" t="s">
        <v>3301</v>
      </c>
      <c r="J1471" t="str">
        <f>HYPERLINK("https://www.instagram.com/p/C3U1uytgenK/","https://www.instagram.com/p/C3U1uytgenK/")</f>
        <v>https://www.instagram.com/p/C3U1uytgenK/</v>
      </c>
      <c r="O1471">
        <v>0</v>
      </c>
      <c r="P1471">
        <v>0</v>
      </c>
      <c r="Q1471">
        <v>0</v>
      </c>
      <c r="S1471">
        <v>0</v>
      </c>
      <c r="T1471">
        <v>1</v>
      </c>
      <c r="U1471">
        <v>0</v>
      </c>
      <c r="W1471" t="s">
        <v>62</v>
      </c>
      <c r="AS1471" t="s">
        <v>375</v>
      </c>
    </row>
    <row r="1472" spans="1:45" x14ac:dyDescent="0.35">
      <c r="A1472" t="s">
        <v>45</v>
      </c>
      <c r="B1472" t="s">
        <v>3289</v>
      </c>
      <c r="C1472" t="s">
        <v>47</v>
      </c>
      <c r="D1472" t="s">
        <v>2925</v>
      </c>
      <c r="E1472" t="s">
        <v>2925</v>
      </c>
      <c r="F1472" t="s">
        <v>49</v>
      </c>
      <c r="G1472" t="s">
        <v>459</v>
      </c>
      <c r="H1472" t="s">
        <v>3302</v>
      </c>
      <c r="J1472" t="str">
        <f>HYPERLINK("https://www.facebook.com/454965103328545/posts/782605413897844?comment_id=350219541346536","https://www.facebook.com/454965103328545/posts/782605413897844?comment_id=350219541346536")</f>
        <v>https://www.facebook.com/454965103328545/posts/782605413897844?comment_id=350219541346536</v>
      </c>
      <c r="O1472">
        <v>0</v>
      </c>
      <c r="P1472">
        <v>0</v>
      </c>
      <c r="Q1472">
        <v>0</v>
      </c>
      <c r="S1472">
        <v>0</v>
      </c>
      <c r="T1472">
        <v>0</v>
      </c>
      <c r="U1472">
        <v>0</v>
      </c>
      <c r="W1472" t="s">
        <v>62</v>
      </c>
      <c r="AS1472" t="s">
        <v>375</v>
      </c>
    </row>
    <row r="1473" spans="1:45" x14ac:dyDescent="0.35">
      <c r="A1473" t="s">
        <v>45</v>
      </c>
      <c r="B1473" t="s">
        <v>3289</v>
      </c>
      <c r="C1473" t="s">
        <v>139</v>
      </c>
      <c r="D1473" t="s">
        <v>1975</v>
      </c>
      <c r="E1473" t="s">
        <v>1976</v>
      </c>
      <c r="F1473" t="s">
        <v>49</v>
      </c>
      <c r="G1473" t="s">
        <v>3303</v>
      </c>
      <c r="H1473" t="s">
        <v>3304</v>
      </c>
      <c r="J1473" t="str">
        <f>HYPERLINK("https://twitter.com/Reyaz9599/status/1766463064290029952","https://twitter.com/Reyaz9599/status/1766463064290029952")</f>
        <v>https://twitter.com/Reyaz9599/status/1766463064290029952</v>
      </c>
      <c r="O1473">
        <v>0</v>
      </c>
      <c r="P1473">
        <v>0</v>
      </c>
      <c r="Q1473">
        <v>35</v>
      </c>
      <c r="R1473" t="s">
        <v>1979</v>
      </c>
      <c r="S1473">
        <v>0</v>
      </c>
      <c r="T1473">
        <v>0</v>
      </c>
      <c r="U1473">
        <v>0</v>
      </c>
      <c r="W1473" t="s">
        <v>146</v>
      </c>
      <c r="AP1473" t="s">
        <v>147</v>
      </c>
      <c r="AS1473" t="s">
        <v>375</v>
      </c>
    </row>
    <row r="1474" spans="1:45" x14ac:dyDescent="0.35">
      <c r="A1474" t="s">
        <v>45</v>
      </c>
      <c r="B1474" t="s">
        <v>3289</v>
      </c>
      <c r="C1474" t="s">
        <v>102</v>
      </c>
      <c r="D1474" t="s">
        <v>3305</v>
      </c>
      <c r="E1474" t="s">
        <v>3305</v>
      </c>
      <c r="F1474" t="s">
        <v>49</v>
      </c>
      <c r="G1474" t="s">
        <v>3306</v>
      </c>
      <c r="H1474" t="s">
        <v>3307</v>
      </c>
      <c r="J1474" t="str">
        <f>HYPERLINK("https://www.linkedin.com/feed/update/urn:li:ugcPost:7172225812887248896","https://www.linkedin.com/feed/update/urn:li:ugcPost:7172225812887248896")</f>
        <v>https://www.linkedin.com/feed/update/urn:li:ugcPost:7172225812887248896</v>
      </c>
      <c r="O1474">
        <v>0</v>
      </c>
      <c r="P1474">
        <v>0</v>
      </c>
      <c r="Q1474">
        <v>0</v>
      </c>
      <c r="S1474">
        <v>0</v>
      </c>
      <c r="T1474">
        <v>0</v>
      </c>
      <c r="U1474">
        <v>0</v>
      </c>
      <c r="W1474" t="s">
        <v>106</v>
      </c>
      <c r="AP1474" t="s">
        <v>101</v>
      </c>
    </row>
    <row r="1475" spans="1:45" x14ac:dyDescent="0.35">
      <c r="A1475" t="s">
        <v>45</v>
      </c>
      <c r="B1475" t="s">
        <v>3289</v>
      </c>
      <c r="C1475" t="s">
        <v>47</v>
      </c>
      <c r="D1475" t="s">
        <v>3308</v>
      </c>
      <c r="E1475" t="s">
        <v>3308</v>
      </c>
      <c r="F1475" t="s">
        <v>49</v>
      </c>
      <c r="G1475" t="s">
        <v>3309</v>
      </c>
      <c r="H1475" t="s">
        <v>3310</v>
      </c>
      <c r="J1475" t="str">
        <f>HYPERLINK("https://www.facebook.com/454965103328545/posts/782605413897844?comment_id=908914894050835","https://www.facebook.com/454965103328545/posts/782605413897844?comment_id=908914894050835")</f>
        <v>https://www.facebook.com/454965103328545/posts/782605413897844?comment_id=908914894050835</v>
      </c>
      <c r="O1475">
        <v>0</v>
      </c>
      <c r="P1475">
        <v>0</v>
      </c>
      <c r="Q1475">
        <v>0</v>
      </c>
      <c r="S1475">
        <v>0</v>
      </c>
      <c r="T1475">
        <v>0</v>
      </c>
      <c r="U1475">
        <v>0</v>
      </c>
      <c r="W1475" t="s">
        <v>62</v>
      </c>
    </row>
    <row r="1476" spans="1:45" x14ac:dyDescent="0.35">
      <c r="A1476" t="s">
        <v>45</v>
      </c>
      <c r="B1476" t="s">
        <v>3289</v>
      </c>
      <c r="C1476" t="s">
        <v>47</v>
      </c>
      <c r="D1476" t="s">
        <v>1029</v>
      </c>
      <c r="E1476" t="s">
        <v>1029</v>
      </c>
      <c r="F1476" t="s">
        <v>49</v>
      </c>
      <c r="G1476" t="s">
        <v>3311</v>
      </c>
      <c r="H1476" t="s">
        <v>3312</v>
      </c>
      <c r="J1476" t="str">
        <f>HYPERLINK("https://www.facebook.com/454965103328545/posts/784345853723800?comment_id=267931556254857","https://www.facebook.com/454965103328545/posts/784345853723800?comment_id=267931556254857")</f>
        <v>https://www.facebook.com/454965103328545/posts/784345853723800?comment_id=267931556254857</v>
      </c>
      <c r="O1476">
        <v>0</v>
      </c>
      <c r="P1476">
        <v>0</v>
      </c>
      <c r="Q1476">
        <v>0</v>
      </c>
      <c r="S1476">
        <v>0</v>
      </c>
      <c r="T1476">
        <v>0</v>
      </c>
      <c r="U1476">
        <v>0</v>
      </c>
      <c r="W1476" t="s">
        <v>62</v>
      </c>
    </row>
    <row r="1477" spans="1:45" x14ac:dyDescent="0.35">
      <c r="A1477" t="s">
        <v>45</v>
      </c>
      <c r="B1477" t="s">
        <v>3289</v>
      </c>
      <c r="C1477" t="s">
        <v>47</v>
      </c>
      <c r="D1477" t="s">
        <v>1029</v>
      </c>
      <c r="E1477" t="s">
        <v>1029</v>
      </c>
      <c r="F1477" t="s">
        <v>49</v>
      </c>
      <c r="G1477" t="s">
        <v>3313</v>
      </c>
      <c r="H1477" t="s">
        <v>3314</v>
      </c>
      <c r="J1477" t="str">
        <f>HYPERLINK("https://www.facebook.com/454965103328545/posts/784345853723800?comment_id=273704909105343","https://www.facebook.com/454965103328545/posts/784345853723800?comment_id=273704909105343")</f>
        <v>https://www.facebook.com/454965103328545/posts/784345853723800?comment_id=273704909105343</v>
      </c>
      <c r="O1477">
        <v>0</v>
      </c>
      <c r="P1477">
        <v>0</v>
      </c>
      <c r="Q1477">
        <v>0</v>
      </c>
      <c r="S1477">
        <v>0</v>
      </c>
      <c r="T1477">
        <v>0</v>
      </c>
      <c r="U1477">
        <v>0</v>
      </c>
      <c r="W1477" t="s">
        <v>62</v>
      </c>
    </row>
    <row r="1478" spans="1:45" x14ac:dyDescent="0.35">
      <c r="A1478" t="s">
        <v>45</v>
      </c>
      <c r="B1478" t="s">
        <v>3289</v>
      </c>
      <c r="C1478" t="s">
        <v>139</v>
      </c>
      <c r="D1478" t="s">
        <v>3315</v>
      </c>
      <c r="E1478" t="s">
        <v>3316</v>
      </c>
      <c r="F1478" t="s">
        <v>49</v>
      </c>
      <c r="G1478" t="s">
        <v>3317</v>
      </c>
      <c r="H1478" t="s">
        <v>3318</v>
      </c>
      <c r="J1478" t="str">
        <f>HYPERLINK("https://twitter.com/xAmanGupta/status/1766442071773294648","https://twitter.com/xAmanGupta/status/1766442071773294648")</f>
        <v>https://twitter.com/xAmanGupta/status/1766442071773294648</v>
      </c>
      <c r="K1478" t="s">
        <v>145</v>
      </c>
      <c r="O1478">
        <v>0</v>
      </c>
      <c r="P1478">
        <v>0</v>
      </c>
      <c r="Q1478">
        <v>18</v>
      </c>
      <c r="R1478" t="s">
        <v>3319</v>
      </c>
      <c r="S1478">
        <v>0</v>
      </c>
      <c r="T1478">
        <v>0</v>
      </c>
      <c r="U1478">
        <v>0</v>
      </c>
      <c r="W1478" t="s">
        <v>52</v>
      </c>
      <c r="AP1478" t="s">
        <v>147</v>
      </c>
      <c r="AS1478" t="s">
        <v>375</v>
      </c>
    </row>
    <row r="1479" spans="1:45" x14ac:dyDescent="0.35">
      <c r="A1479" t="s">
        <v>45</v>
      </c>
      <c r="B1479" t="s">
        <v>3289</v>
      </c>
      <c r="C1479" t="s">
        <v>47</v>
      </c>
      <c r="D1479" t="s">
        <v>3320</v>
      </c>
      <c r="E1479" t="s">
        <v>3320</v>
      </c>
      <c r="F1479" t="s">
        <v>142</v>
      </c>
      <c r="G1479" t="s">
        <v>3321</v>
      </c>
      <c r="H1479" t="s">
        <v>3322</v>
      </c>
      <c r="J1479" t="str">
        <f>HYPERLINK("https://www.facebook.com/454965103328545/posts/763871475771238?comment_id=432790222428566","https://www.facebook.com/454965103328545/posts/763871475771238?comment_id=432790222428566")</f>
        <v>https://www.facebook.com/454965103328545/posts/763871475771238?comment_id=432790222428566</v>
      </c>
      <c r="O1479">
        <v>0</v>
      </c>
      <c r="P1479">
        <v>0</v>
      </c>
      <c r="Q1479">
        <v>0</v>
      </c>
      <c r="S1479">
        <v>0</v>
      </c>
      <c r="T1479">
        <v>0</v>
      </c>
      <c r="U1479">
        <v>0</v>
      </c>
      <c r="W1479" t="s">
        <v>62</v>
      </c>
    </row>
    <row r="1480" spans="1:45" x14ac:dyDescent="0.35">
      <c r="A1480" t="s">
        <v>45</v>
      </c>
      <c r="B1480" t="s">
        <v>3289</v>
      </c>
      <c r="C1480" t="s">
        <v>58</v>
      </c>
      <c r="D1480" t="s">
        <v>1406</v>
      </c>
      <c r="E1480" t="s">
        <v>1406</v>
      </c>
      <c r="F1480" t="s">
        <v>49</v>
      </c>
      <c r="G1480" t="s">
        <v>3323</v>
      </c>
      <c r="H1480" t="s">
        <v>3324</v>
      </c>
      <c r="J1480" t="str">
        <f>HYPERLINK("https://www.youtube.com/watch?v=kRXJ7dd-00I","https://www.youtube.com/watch?v=kRXJ7dd-00I")</f>
        <v>https://www.youtube.com/watch?v=kRXJ7dd-00I</v>
      </c>
      <c r="O1480">
        <v>0</v>
      </c>
      <c r="P1480">
        <v>0</v>
      </c>
      <c r="Q1480">
        <v>0</v>
      </c>
      <c r="S1480">
        <v>0</v>
      </c>
      <c r="T1480">
        <v>0</v>
      </c>
      <c r="U1480">
        <v>0</v>
      </c>
      <c r="W1480" t="s">
        <v>106</v>
      </c>
    </row>
    <row r="1481" spans="1:45" x14ac:dyDescent="0.35">
      <c r="A1481" t="s">
        <v>45</v>
      </c>
      <c r="B1481" t="s">
        <v>3289</v>
      </c>
      <c r="C1481" t="s">
        <v>139</v>
      </c>
      <c r="D1481" t="s">
        <v>2884</v>
      </c>
      <c r="E1481" t="s">
        <v>2885</v>
      </c>
      <c r="F1481" t="s">
        <v>142</v>
      </c>
      <c r="G1481" t="s">
        <v>3325</v>
      </c>
      <c r="H1481" t="s">
        <v>3326</v>
      </c>
      <c r="J1481" t="str">
        <f>HYPERLINK("https://twitter.com/samdani45/status/1766432138839396821","https://twitter.com/samdani45/status/1766432138839396821")</f>
        <v>https://twitter.com/samdani45/status/1766432138839396821</v>
      </c>
      <c r="K1481" t="s">
        <v>145</v>
      </c>
      <c r="O1481">
        <v>0</v>
      </c>
      <c r="P1481">
        <v>0</v>
      </c>
      <c r="Q1481">
        <v>201</v>
      </c>
      <c r="R1481" t="s">
        <v>2888</v>
      </c>
      <c r="S1481">
        <v>0</v>
      </c>
      <c r="T1481">
        <v>0</v>
      </c>
      <c r="U1481">
        <v>0</v>
      </c>
      <c r="W1481" t="s">
        <v>146</v>
      </c>
    </row>
    <row r="1482" spans="1:45" x14ac:dyDescent="0.35">
      <c r="A1482" t="s">
        <v>45</v>
      </c>
      <c r="B1482" t="s">
        <v>3289</v>
      </c>
      <c r="C1482" t="s">
        <v>58</v>
      </c>
      <c r="D1482" t="s">
        <v>3327</v>
      </c>
      <c r="E1482" t="s">
        <v>3327</v>
      </c>
      <c r="F1482" t="s">
        <v>49</v>
      </c>
      <c r="G1482" t="s">
        <v>3328</v>
      </c>
      <c r="H1482" t="s">
        <v>3329</v>
      </c>
      <c r="J1482" t="str">
        <f>HYPERLINK("https://www.youtube.com/watch?v=WNDzopezo9Q","https://www.youtube.com/watch?v=WNDzopezo9Q")</f>
        <v>https://www.youtube.com/watch?v=WNDzopezo9Q</v>
      </c>
      <c r="O1482">
        <v>0</v>
      </c>
      <c r="P1482">
        <v>0</v>
      </c>
      <c r="Q1482">
        <v>0</v>
      </c>
      <c r="S1482">
        <v>0</v>
      </c>
      <c r="T1482">
        <v>0</v>
      </c>
      <c r="U1482">
        <v>0</v>
      </c>
      <c r="W1482" t="s">
        <v>106</v>
      </c>
    </row>
    <row r="1483" spans="1:45" x14ac:dyDescent="0.35">
      <c r="A1483" t="s">
        <v>45</v>
      </c>
      <c r="B1483" t="s">
        <v>3289</v>
      </c>
      <c r="C1483" t="s">
        <v>139</v>
      </c>
      <c r="D1483" t="s">
        <v>3330</v>
      </c>
      <c r="E1483" t="s">
        <v>3331</v>
      </c>
      <c r="F1483" t="s">
        <v>142</v>
      </c>
      <c r="G1483" t="s">
        <v>3332</v>
      </c>
      <c r="H1483" t="s">
        <v>3333</v>
      </c>
      <c r="J1483" t="str">
        <f>HYPERLINK("https://twitter.com/iamRajesh_134/status/1766398288906080719","https://twitter.com/iamRajesh_134/status/1766398288906080719")</f>
        <v>https://twitter.com/iamRajesh_134/status/1766398288906080719</v>
      </c>
      <c r="K1483" t="s">
        <v>145</v>
      </c>
      <c r="O1483">
        <v>0</v>
      </c>
      <c r="P1483">
        <v>0</v>
      </c>
      <c r="Q1483">
        <v>69</v>
      </c>
      <c r="R1483" t="s">
        <v>872</v>
      </c>
      <c r="S1483">
        <v>0</v>
      </c>
      <c r="T1483">
        <v>0</v>
      </c>
      <c r="U1483">
        <v>0</v>
      </c>
      <c r="W1483" t="s">
        <v>146</v>
      </c>
    </row>
    <row r="1484" spans="1:45" x14ac:dyDescent="0.35">
      <c r="A1484" t="s">
        <v>45</v>
      </c>
      <c r="B1484" t="s">
        <v>3289</v>
      </c>
      <c r="C1484" t="s">
        <v>139</v>
      </c>
      <c r="D1484" t="s">
        <v>3330</v>
      </c>
      <c r="E1484" t="s">
        <v>3331</v>
      </c>
      <c r="F1484" t="s">
        <v>49</v>
      </c>
      <c r="G1484" t="s">
        <v>3334</v>
      </c>
      <c r="H1484" t="s">
        <v>3335</v>
      </c>
      <c r="J1484" t="str">
        <f>HYPERLINK("https://twitter.com/iamRajesh_134/status/1766398012325273852","https://twitter.com/iamRajesh_134/status/1766398012325273852")</f>
        <v>https://twitter.com/iamRajesh_134/status/1766398012325273852</v>
      </c>
      <c r="K1484" t="s">
        <v>145</v>
      </c>
      <c r="O1484">
        <v>0</v>
      </c>
      <c r="P1484">
        <v>0</v>
      </c>
      <c r="Q1484">
        <v>69</v>
      </c>
      <c r="R1484" t="s">
        <v>872</v>
      </c>
      <c r="S1484">
        <v>0</v>
      </c>
      <c r="T1484">
        <v>0</v>
      </c>
      <c r="U1484">
        <v>0</v>
      </c>
      <c r="W1484" t="s">
        <v>552</v>
      </c>
    </row>
    <row r="1485" spans="1:45" x14ac:dyDescent="0.35">
      <c r="A1485" t="s">
        <v>45</v>
      </c>
      <c r="B1485" t="s">
        <v>3289</v>
      </c>
      <c r="C1485" t="s">
        <v>139</v>
      </c>
      <c r="D1485" t="s">
        <v>3330</v>
      </c>
      <c r="E1485" t="s">
        <v>3331</v>
      </c>
      <c r="F1485" t="s">
        <v>49</v>
      </c>
      <c r="G1485" t="s">
        <v>3336</v>
      </c>
      <c r="H1485" t="s">
        <v>3337</v>
      </c>
      <c r="J1485" t="str">
        <f>HYPERLINK("https://twitter.com/iamRajesh_134/status/1766397639699144818","https://twitter.com/iamRajesh_134/status/1766397639699144818")</f>
        <v>https://twitter.com/iamRajesh_134/status/1766397639699144818</v>
      </c>
      <c r="K1485" t="s">
        <v>145</v>
      </c>
      <c r="O1485">
        <v>0</v>
      </c>
      <c r="P1485">
        <v>0</v>
      </c>
      <c r="Q1485">
        <v>69</v>
      </c>
      <c r="R1485" t="s">
        <v>872</v>
      </c>
      <c r="S1485">
        <v>0</v>
      </c>
      <c r="T1485">
        <v>0</v>
      </c>
      <c r="U1485">
        <v>0</v>
      </c>
      <c r="W1485" t="s">
        <v>552</v>
      </c>
    </row>
    <row r="1486" spans="1:45" x14ac:dyDescent="0.35">
      <c r="A1486" t="s">
        <v>45</v>
      </c>
      <c r="B1486" t="s">
        <v>3289</v>
      </c>
      <c r="C1486" t="s">
        <v>139</v>
      </c>
      <c r="D1486" t="s">
        <v>1934</v>
      </c>
      <c r="E1486" t="s">
        <v>1935</v>
      </c>
      <c r="F1486" t="s">
        <v>49</v>
      </c>
      <c r="G1486" t="s">
        <v>3338</v>
      </c>
      <c r="H1486" t="s">
        <v>3339</v>
      </c>
      <c r="J1486" t="str">
        <f>HYPERLINK("https://twitter.com/VarunMunjal19/status/1766373375654715725","https://twitter.com/VarunMunjal19/status/1766373375654715725")</f>
        <v>https://twitter.com/VarunMunjal19/status/1766373375654715725</v>
      </c>
      <c r="K1486" t="s">
        <v>145</v>
      </c>
      <c r="O1486">
        <v>0</v>
      </c>
      <c r="P1486">
        <v>0</v>
      </c>
      <c r="Q1486">
        <v>1</v>
      </c>
      <c r="S1486">
        <v>0</v>
      </c>
      <c r="T1486">
        <v>0</v>
      </c>
      <c r="U1486">
        <v>0</v>
      </c>
      <c r="W1486" t="s">
        <v>146</v>
      </c>
      <c r="AS1486" t="s">
        <v>375</v>
      </c>
    </row>
    <row r="1487" spans="1:45" x14ac:dyDescent="0.35">
      <c r="A1487" t="s">
        <v>45</v>
      </c>
      <c r="B1487" t="s">
        <v>3289</v>
      </c>
      <c r="C1487" t="s">
        <v>58</v>
      </c>
      <c r="D1487" t="s">
        <v>3340</v>
      </c>
      <c r="E1487" t="s">
        <v>3340</v>
      </c>
      <c r="F1487" t="s">
        <v>49</v>
      </c>
      <c r="G1487" t="s">
        <v>3341</v>
      </c>
      <c r="H1487" t="s">
        <v>3342</v>
      </c>
      <c r="J1487" t="str">
        <f>HYPERLINK("https://www.youtube.com/watch?v=tuRur_3kGdA","https://www.youtube.com/watch?v=tuRur_3kGdA")</f>
        <v>https://www.youtube.com/watch?v=tuRur_3kGdA</v>
      </c>
      <c r="O1487">
        <v>0</v>
      </c>
      <c r="P1487">
        <v>0</v>
      </c>
      <c r="Q1487">
        <v>0</v>
      </c>
      <c r="S1487">
        <v>0</v>
      </c>
      <c r="T1487">
        <v>0</v>
      </c>
      <c r="U1487">
        <v>0</v>
      </c>
      <c r="W1487" t="s">
        <v>106</v>
      </c>
      <c r="AP1487" t="s">
        <v>101</v>
      </c>
    </row>
    <row r="1488" spans="1:45" x14ac:dyDescent="0.35">
      <c r="A1488" t="s">
        <v>45</v>
      </c>
      <c r="B1488" t="s">
        <v>3289</v>
      </c>
      <c r="C1488" t="s">
        <v>47</v>
      </c>
      <c r="D1488" t="s">
        <v>98</v>
      </c>
      <c r="E1488" t="s">
        <v>98</v>
      </c>
      <c r="F1488" t="s">
        <v>49</v>
      </c>
      <c r="G1488" t="s">
        <v>3343</v>
      </c>
      <c r="H1488" t="s">
        <v>3344</v>
      </c>
      <c r="J1488" t="str">
        <f>HYPERLINK("https://www.facebook.com/454965103328545/posts/784345853723800?comment_id=420254207348842","https://www.facebook.com/454965103328545/posts/784345853723800?comment_id=420254207348842")</f>
        <v>https://www.facebook.com/454965103328545/posts/784345853723800?comment_id=420254207348842</v>
      </c>
      <c r="O1488">
        <v>0</v>
      </c>
      <c r="P1488">
        <v>0</v>
      </c>
      <c r="Q1488">
        <v>0</v>
      </c>
      <c r="S1488">
        <v>0</v>
      </c>
      <c r="T1488">
        <v>0</v>
      </c>
      <c r="U1488">
        <v>0</v>
      </c>
      <c r="W1488" t="s">
        <v>62</v>
      </c>
      <c r="Y1488" t="s">
        <v>3345</v>
      </c>
      <c r="Z1488" t="s">
        <v>613</v>
      </c>
      <c r="AA1488" t="s">
        <v>614</v>
      </c>
    </row>
    <row r="1489" spans="1:45" x14ac:dyDescent="0.35">
      <c r="A1489" t="s">
        <v>45</v>
      </c>
      <c r="B1489" t="s">
        <v>3289</v>
      </c>
      <c r="C1489" t="s">
        <v>58</v>
      </c>
      <c r="D1489" t="s">
        <v>3346</v>
      </c>
      <c r="E1489" t="s">
        <v>3346</v>
      </c>
      <c r="F1489" t="s">
        <v>76</v>
      </c>
      <c r="G1489" t="s">
        <v>3347</v>
      </c>
      <c r="H1489" t="s">
        <v>3348</v>
      </c>
      <c r="J1489" t="str">
        <f>HYPERLINK("https://www.youtube.com/watch?v=UNVDnPU1yR8","https://www.youtube.com/watch?v=UNVDnPU1yR8")</f>
        <v>https://www.youtube.com/watch?v=UNVDnPU1yR8</v>
      </c>
      <c r="O1489">
        <v>0</v>
      </c>
      <c r="P1489">
        <v>0</v>
      </c>
      <c r="Q1489">
        <v>0</v>
      </c>
      <c r="S1489">
        <v>0</v>
      </c>
      <c r="T1489">
        <v>0</v>
      </c>
      <c r="U1489">
        <v>0</v>
      </c>
      <c r="W1489" t="s">
        <v>106</v>
      </c>
    </row>
    <row r="1490" spans="1:45" x14ac:dyDescent="0.35">
      <c r="A1490" t="s">
        <v>45</v>
      </c>
      <c r="B1490" t="s">
        <v>3289</v>
      </c>
      <c r="C1490" t="s">
        <v>139</v>
      </c>
      <c r="D1490" t="s">
        <v>2895</v>
      </c>
      <c r="E1490" t="s">
        <v>2896</v>
      </c>
      <c r="F1490" t="s">
        <v>49</v>
      </c>
      <c r="G1490" t="s">
        <v>3349</v>
      </c>
      <c r="H1490" t="s">
        <v>3350</v>
      </c>
      <c r="J1490" t="str">
        <f>HYPERLINK("https://twitter.com/maritme_india/status/1766355277430088105","https://twitter.com/maritme_india/status/1766355277430088105")</f>
        <v>https://twitter.com/maritme_india/status/1766355277430088105</v>
      </c>
      <c r="O1490">
        <v>0</v>
      </c>
      <c r="P1490">
        <v>0</v>
      </c>
      <c r="Q1490">
        <v>13</v>
      </c>
      <c r="R1490" t="s">
        <v>582</v>
      </c>
      <c r="S1490">
        <v>0</v>
      </c>
      <c r="T1490">
        <v>0</v>
      </c>
      <c r="U1490">
        <v>0</v>
      </c>
      <c r="W1490" t="s">
        <v>146</v>
      </c>
      <c r="AS1490" t="s">
        <v>375</v>
      </c>
    </row>
    <row r="1491" spans="1:45" x14ac:dyDescent="0.35">
      <c r="A1491" t="s">
        <v>45</v>
      </c>
      <c r="B1491" t="s">
        <v>3289</v>
      </c>
      <c r="C1491" t="s">
        <v>58</v>
      </c>
      <c r="D1491" t="s">
        <v>3351</v>
      </c>
      <c r="E1491" t="s">
        <v>3351</v>
      </c>
      <c r="F1491" t="s">
        <v>49</v>
      </c>
      <c r="G1491" t="s">
        <v>3352</v>
      </c>
      <c r="H1491" t="s">
        <v>3353</v>
      </c>
      <c r="J1491" t="str">
        <f>HYPERLINK("https://www.youtube.com/watch?v=D32nDQYsEb8","https://www.youtube.com/watch?v=D32nDQYsEb8")</f>
        <v>https://www.youtube.com/watch?v=D32nDQYsEb8</v>
      </c>
      <c r="O1491">
        <v>0</v>
      </c>
      <c r="P1491">
        <v>0</v>
      </c>
      <c r="Q1491">
        <v>0</v>
      </c>
      <c r="S1491">
        <v>0</v>
      </c>
      <c r="T1491">
        <v>0</v>
      </c>
      <c r="U1491">
        <v>0</v>
      </c>
      <c r="W1491" t="s">
        <v>106</v>
      </c>
    </row>
    <row r="1492" spans="1:45" x14ac:dyDescent="0.35">
      <c r="A1492" t="s">
        <v>45</v>
      </c>
      <c r="B1492" t="s">
        <v>3289</v>
      </c>
      <c r="C1492" t="s">
        <v>47</v>
      </c>
      <c r="D1492" t="s">
        <v>3354</v>
      </c>
      <c r="E1492" t="s">
        <v>3354</v>
      </c>
      <c r="F1492" t="s">
        <v>49</v>
      </c>
      <c r="G1492" t="s">
        <v>50</v>
      </c>
      <c r="H1492" t="s">
        <v>3355</v>
      </c>
      <c r="J1492" t="str">
        <f>HYPERLINK("https://www.facebook.com/357267201017935/inbox/7136862886391632/","https://www.facebook.com/357267201017935/inbox/7136862886391632/")</f>
        <v>https://www.facebook.com/357267201017935/inbox/7136862886391632/</v>
      </c>
      <c r="O1492">
        <v>0</v>
      </c>
      <c r="P1492">
        <v>0</v>
      </c>
      <c r="Q1492">
        <v>0</v>
      </c>
      <c r="S1492">
        <v>0</v>
      </c>
      <c r="T1492">
        <v>0</v>
      </c>
      <c r="U1492">
        <v>0</v>
      </c>
      <c r="W1492" t="s">
        <v>52</v>
      </c>
    </row>
    <row r="1493" spans="1:45" x14ac:dyDescent="0.35">
      <c r="A1493" t="s">
        <v>45</v>
      </c>
      <c r="B1493" t="s">
        <v>3289</v>
      </c>
      <c r="C1493" t="s">
        <v>139</v>
      </c>
      <c r="D1493" t="s">
        <v>3356</v>
      </c>
      <c r="E1493" t="s">
        <v>3357</v>
      </c>
      <c r="F1493" t="s">
        <v>49</v>
      </c>
      <c r="G1493" t="s">
        <v>3358</v>
      </c>
      <c r="H1493" t="s">
        <v>3359</v>
      </c>
      <c r="J1493" t="str">
        <f>HYPERLINK("https://twitter.com/Deishma/status/1766339274058657918","https://twitter.com/Deishma/status/1766339274058657918")</f>
        <v>https://twitter.com/Deishma/status/1766339274058657918</v>
      </c>
      <c r="O1493">
        <v>0</v>
      </c>
      <c r="P1493">
        <v>0</v>
      </c>
      <c r="Q1493">
        <v>78727</v>
      </c>
      <c r="R1493" t="s">
        <v>1247</v>
      </c>
      <c r="S1493">
        <v>0</v>
      </c>
      <c r="T1493">
        <v>0</v>
      </c>
      <c r="U1493">
        <v>0</v>
      </c>
      <c r="V1493" t="s">
        <v>642</v>
      </c>
      <c r="W1493" t="s">
        <v>146</v>
      </c>
    </row>
    <row r="1494" spans="1:45" x14ac:dyDescent="0.35">
      <c r="A1494" t="s">
        <v>45</v>
      </c>
      <c r="B1494" t="s">
        <v>3289</v>
      </c>
      <c r="C1494" t="s">
        <v>47</v>
      </c>
      <c r="D1494" t="s">
        <v>3360</v>
      </c>
      <c r="E1494" t="s">
        <v>3360</v>
      </c>
      <c r="F1494" t="s">
        <v>49</v>
      </c>
      <c r="G1494" t="s">
        <v>3361</v>
      </c>
      <c r="H1494" t="s">
        <v>3362</v>
      </c>
      <c r="J1494" t="str">
        <f>HYPERLINK("https://www.facebook.com/454965103328545/posts/781247020700350?comment_id=1552685905273784","https://www.facebook.com/454965103328545/posts/781247020700350?comment_id=1552685905273784")</f>
        <v>https://www.facebook.com/454965103328545/posts/781247020700350?comment_id=1552685905273784</v>
      </c>
      <c r="O1494">
        <v>0</v>
      </c>
      <c r="P1494">
        <v>0</v>
      </c>
      <c r="Q1494">
        <v>0</v>
      </c>
      <c r="S1494">
        <v>0</v>
      </c>
      <c r="T1494">
        <v>0</v>
      </c>
      <c r="U1494">
        <v>0</v>
      </c>
      <c r="W1494" t="s">
        <v>62</v>
      </c>
    </row>
    <row r="1495" spans="1:45" x14ac:dyDescent="0.35">
      <c r="A1495" t="s">
        <v>45</v>
      </c>
      <c r="B1495" t="s">
        <v>3289</v>
      </c>
      <c r="C1495" t="s">
        <v>58</v>
      </c>
      <c r="D1495" t="s">
        <v>1369</v>
      </c>
      <c r="E1495" t="s">
        <v>1369</v>
      </c>
      <c r="F1495" t="s">
        <v>49</v>
      </c>
      <c r="G1495" t="s">
        <v>3363</v>
      </c>
      <c r="H1495" t="s">
        <v>3364</v>
      </c>
      <c r="J1495" t="str">
        <f>HYPERLINK("https://www.youtube.com/watch?v=3Hzg-hSK8mM","https://www.youtube.com/watch?v=3Hzg-hSK8mM")</f>
        <v>https://www.youtube.com/watch?v=3Hzg-hSK8mM</v>
      </c>
      <c r="O1495">
        <v>0</v>
      </c>
      <c r="P1495">
        <v>0</v>
      </c>
      <c r="Q1495">
        <v>0</v>
      </c>
      <c r="S1495">
        <v>0</v>
      </c>
      <c r="T1495">
        <v>0</v>
      </c>
      <c r="U1495">
        <v>0</v>
      </c>
      <c r="W1495" t="s">
        <v>106</v>
      </c>
    </row>
    <row r="1496" spans="1:45" x14ac:dyDescent="0.35">
      <c r="A1496" t="s">
        <v>45</v>
      </c>
      <c r="B1496" t="s">
        <v>3289</v>
      </c>
      <c r="C1496" t="s">
        <v>58</v>
      </c>
      <c r="D1496" t="s">
        <v>3365</v>
      </c>
      <c r="E1496" t="s">
        <v>3365</v>
      </c>
      <c r="F1496" t="s">
        <v>49</v>
      </c>
      <c r="G1496" t="s">
        <v>3366</v>
      </c>
      <c r="H1496" t="s">
        <v>3367</v>
      </c>
      <c r="J1496" t="str">
        <f>HYPERLINK("https://www.youtube.com/watch?v=jjXvGF3CSNQ","https://www.youtube.com/watch?v=jjXvGF3CSNQ")</f>
        <v>https://www.youtube.com/watch?v=jjXvGF3CSNQ</v>
      </c>
      <c r="O1496">
        <v>0</v>
      </c>
      <c r="P1496">
        <v>0</v>
      </c>
      <c r="Q1496">
        <v>0</v>
      </c>
      <c r="S1496">
        <v>0</v>
      </c>
      <c r="T1496">
        <v>0</v>
      </c>
      <c r="U1496">
        <v>0</v>
      </c>
      <c r="W1496" t="s">
        <v>106</v>
      </c>
    </row>
    <row r="1497" spans="1:45" x14ac:dyDescent="0.35">
      <c r="A1497" t="s">
        <v>45</v>
      </c>
      <c r="B1497" t="s">
        <v>3289</v>
      </c>
      <c r="C1497" t="s">
        <v>139</v>
      </c>
      <c r="D1497" t="s">
        <v>190</v>
      </c>
      <c r="E1497" t="s">
        <v>45</v>
      </c>
      <c r="F1497" t="s">
        <v>49</v>
      </c>
      <c r="G1497" t="s">
        <v>3336</v>
      </c>
      <c r="H1497" t="s">
        <v>3368</v>
      </c>
      <c r="J1497" t="str">
        <f>HYPERLINK("https://twitter.com/FinoPaymntsBank/status/1766305409587904569","https://twitter.com/FinoPaymntsBank/status/1766305409587904569")</f>
        <v>https://twitter.com/FinoPaymntsBank/status/1766305409587904569</v>
      </c>
      <c r="K1497" t="s">
        <v>145</v>
      </c>
      <c r="O1497">
        <v>0</v>
      </c>
      <c r="P1497">
        <v>0</v>
      </c>
      <c r="Q1497">
        <v>8426</v>
      </c>
      <c r="R1497" t="s">
        <v>193</v>
      </c>
      <c r="S1497">
        <v>0</v>
      </c>
      <c r="T1497">
        <v>0</v>
      </c>
      <c r="U1497">
        <v>0</v>
      </c>
      <c r="W1497" t="s">
        <v>146</v>
      </c>
    </row>
    <row r="1498" spans="1:45" x14ac:dyDescent="0.35">
      <c r="A1498" t="s">
        <v>45</v>
      </c>
      <c r="B1498" t="s">
        <v>3289</v>
      </c>
      <c r="C1498" t="s">
        <v>47</v>
      </c>
      <c r="D1498" t="s">
        <v>3369</v>
      </c>
      <c r="E1498" t="s">
        <v>3369</v>
      </c>
      <c r="F1498" t="s">
        <v>49</v>
      </c>
      <c r="G1498" t="s">
        <v>3370</v>
      </c>
      <c r="H1498" t="s">
        <v>3371</v>
      </c>
      <c r="J1498" t="str">
        <f>HYPERLINK("https://www.facebook.com/357267201017935/posts/3069910089753619/?comment_id=3589585404625726","https://www.facebook.com/357267201017935/posts/3069910089753619/?comment_id=3589585404625726")</f>
        <v>https://www.facebook.com/357267201017935/posts/3069910089753619/?comment_id=3589585404625726</v>
      </c>
      <c r="O1498">
        <v>0</v>
      </c>
      <c r="P1498">
        <v>0</v>
      </c>
      <c r="Q1498">
        <v>0</v>
      </c>
      <c r="S1498">
        <v>0</v>
      </c>
      <c r="T1498">
        <v>0</v>
      </c>
      <c r="U1498">
        <v>0</v>
      </c>
      <c r="W1498" t="s">
        <v>62</v>
      </c>
      <c r="AS1498" t="s">
        <v>375</v>
      </c>
    </row>
    <row r="1499" spans="1:45" x14ac:dyDescent="0.35">
      <c r="A1499" t="s">
        <v>45</v>
      </c>
      <c r="B1499" t="s">
        <v>3289</v>
      </c>
      <c r="C1499" t="s">
        <v>47</v>
      </c>
      <c r="D1499" t="s">
        <v>3369</v>
      </c>
      <c r="E1499" t="s">
        <v>3369</v>
      </c>
      <c r="F1499" t="s">
        <v>49</v>
      </c>
      <c r="G1499" t="s">
        <v>3372</v>
      </c>
      <c r="H1499" t="s">
        <v>3373</v>
      </c>
      <c r="J1499" t="str">
        <f>HYPERLINK("https://www.facebook.com/357267201017935/posts/3069910089753619/?comment_id=1625835361285463","https://www.facebook.com/357267201017935/posts/3069910089753619/?comment_id=1625835361285463")</f>
        <v>https://www.facebook.com/357267201017935/posts/3069910089753619/?comment_id=1625835361285463</v>
      </c>
      <c r="O1499">
        <v>0</v>
      </c>
      <c r="P1499">
        <v>0</v>
      </c>
      <c r="Q1499">
        <v>0</v>
      </c>
      <c r="S1499">
        <v>0</v>
      </c>
      <c r="T1499">
        <v>0</v>
      </c>
      <c r="U1499">
        <v>0</v>
      </c>
      <c r="W1499" t="s">
        <v>62</v>
      </c>
    </row>
    <row r="1500" spans="1:45" x14ac:dyDescent="0.35">
      <c r="A1500" t="s">
        <v>45</v>
      </c>
      <c r="B1500" t="s">
        <v>3289</v>
      </c>
      <c r="C1500" t="s">
        <v>58</v>
      </c>
      <c r="D1500" t="s">
        <v>1406</v>
      </c>
      <c r="E1500" t="s">
        <v>1406</v>
      </c>
      <c r="F1500" t="s">
        <v>49</v>
      </c>
      <c r="G1500" t="s">
        <v>3374</v>
      </c>
      <c r="H1500" t="s">
        <v>3375</v>
      </c>
      <c r="J1500" t="str">
        <f>HYPERLINK("https://www.youtube.com/watch?v=Co9EfqRNUZg","https://www.youtube.com/watch?v=Co9EfqRNUZg")</f>
        <v>https://www.youtube.com/watch?v=Co9EfqRNUZg</v>
      </c>
      <c r="O1500">
        <v>0</v>
      </c>
      <c r="P1500">
        <v>0</v>
      </c>
      <c r="Q1500">
        <v>0</v>
      </c>
      <c r="S1500">
        <v>0</v>
      </c>
      <c r="T1500">
        <v>0</v>
      </c>
      <c r="U1500">
        <v>0</v>
      </c>
      <c r="W1500" t="s">
        <v>106</v>
      </c>
    </row>
    <row r="1501" spans="1:45" x14ac:dyDescent="0.35">
      <c r="A1501" t="s">
        <v>45</v>
      </c>
      <c r="B1501" t="s">
        <v>3289</v>
      </c>
      <c r="C1501" t="s">
        <v>58</v>
      </c>
      <c r="D1501" t="s">
        <v>1607</v>
      </c>
      <c r="E1501" t="s">
        <v>1607</v>
      </c>
      <c r="F1501" t="s">
        <v>49</v>
      </c>
      <c r="G1501" t="s">
        <v>3376</v>
      </c>
      <c r="H1501" t="s">
        <v>3377</v>
      </c>
      <c r="J1501" t="str">
        <f>HYPERLINK("https://www.youtube.com/watch?v=mFZ1Cbic4CU&amp;lc=UgzIZ3FwCj5s0wPPhPl4AaABAg","https://www.youtube.com/watch?v=mFZ1Cbic4CU&amp;lc=UgzIZ3FwCj5s0wPPhPl4AaABAg")</f>
        <v>https://www.youtube.com/watch?v=mFZ1Cbic4CU&amp;lc=UgzIZ3FwCj5s0wPPhPl4AaABAg</v>
      </c>
      <c r="O1501">
        <v>0</v>
      </c>
      <c r="P1501">
        <v>0</v>
      </c>
      <c r="Q1501">
        <v>0</v>
      </c>
      <c r="S1501">
        <v>0</v>
      </c>
      <c r="T1501">
        <v>0</v>
      </c>
      <c r="U1501">
        <v>0</v>
      </c>
      <c r="W1501" t="s">
        <v>62</v>
      </c>
    </row>
    <row r="1502" spans="1:45" x14ac:dyDescent="0.35">
      <c r="A1502" t="s">
        <v>45</v>
      </c>
      <c r="B1502" t="s">
        <v>3378</v>
      </c>
      <c r="C1502" t="s">
        <v>139</v>
      </c>
      <c r="D1502" t="s">
        <v>3379</v>
      </c>
      <c r="E1502" t="s">
        <v>3380</v>
      </c>
      <c r="F1502" t="s">
        <v>142</v>
      </c>
      <c r="G1502" t="s">
        <v>3381</v>
      </c>
      <c r="H1502" t="s">
        <v>3382</v>
      </c>
      <c r="J1502" t="str">
        <f>HYPERLINK("https://twitter.com/DAllInOneNews1/status/1766157021366337553","https://twitter.com/DAllInOneNews1/status/1766157021366337553")</f>
        <v>https://twitter.com/DAllInOneNews1/status/1766157021366337553</v>
      </c>
      <c r="K1502" t="s">
        <v>145</v>
      </c>
      <c r="O1502">
        <v>0</v>
      </c>
      <c r="P1502">
        <v>0</v>
      </c>
      <c r="Q1502">
        <v>22</v>
      </c>
      <c r="S1502">
        <v>0</v>
      </c>
      <c r="T1502">
        <v>0</v>
      </c>
      <c r="U1502">
        <v>0</v>
      </c>
      <c r="W1502" t="s">
        <v>146</v>
      </c>
      <c r="AP1502" t="s">
        <v>101</v>
      </c>
    </row>
    <row r="1503" spans="1:45" x14ac:dyDescent="0.35">
      <c r="A1503" t="s">
        <v>45</v>
      </c>
      <c r="B1503" t="s">
        <v>3378</v>
      </c>
      <c r="C1503" t="s">
        <v>139</v>
      </c>
      <c r="D1503" t="s">
        <v>2884</v>
      </c>
      <c r="E1503" t="s">
        <v>2885</v>
      </c>
      <c r="F1503" t="s">
        <v>142</v>
      </c>
      <c r="G1503" t="s">
        <v>3383</v>
      </c>
      <c r="H1503" t="s">
        <v>3384</v>
      </c>
      <c r="J1503" t="str">
        <f>HYPERLINK("https://twitter.com/samdani45/status/1766152901578392066","https://twitter.com/samdani45/status/1766152901578392066")</f>
        <v>https://twitter.com/samdani45/status/1766152901578392066</v>
      </c>
      <c r="K1503" t="s">
        <v>145</v>
      </c>
      <c r="O1503">
        <v>0</v>
      </c>
      <c r="P1503">
        <v>0</v>
      </c>
      <c r="Q1503">
        <v>201</v>
      </c>
      <c r="R1503" t="s">
        <v>2888</v>
      </c>
      <c r="S1503">
        <v>0</v>
      </c>
      <c r="T1503">
        <v>0</v>
      </c>
      <c r="U1503">
        <v>0</v>
      </c>
      <c r="W1503" t="s">
        <v>146</v>
      </c>
    </row>
    <row r="1504" spans="1:45" x14ac:dyDescent="0.35">
      <c r="A1504" t="s">
        <v>45</v>
      </c>
      <c r="B1504" t="s">
        <v>3378</v>
      </c>
      <c r="C1504" t="s">
        <v>139</v>
      </c>
      <c r="D1504" t="s">
        <v>2884</v>
      </c>
      <c r="E1504" t="s">
        <v>2885</v>
      </c>
      <c r="F1504" t="s">
        <v>142</v>
      </c>
      <c r="G1504" t="s">
        <v>3385</v>
      </c>
      <c r="H1504" t="s">
        <v>3386</v>
      </c>
      <c r="J1504" t="str">
        <f>HYPERLINK("https://twitter.com/samdani45/status/1766152755289493742","https://twitter.com/samdani45/status/1766152755289493742")</f>
        <v>https://twitter.com/samdani45/status/1766152755289493742</v>
      </c>
      <c r="K1504" t="s">
        <v>145</v>
      </c>
      <c r="O1504">
        <v>0</v>
      </c>
      <c r="P1504">
        <v>0</v>
      </c>
      <c r="Q1504">
        <v>201</v>
      </c>
      <c r="R1504" t="s">
        <v>2888</v>
      </c>
      <c r="S1504">
        <v>0</v>
      </c>
      <c r="T1504">
        <v>0</v>
      </c>
      <c r="U1504">
        <v>0</v>
      </c>
      <c r="W1504" t="s">
        <v>146</v>
      </c>
    </row>
    <row r="1505" spans="1:45" x14ac:dyDescent="0.35">
      <c r="A1505" t="s">
        <v>45</v>
      </c>
      <c r="B1505" t="s">
        <v>3378</v>
      </c>
      <c r="C1505" t="s">
        <v>47</v>
      </c>
      <c r="D1505" t="s">
        <v>3387</v>
      </c>
      <c r="E1505" t="s">
        <v>3387</v>
      </c>
      <c r="F1505" t="s">
        <v>49</v>
      </c>
      <c r="G1505" t="s">
        <v>3388</v>
      </c>
      <c r="H1505" t="s">
        <v>3389</v>
      </c>
      <c r="J1505" t="str">
        <f>HYPERLINK("https://www.facebook.com/357267201017935/inbox/7134945403250047/","https://www.facebook.com/357267201017935/inbox/7134945403250047/")</f>
        <v>https://www.facebook.com/357267201017935/inbox/7134945403250047/</v>
      </c>
      <c r="O1505">
        <v>0</v>
      </c>
      <c r="P1505">
        <v>0</v>
      </c>
      <c r="Q1505">
        <v>0</v>
      </c>
      <c r="S1505">
        <v>0</v>
      </c>
      <c r="T1505">
        <v>0</v>
      </c>
      <c r="U1505">
        <v>0</v>
      </c>
      <c r="W1505" t="s">
        <v>52</v>
      </c>
      <c r="AS1505" t="s">
        <v>375</v>
      </c>
    </row>
    <row r="1506" spans="1:45" x14ac:dyDescent="0.35">
      <c r="A1506" t="s">
        <v>45</v>
      </c>
      <c r="B1506" t="s">
        <v>3378</v>
      </c>
      <c r="C1506" t="s">
        <v>102</v>
      </c>
      <c r="D1506" t="s">
        <v>3390</v>
      </c>
      <c r="E1506" t="s">
        <v>3390</v>
      </c>
      <c r="F1506" t="s">
        <v>49</v>
      </c>
      <c r="G1506" t="s">
        <v>1319</v>
      </c>
      <c r="H1506" t="s">
        <v>3391</v>
      </c>
      <c r="J1506" t="str">
        <f>HYPERLINK("https://www.linkedin.com/feed/update/urn:li:ugcPost:7171904109699186688","https://www.linkedin.com/feed/update/urn:li:ugcPost:7171904109699186688")</f>
        <v>https://www.linkedin.com/feed/update/urn:li:ugcPost:7171904109699186688</v>
      </c>
      <c r="O1506">
        <v>0</v>
      </c>
      <c r="P1506">
        <v>0</v>
      </c>
      <c r="Q1506">
        <v>0</v>
      </c>
      <c r="S1506">
        <v>0</v>
      </c>
      <c r="T1506">
        <v>0</v>
      </c>
      <c r="U1506">
        <v>0</v>
      </c>
      <c r="W1506" t="s">
        <v>106</v>
      </c>
    </row>
    <row r="1507" spans="1:45" x14ac:dyDescent="0.35">
      <c r="A1507" t="s">
        <v>45</v>
      </c>
      <c r="B1507" t="s">
        <v>3378</v>
      </c>
      <c r="C1507" t="s">
        <v>47</v>
      </c>
      <c r="D1507" t="s">
        <v>1284</v>
      </c>
      <c r="E1507" t="s">
        <v>1284</v>
      </c>
      <c r="F1507" t="s">
        <v>49</v>
      </c>
      <c r="G1507" t="s">
        <v>3392</v>
      </c>
      <c r="H1507" t="s">
        <v>3393</v>
      </c>
      <c r="J1507" t="str">
        <f>HYPERLINK("https://www.facebook.com/454965103328545/posts/781248867366832?comment_id=417605017512596","https://www.facebook.com/454965103328545/posts/781248867366832?comment_id=417605017512596")</f>
        <v>https://www.facebook.com/454965103328545/posts/781248867366832?comment_id=417605017512596</v>
      </c>
      <c r="O1507">
        <v>0</v>
      </c>
      <c r="P1507">
        <v>0</v>
      </c>
      <c r="Q1507">
        <v>0</v>
      </c>
      <c r="S1507">
        <v>0</v>
      </c>
      <c r="T1507">
        <v>0</v>
      </c>
      <c r="U1507">
        <v>0</v>
      </c>
      <c r="W1507" t="s">
        <v>62</v>
      </c>
      <c r="AS1507" t="s">
        <v>375</v>
      </c>
    </row>
    <row r="1508" spans="1:45" x14ac:dyDescent="0.35">
      <c r="A1508" t="s">
        <v>45</v>
      </c>
      <c r="B1508" t="s">
        <v>3378</v>
      </c>
      <c r="C1508" t="s">
        <v>47</v>
      </c>
      <c r="D1508" t="s">
        <v>445</v>
      </c>
      <c r="E1508" t="s">
        <v>445</v>
      </c>
      <c r="F1508" t="s">
        <v>49</v>
      </c>
      <c r="G1508" t="s">
        <v>477</v>
      </c>
      <c r="H1508" t="s">
        <v>3394</v>
      </c>
      <c r="J1508" t="str">
        <f>HYPERLINK("https://www.facebook.com/454965103328545/posts/784345853723800?comment_id=3674382019514098","https://www.facebook.com/454965103328545/posts/784345853723800?comment_id=3674382019514098")</f>
        <v>https://www.facebook.com/454965103328545/posts/784345853723800?comment_id=3674382019514098</v>
      </c>
      <c r="O1508">
        <v>0</v>
      </c>
      <c r="P1508">
        <v>0</v>
      </c>
      <c r="Q1508">
        <v>0</v>
      </c>
      <c r="S1508">
        <v>0</v>
      </c>
      <c r="T1508">
        <v>0</v>
      </c>
      <c r="U1508">
        <v>0</v>
      </c>
      <c r="W1508" t="s">
        <v>62</v>
      </c>
    </row>
    <row r="1509" spans="1:45" x14ac:dyDescent="0.35">
      <c r="A1509" t="s">
        <v>45</v>
      </c>
      <c r="B1509" t="s">
        <v>3378</v>
      </c>
      <c r="C1509" t="s">
        <v>47</v>
      </c>
      <c r="D1509" t="s">
        <v>445</v>
      </c>
      <c r="E1509" t="s">
        <v>445</v>
      </c>
      <c r="F1509" t="s">
        <v>49</v>
      </c>
      <c r="G1509" t="s">
        <v>477</v>
      </c>
      <c r="H1509" t="s">
        <v>3395</v>
      </c>
      <c r="J1509" t="str">
        <f>HYPERLINK("https://www.facebook.com/454965103328545/posts/784345853723800?comment_id=633394802265805","https://www.facebook.com/454965103328545/posts/784345853723800?comment_id=633394802265805")</f>
        <v>https://www.facebook.com/454965103328545/posts/784345853723800?comment_id=633394802265805</v>
      </c>
      <c r="O1509">
        <v>0</v>
      </c>
      <c r="P1509">
        <v>0</v>
      </c>
      <c r="Q1509">
        <v>0</v>
      </c>
      <c r="S1509">
        <v>0</v>
      </c>
      <c r="T1509">
        <v>0</v>
      </c>
      <c r="U1509">
        <v>0</v>
      </c>
      <c r="W1509" t="s">
        <v>62</v>
      </c>
    </row>
    <row r="1510" spans="1:45" x14ac:dyDescent="0.35">
      <c r="A1510" t="s">
        <v>45</v>
      </c>
      <c r="B1510" t="s">
        <v>3378</v>
      </c>
      <c r="C1510" t="s">
        <v>47</v>
      </c>
      <c r="D1510" t="s">
        <v>445</v>
      </c>
      <c r="E1510" t="s">
        <v>445</v>
      </c>
      <c r="F1510" t="s">
        <v>49</v>
      </c>
      <c r="G1510" t="s">
        <v>477</v>
      </c>
      <c r="H1510" t="s">
        <v>3396</v>
      </c>
      <c r="J1510" t="str">
        <f>HYPERLINK("https://www.facebook.com/454965103328545/posts/784345853723800?comment_id=1112513006613095","https://www.facebook.com/454965103328545/posts/784345853723800?comment_id=1112513006613095")</f>
        <v>https://www.facebook.com/454965103328545/posts/784345853723800?comment_id=1112513006613095</v>
      </c>
      <c r="O1510">
        <v>0</v>
      </c>
      <c r="P1510">
        <v>0</v>
      </c>
      <c r="Q1510">
        <v>0</v>
      </c>
      <c r="S1510">
        <v>0</v>
      </c>
      <c r="T1510">
        <v>0</v>
      </c>
      <c r="U1510">
        <v>0</v>
      </c>
      <c r="W1510" t="s">
        <v>62</v>
      </c>
    </row>
    <row r="1511" spans="1:45" x14ac:dyDescent="0.35">
      <c r="A1511" t="s">
        <v>45</v>
      </c>
      <c r="B1511" t="s">
        <v>3378</v>
      </c>
      <c r="C1511" t="s">
        <v>58</v>
      </c>
      <c r="D1511" t="s">
        <v>3397</v>
      </c>
      <c r="E1511" t="s">
        <v>3397</v>
      </c>
      <c r="F1511" t="s">
        <v>76</v>
      </c>
      <c r="G1511" t="s">
        <v>3398</v>
      </c>
      <c r="H1511" t="s">
        <v>3399</v>
      </c>
      <c r="J1511" t="str">
        <f>HYPERLINK("https://www.youtube.com/watch?v=p-nY0-5CGjU","https://www.youtube.com/watch?v=p-nY0-5CGjU")</f>
        <v>https://www.youtube.com/watch?v=p-nY0-5CGjU</v>
      </c>
      <c r="O1511">
        <v>0</v>
      </c>
      <c r="P1511">
        <v>0</v>
      </c>
      <c r="Q1511">
        <v>0</v>
      </c>
      <c r="S1511">
        <v>0</v>
      </c>
      <c r="T1511">
        <v>0</v>
      </c>
      <c r="U1511">
        <v>0</v>
      </c>
      <c r="W1511" t="s">
        <v>106</v>
      </c>
      <c r="AP1511" t="s">
        <v>101</v>
      </c>
    </row>
    <row r="1512" spans="1:45" x14ac:dyDescent="0.35">
      <c r="A1512" t="s">
        <v>45</v>
      </c>
      <c r="B1512" t="s">
        <v>3378</v>
      </c>
      <c r="C1512" t="s">
        <v>47</v>
      </c>
      <c r="D1512" t="s">
        <v>445</v>
      </c>
      <c r="E1512" t="s">
        <v>445</v>
      </c>
      <c r="F1512" t="s">
        <v>49</v>
      </c>
      <c r="G1512" t="s">
        <v>477</v>
      </c>
      <c r="H1512" t="s">
        <v>3400</v>
      </c>
      <c r="J1512" t="str">
        <f>HYPERLINK("https://www.facebook.com/454965103328545/posts/784345853723800?comment_id=289204920679588","https://www.facebook.com/454965103328545/posts/784345853723800?comment_id=289204920679588")</f>
        <v>https://www.facebook.com/454965103328545/posts/784345853723800?comment_id=289204920679588</v>
      </c>
      <c r="O1512">
        <v>0</v>
      </c>
      <c r="P1512">
        <v>0</v>
      </c>
      <c r="Q1512">
        <v>0</v>
      </c>
      <c r="S1512">
        <v>0</v>
      </c>
      <c r="T1512">
        <v>0</v>
      </c>
      <c r="U1512">
        <v>0</v>
      </c>
      <c r="W1512" t="s">
        <v>62</v>
      </c>
    </row>
    <row r="1513" spans="1:45" x14ac:dyDescent="0.35">
      <c r="A1513" t="s">
        <v>45</v>
      </c>
      <c r="B1513" t="s">
        <v>3378</v>
      </c>
      <c r="C1513" t="s">
        <v>47</v>
      </c>
      <c r="D1513" t="s">
        <v>445</v>
      </c>
      <c r="E1513" t="s">
        <v>445</v>
      </c>
      <c r="F1513" t="s">
        <v>49</v>
      </c>
      <c r="G1513" t="s">
        <v>477</v>
      </c>
      <c r="H1513" t="s">
        <v>3401</v>
      </c>
      <c r="J1513" t="str">
        <f>HYPERLINK("https://www.facebook.com/454965103328545/posts/784345853723800?comment_id=794907645844948","https://www.facebook.com/454965103328545/posts/784345853723800?comment_id=794907645844948")</f>
        <v>https://www.facebook.com/454965103328545/posts/784345853723800?comment_id=794907645844948</v>
      </c>
      <c r="O1513">
        <v>0</v>
      </c>
      <c r="P1513">
        <v>0</v>
      </c>
      <c r="Q1513">
        <v>0</v>
      </c>
      <c r="S1513">
        <v>0</v>
      </c>
      <c r="T1513">
        <v>0</v>
      </c>
      <c r="U1513">
        <v>0</v>
      </c>
      <c r="W1513" t="s">
        <v>62</v>
      </c>
    </row>
    <row r="1514" spans="1:45" x14ac:dyDescent="0.35">
      <c r="A1514" t="s">
        <v>45</v>
      </c>
      <c r="B1514" t="s">
        <v>3378</v>
      </c>
      <c r="C1514" t="s">
        <v>47</v>
      </c>
      <c r="D1514" t="s">
        <v>445</v>
      </c>
      <c r="E1514" t="s">
        <v>445</v>
      </c>
      <c r="F1514" t="s">
        <v>49</v>
      </c>
      <c r="G1514" t="s">
        <v>477</v>
      </c>
      <c r="H1514" t="s">
        <v>3402</v>
      </c>
      <c r="J1514" t="str">
        <f>HYPERLINK("https://www.facebook.com/454965103328545/posts/784345853723800?comment_id=7295403433907902","https://www.facebook.com/454965103328545/posts/784345853723800?comment_id=7295403433907902")</f>
        <v>https://www.facebook.com/454965103328545/posts/784345853723800?comment_id=7295403433907902</v>
      </c>
      <c r="O1514">
        <v>0</v>
      </c>
      <c r="P1514">
        <v>0</v>
      </c>
      <c r="Q1514">
        <v>0</v>
      </c>
      <c r="S1514">
        <v>0</v>
      </c>
      <c r="T1514">
        <v>0</v>
      </c>
      <c r="U1514">
        <v>0</v>
      </c>
      <c r="W1514" t="s">
        <v>62</v>
      </c>
    </row>
    <row r="1515" spans="1:45" x14ac:dyDescent="0.35">
      <c r="A1515" t="s">
        <v>45</v>
      </c>
      <c r="B1515" t="s">
        <v>3378</v>
      </c>
      <c r="C1515" t="s">
        <v>47</v>
      </c>
      <c r="D1515" t="s">
        <v>445</v>
      </c>
      <c r="E1515" t="s">
        <v>445</v>
      </c>
      <c r="F1515" t="s">
        <v>49</v>
      </c>
      <c r="G1515" t="s">
        <v>477</v>
      </c>
      <c r="H1515" t="s">
        <v>3403</v>
      </c>
      <c r="J1515" t="str">
        <f>HYPERLINK("https://www.facebook.com/454965103328545/posts/784345853723800?comment_id=1166825171326640","https://www.facebook.com/454965103328545/posts/784345853723800?comment_id=1166825171326640")</f>
        <v>https://www.facebook.com/454965103328545/posts/784345853723800?comment_id=1166825171326640</v>
      </c>
      <c r="O1515">
        <v>0</v>
      </c>
      <c r="P1515">
        <v>0</v>
      </c>
      <c r="Q1515">
        <v>0</v>
      </c>
      <c r="S1515">
        <v>0</v>
      </c>
      <c r="T1515">
        <v>0</v>
      </c>
      <c r="U1515">
        <v>0</v>
      </c>
      <c r="W1515" t="s">
        <v>62</v>
      </c>
    </row>
    <row r="1516" spans="1:45" x14ac:dyDescent="0.35">
      <c r="A1516" t="s">
        <v>45</v>
      </c>
      <c r="B1516" t="s">
        <v>3378</v>
      </c>
      <c r="C1516" t="s">
        <v>47</v>
      </c>
      <c r="D1516" t="s">
        <v>445</v>
      </c>
      <c r="E1516" t="s">
        <v>445</v>
      </c>
      <c r="F1516" t="s">
        <v>49</v>
      </c>
      <c r="G1516" t="s">
        <v>477</v>
      </c>
      <c r="H1516" t="s">
        <v>3404</v>
      </c>
      <c r="J1516" t="str">
        <f>HYPERLINK("https://www.facebook.com/454965103328545/posts/784345853723800?comment_id=1474651453120807","https://www.facebook.com/454965103328545/posts/784345853723800?comment_id=1474651453120807")</f>
        <v>https://www.facebook.com/454965103328545/posts/784345853723800?comment_id=1474651453120807</v>
      </c>
      <c r="O1516">
        <v>0</v>
      </c>
      <c r="P1516">
        <v>0</v>
      </c>
      <c r="Q1516">
        <v>0</v>
      </c>
      <c r="S1516">
        <v>0</v>
      </c>
      <c r="T1516">
        <v>0</v>
      </c>
      <c r="U1516">
        <v>0</v>
      </c>
      <c r="W1516" t="s">
        <v>62</v>
      </c>
    </row>
    <row r="1517" spans="1:45" x14ac:dyDescent="0.35">
      <c r="A1517" t="s">
        <v>45</v>
      </c>
      <c r="B1517" t="s">
        <v>3378</v>
      </c>
      <c r="C1517" t="s">
        <v>47</v>
      </c>
      <c r="D1517" t="s">
        <v>445</v>
      </c>
      <c r="E1517" t="s">
        <v>445</v>
      </c>
      <c r="F1517" t="s">
        <v>49</v>
      </c>
      <c r="G1517" t="s">
        <v>477</v>
      </c>
      <c r="H1517" t="s">
        <v>3405</v>
      </c>
      <c r="J1517" t="str">
        <f>HYPERLINK("https://www.facebook.com/454965103328545/posts/784345853723800?comment_id=389384880465712","https://www.facebook.com/454965103328545/posts/784345853723800?comment_id=389384880465712")</f>
        <v>https://www.facebook.com/454965103328545/posts/784345853723800?comment_id=389384880465712</v>
      </c>
      <c r="O1517">
        <v>0</v>
      </c>
      <c r="P1517">
        <v>0</v>
      </c>
      <c r="Q1517">
        <v>0</v>
      </c>
      <c r="S1517">
        <v>0</v>
      </c>
      <c r="T1517">
        <v>0</v>
      </c>
      <c r="U1517">
        <v>0</v>
      </c>
      <c r="W1517" t="s">
        <v>62</v>
      </c>
    </row>
    <row r="1518" spans="1:45" x14ac:dyDescent="0.35">
      <c r="A1518" t="s">
        <v>45</v>
      </c>
      <c r="B1518" t="s">
        <v>3378</v>
      </c>
      <c r="C1518" t="s">
        <v>47</v>
      </c>
      <c r="D1518" t="s">
        <v>445</v>
      </c>
      <c r="E1518" t="s">
        <v>445</v>
      </c>
      <c r="F1518" t="s">
        <v>49</v>
      </c>
      <c r="G1518" t="s">
        <v>477</v>
      </c>
      <c r="H1518" t="s">
        <v>3406</v>
      </c>
      <c r="J1518" t="str">
        <f>HYPERLINK("https://www.facebook.com/454965103328545/posts/784345853723800?comment_id=1767426630403901","https://www.facebook.com/454965103328545/posts/784345853723800?comment_id=1767426630403901")</f>
        <v>https://www.facebook.com/454965103328545/posts/784345853723800?comment_id=1767426630403901</v>
      </c>
      <c r="O1518">
        <v>0</v>
      </c>
      <c r="P1518">
        <v>0</v>
      </c>
      <c r="Q1518">
        <v>0</v>
      </c>
      <c r="S1518">
        <v>0</v>
      </c>
      <c r="T1518">
        <v>0</v>
      </c>
      <c r="U1518">
        <v>0</v>
      </c>
      <c r="W1518" t="s">
        <v>62</v>
      </c>
    </row>
    <row r="1519" spans="1:45" x14ac:dyDescent="0.35">
      <c r="A1519" t="s">
        <v>45</v>
      </c>
      <c r="B1519" t="s">
        <v>3378</v>
      </c>
      <c r="C1519" t="s">
        <v>47</v>
      </c>
      <c r="D1519" t="s">
        <v>445</v>
      </c>
      <c r="E1519" t="s">
        <v>445</v>
      </c>
      <c r="F1519" t="s">
        <v>49</v>
      </c>
      <c r="G1519" t="s">
        <v>477</v>
      </c>
      <c r="H1519" t="s">
        <v>3407</v>
      </c>
      <c r="J1519" t="str">
        <f>HYPERLINK("https://www.facebook.com/454965103328545/posts/784345853723800?comment_id=429768649612938","https://www.facebook.com/454965103328545/posts/784345853723800?comment_id=429768649612938")</f>
        <v>https://www.facebook.com/454965103328545/posts/784345853723800?comment_id=429768649612938</v>
      </c>
      <c r="O1519">
        <v>0</v>
      </c>
      <c r="P1519">
        <v>0</v>
      </c>
      <c r="Q1519">
        <v>0</v>
      </c>
      <c r="S1519">
        <v>0</v>
      </c>
      <c r="T1519">
        <v>0</v>
      </c>
      <c r="U1519">
        <v>0</v>
      </c>
      <c r="W1519" t="s">
        <v>62</v>
      </c>
    </row>
    <row r="1520" spans="1:45" x14ac:dyDescent="0.35">
      <c r="A1520" t="s">
        <v>45</v>
      </c>
      <c r="B1520" t="s">
        <v>3378</v>
      </c>
      <c r="C1520" t="s">
        <v>47</v>
      </c>
      <c r="D1520" t="s">
        <v>445</v>
      </c>
      <c r="E1520" t="s">
        <v>445</v>
      </c>
      <c r="F1520" t="s">
        <v>49</v>
      </c>
      <c r="G1520" t="s">
        <v>477</v>
      </c>
      <c r="H1520" t="s">
        <v>3408</v>
      </c>
      <c r="J1520" t="str">
        <f>HYPERLINK("https://www.facebook.com/454965103328545/posts/784345853723800?comment_id=7702668573085323","https://www.facebook.com/454965103328545/posts/784345853723800?comment_id=7702668573085323")</f>
        <v>https://www.facebook.com/454965103328545/posts/784345853723800?comment_id=7702668573085323</v>
      </c>
      <c r="O1520">
        <v>0</v>
      </c>
      <c r="P1520">
        <v>0</v>
      </c>
      <c r="Q1520">
        <v>0</v>
      </c>
      <c r="S1520">
        <v>0</v>
      </c>
      <c r="T1520">
        <v>0</v>
      </c>
      <c r="U1520">
        <v>0</v>
      </c>
      <c r="W1520" t="s">
        <v>62</v>
      </c>
    </row>
    <row r="1521" spans="1:45" x14ac:dyDescent="0.35">
      <c r="A1521" t="s">
        <v>45</v>
      </c>
      <c r="B1521" t="s">
        <v>3378</v>
      </c>
      <c r="C1521" t="s">
        <v>47</v>
      </c>
      <c r="D1521" t="s">
        <v>445</v>
      </c>
      <c r="E1521" t="s">
        <v>445</v>
      </c>
      <c r="F1521" t="s">
        <v>49</v>
      </c>
      <c r="G1521" t="s">
        <v>477</v>
      </c>
      <c r="H1521" t="s">
        <v>3409</v>
      </c>
      <c r="J1521" t="str">
        <f>HYPERLINK("https://www.facebook.com/454965103328545/posts/784345853723800?comment_id=1132912724546478","https://www.facebook.com/454965103328545/posts/784345853723800?comment_id=1132912724546478")</f>
        <v>https://www.facebook.com/454965103328545/posts/784345853723800?comment_id=1132912724546478</v>
      </c>
      <c r="O1521">
        <v>0</v>
      </c>
      <c r="P1521">
        <v>0</v>
      </c>
      <c r="Q1521">
        <v>0</v>
      </c>
      <c r="S1521">
        <v>0</v>
      </c>
      <c r="T1521">
        <v>0</v>
      </c>
      <c r="U1521">
        <v>0</v>
      </c>
      <c r="W1521" t="s">
        <v>62</v>
      </c>
    </row>
    <row r="1522" spans="1:45" x14ac:dyDescent="0.35">
      <c r="A1522" t="s">
        <v>45</v>
      </c>
      <c r="B1522" t="s">
        <v>3378</v>
      </c>
      <c r="C1522" t="s">
        <v>47</v>
      </c>
      <c r="D1522" t="s">
        <v>445</v>
      </c>
      <c r="E1522" t="s">
        <v>445</v>
      </c>
      <c r="F1522" t="s">
        <v>49</v>
      </c>
      <c r="G1522" t="s">
        <v>3410</v>
      </c>
      <c r="H1522" t="s">
        <v>3411</v>
      </c>
      <c r="J1522" t="str">
        <f>HYPERLINK("https://www.facebook.com/454965103328545/posts/768718115286574?comment_id=317804870909169","https://www.facebook.com/454965103328545/posts/768718115286574?comment_id=317804870909169")</f>
        <v>https://www.facebook.com/454965103328545/posts/768718115286574?comment_id=317804870909169</v>
      </c>
      <c r="O1522">
        <v>0</v>
      </c>
      <c r="P1522">
        <v>0</v>
      </c>
      <c r="Q1522">
        <v>0</v>
      </c>
      <c r="S1522">
        <v>0</v>
      </c>
      <c r="T1522">
        <v>0</v>
      </c>
      <c r="U1522">
        <v>0</v>
      </c>
      <c r="W1522" t="s">
        <v>62</v>
      </c>
    </row>
    <row r="1523" spans="1:45" x14ac:dyDescent="0.35">
      <c r="A1523" t="s">
        <v>45</v>
      </c>
      <c r="B1523" t="s">
        <v>3378</v>
      </c>
      <c r="C1523" t="s">
        <v>47</v>
      </c>
      <c r="D1523" t="s">
        <v>445</v>
      </c>
      <c r="E1523" t="s">
        <v>445</v>
      </c>
      <c r="F1523" t="s">
        <v>49</v>
      </c>
      <c r="G1523" t="s">
        <v>3412</v>
      </c>
      <c r="H1523" t="s">
        <v>3413</v>
      </c>
      <c r="J1523" t="str">
        <f>HYPERLINK("https://www.facebook.com/454965103328545/posts/780222857469433?comment_id=367384792780228","https://www.facebook.com/454965103328545/posts/780222857469433?comment_id=367384792780228")</f>
        <v>https://www.facebook.com/454965103328545/posts/780222857469433?comment_id=367384792780228</v>
      </c>
      <c r="O1523">
        <v>0</v>
      </c>
      <c r="P1523">
        <v>0</v>
      </c>
      <c r="Q1523">
        <v>0</v>
      </c>
      <c r="S1523">
        <v>0</v>
      </c>
      <c r="T1523">
        <v>0</v>
      </c>
      <c r="U1523">
        <v>0</v>
      </c>
      <c r="W1523" t="s">
        <v>62</v>
      </c>
    </row>
    <row r="1524" spans="1:45" x14ac:dyDescent="0.35">
      <c r="A1524" t="s">
        <v>45</v>
      </c>
      <c r="B1524" t="s">
        <v>3378</v>
      </c>
      <c r="C1524" t="s">
        <v>47</v>
      </c>
      <c r="D1524" t="s">
        <v>445</v>
      </c>
      <c r="E1524" t="s">
        <v>445</v>
      </c>
      <c r="F1524" t="s">
        <v>49</v>
      </c>
      <c r="G1524" t="s">
        <v>3414</v>
      </c>
      <c r="H1524" t="s">
        <v>3415</v>
      </c>
      <c r="J1524" t="str">
        <f>HYPERLINK("https://www.facebook.com/454965103328545/posts/768713601953692?comment_id=1395400211117391","https://www.facebook.com/454965103328545/posts/768713601953692?comment_id=1395400211117391")</f>
        <v>https://www.facebook.com/454965103328545/posts/768713601953692?comment_id=1395400211117391</v>
      </c>
      <c r="O1524">
        <v>0</v>
      </c>
      <c r="P1524">
        <v>0</v>
      </c>
      <c r="Q1524">
        <v>0</v>
      </c>
      <c r="S1524">
        <v>0</v>
      </c>
      <c r="T1524">
        <v>0</v>
      </c>
      <c r="U1524">
        <v>0</v>
      </c>
      <c r="W1524" t="s">
        <v>62</v>
      </c>
    </row>
    <row r="1525" spans="1:45" x14ac:dyDescent="0.35">
      <c r="A1525" t="s">
        <v>45</v>
      </c>
      <c r="B1525" t="s">
        <v>3378</v>
      </c>
      <c r="C1525" t="s">
        <v>47</v>
      </c>
      <c r="D1525" t="s">
        <v>445</v>
      </c>
      <c r="E1525" t="s">
        <v>445</v>
      </c>
      <c r="F1525" t="s">
        <v>49</v>
      </c>
      <c r="G1525" t="s">
        <v>3416</v>
      </c>
      <c r="H1525" t="s">
        <v>3417</v>
      </c>
      <c r="J1525" t="str">
        <f>HYPERLINK("https://www.facebook.com/454965103328545/posts/780754084082977?comment_id=730985382507887","https://www.facebook.com/454965103328545/posts/780754084082977?comment_id=730985382507887")</f>
        <v>https://www.facebook.com/454965103328545/posts/780754084082977?comment_id=730985382507887</v>
      </c>
      <c r="O1525">
        <v>0</v>
      </c>
      <c r="P1525">
        <v>0</v>
      </c>
      <c r="Q1525">
        <v>0</v>
      </c>
      <c r="S1525">
        <v>0</v>
      </c>
      <c r="T1525">
        <v>0</v>
      </c>
      <c r="U1525">
        <v>0</v>
      </c>
      <c r="W1525" t="s">
        <v>62</v>
      </c>
    </row>
    <row r="1526" spans="1:45" x14ac:dyDescent="0.35">
      <c r="A1526" t="s">
        <v>45</v>
      </c>
      <c r="B1526" t="s">
        <v>3378</v>
      </c>
      <c r="C1526" t="s">
        <v>47</v>
      </c>
      <c r="D1526" t="s">
        <v>445</v>
      </c>
      <c r="E1526" t="s">
        <v>445</v>
      </c>
      <c r="F1526" t="s">
        <v>49</v>
      </c>
      <c r="G1526" t="s">
        <v>3418</v>
      </c>
      <c r="H1526" t="s">
        <v>3419</v>
      </c>
      <c r="J1526" t="str">
        <f>HYPERLINK("https://www.facebook.com/454965103328545/posts/780754084082977?comment_id=705864694769351&amp;reply_comment_id=955824486069291","https://www.facebook.com/454965103328545/posts/780754084082977?comment_id=705864694769351&amp;reply_comment_id=955824486069291")</f>
        <v>https://www.facebook.com/454965103328545/posts/780754084082977?comment_id=705864694769351&amp;reply_comment_id=955824486069291</v>
      </c>
      <c r="O1526">
        <v>0</v>
      </c>
      <c r="P1526">
        <v>0</v>
      </c>
      <c r="Q1526">
        <v>0</v>
      </c>
      <c r="S1526">
        <v>0</v>
      </c>
      <c r="T1526">
        <v>0</v>
      </c>
      <c r="U1526">
        <v>0</v>
      </c>
      <c r="W1526" t="s">
        <v>62</v>
      </c>
      <c r="AS1526" t="s">
        <v>375</v>
      </c>
    </row>
    <row r="1527" spans="1:45" x14ac:dyDescent="0.35">
      <c r="A1527" t="s">
        <v>45</v>
      </c>
      <c r="B1527" t="s">
        <v>3378</v>
      </c>
      <c r="C1527" t="s">
        <v>47</v>
      </c>
      <c r="D1527" t="s">
        <v>445</v>
      </c>
      <c r="E1527" t="s">
        <v>445</v>
      </c>
      <c r="F1527" t="s">
        <v>49</v>
      </c>
      <c r="G1527" t="s">
        <v>3420</v>
      </c>
      <c r="H1527" t="s">
        <v>3421</v>
      </c>
      <c r="J1527" t="str">
        <f>HYPERLINK("https://www.facebook.com/454965103328545/posts/780754084082977?comment_id=705864694769351&amp;reply_comment_id=7241100556011638","https://www.facebook.com/454965103328545/posts/780754084082977?comment_id=705864694769351&amp;reply_comment_id=7241100556011638")</f>
        <v>https://www.facebook.com/454965103328545/posts/780754084082977?comment_id=705864694769351&amp;reply_comment_id=7241100556011638</v>
      </c>
      <c r="O1527">
        <v>0</v>
      </c>
      <c r="P1527">
        <v>0</v>
      </c>
      <c r="Q1527">
        <v>0</v>
      </c>
      <c r="S1527">
        <v>0</v>
      </c>
      <c r="T1527">
        <v>0</v>
      </c>
      <c r="U1527">
        <v>0</v>
      </c>
      <c r="W1527" t="s">
        <v>62</v>
      </c>
      <c r="AS1527" t="s">
        <v>375</v>
      </c>
    </row>
    <row r="1528" spans="1:45" x14ac:dyDescent="0.35">
      <c r="A1528" t="s">
        <v>45</v>
      </c>
      <c r="B1528" t="s">
        <v>3378</v>
      </c>
      <c r="C1528" t="s">
        <v>47</v>
      </c>
      <c r="D1528" t="s">
        <v>445</v>
      </c>
      <c r="E1528" t="s">
        <v>445</v>
      </c>
      <c r="F1528" t="s">
        <v>49</v>
      </c>
      <c r="G1528" t="s">
        <v>3422</v>
      </c>
      <c r="H1528" t="s">
        <v>3423</v>
      </c>
      <c r="J1528" t="str">
        <f>HYPERLINK("https://www.facebook.com/454965103328545/posts/782589610566091?comment_id=478515604739172","https://www.facebook.com/454965103328545/posts/782589610566091?comment_id=478515604739172")</f>
        <v>https://www.facebook.com/454965103328545/posts/782589610566091?comment_id=478515604739172</v>
      </c>
      <c r="O1528">
        <v>0</v>
      </c>
      <c r="P1528">
        <v>0</v>
      </c>
      <c r="Q1528">
        <v>0</v>
      </c>
      <c r="S1528">
        <v>0</v>
      </c>
      <c r="T1528">
        <v>0</v>
      </c>
      <c r="U1528">
        <v>0</v>
      </c>
      <c r="W1528" t="s">
        <v>62</v>
      </c>
    </row>
    <row r="1529" spans="1:45" x14ac:dyDescent="0.35">
      <c r="A1529" t="s">
        <v>45</v>
      </c>
      <c r="B1529" t="s">
        <v>3378</v>
      </c>
      <c r="C1529" t="s">
        <v>47</v>
      </c>
      <c r="D1529" t="s">
        <v>445</v>
      </c>
      <c r="E1529" t="s">
        <v>445</v>
      </c>
      <c r="F1529" t="s">
        <v>49</v>
      </c>
      <c r="G1529" t="s">
        <v>3424</v>
      </c>
      <c r="H1529" t="s">
        <v>3425</v>
      </c>
      <c r="J1529" t="str">
        <f>HYPERLINK("https://www.facebook.com/454965103328545/posts/784345853723800?comment_id=949080016892647","https://www.facebook.com/454965103328545/posts/784345853723800?comment_id=949080016892647")</f>
        <v>https://www.facebook.com/454965103328545/posts/784345853723800?comment_id=949080016892647</v>
      </c>
      <c r="O1529">
        <v>0</v>
      </c>
      <c r="P1529">
        <v>0</v>
      </c>
      <c r="Q1529">
        <v>0</v>
      </c>
      <c r="S1529">
        <v>0</v>
      </c>
      <c r="T1529">
        <v>0</v>
      </c>
      <c r="U1529">
        <v>0</v>
      </c>
      <c r="W1529" t="s">
        <v>62</v>
      </c>
    </row>
    <row r="1530" spans="1:45" x14ac:dyDescent="0.35">
      <c r="A1530" t="s">
        <v>45</v>
      </c>
      <c r="B1530" t="s">
        <v>3378</v>
      </c>
      <c r="C1530" t="s">
        <v>47</v>
      </c>
      <c r="D1530" t="s">
        <v>445</v>
      </c>
      <c r="E1530" t="s">
        <v>445</v>
      </c>
      <c r="F1530" t="s">
        <v>49</v>
      </c>
      <c r="G1530" t="s">
        <v>3426</v>
      </c>
      <c r="H1530" t="s">
        <v>3427</v>
      </c>
      <c r="J1530" t="str">
        <f>HYPERLINK("https://www.facebook.com/454965103328545/posts/784345853723800?comment_id=937027134482887","https://www.facebook.com/454965103328545/posts/784345853723800?comment_id=937027134482887")</f>
        <v>https://www.facebook.com/454965103328545/posts/784345853723800?comment_id=937027134482887</v>
      </c>
      <c r="O1530">
        <v>0</v>
      </c>
      <c r="P1530">
        <v>0</v>
      </c>
      <c r="Q1530">
        <v>0</v>
      </c>
      <c r="S1530">
        <v>0</v>
      </c>
      <c r="T1530">
        <v>0</v>
      </c>
      <c r="U1530">
        <v>0</v>
      </c>
      <c r="W1530" t="s">
        <v>62</v>
      </c>
    </row>
    <row r="1531" spans="1:45" x14ac:dyDescent="0.35">
      <c r="A1531" t="s">
        <v>45</v>
      </c>
      <c r="B1531" t="s">
        <v>3378</v>
      </c>
      <c r="C1531" t="s">
        <v>47</v>
      </c>
      <c r="D1531" t="s">
        <v>445</v>
      </c>
      <c r="E1531" t="s">
        <v>445</v>
      </c>
      <c r="F1531" t="s">
        <v>49</v>
      </c>
      <c r="G1531" t="s">
        <v>477</v>
      </c>
      <c r="H1531" t="s">
        <v>3428</v>
      </c>
      <c r="J1531" t="str">
        <f>HYPERLINK("https://www.facebook.com/454965103328545/posts/784345853723800?comment_id=775813774016744","https://www.facebook.com/454965103328545/posts/784345853723800?comment_id=775813774016744")</f>
        <v>https://www.facebook.com/454965103328545/posts/784345853723800?comment_id=775813774016744</v>
      </c>
      <c r="O1531">
        <v>0</v>
      </c>
      <c r="P1531">
        <v>0</v>
      </c>
      <c r="Q1531">
        <v>0</v>
      </c>
      <c r="S1531">
        <v>0</v>
      </c>
      <c r="T1531">
        <v>0</v>
      </c>
      <c r="U1531">
        <v>0</v>
      </c>
      <c r="W1531" t="s">
        <v>62</v>
      </c>
    </row>
    <row r="1532" spans="1:45" x14ac:dyDescent="0.35">
      <c r="A1532" t="s">
        <v>45</v>
      </c>
      <c r="B1532" t="s">
        <v>3378</v>
      </c>
      <c r="C1532" t="s">
        <v>47</v>
      </c>
      <c r="D1532" t="s">
        <v>3429</v>
      </c>
      <c r="E1532" t="s">
        <v>3429</v>
      </c>
      <c r="F1532" t="s">
        <v>49</v>
      </c>
      <c r="G1532" t="s">
        <v>3430</v>
      </c>
      <c r="H1532" t="s">
        <v>3431</v>
      </c>
      <c r="J1532" t="str">
        <f>HYPERLINK("https://www.facebook.com/357267201017935/inbox/7134214276656493/","https://www.facebook.com/357267201017935/inbox/7134214276656493/")</f>
        <v>https://www.facebook.com/357267201017935/inbox/7134214276656493/</v>
      </c>
      <c r="O1532">
        <v>0</v>
      </c>
      <c r="P1532">
        <v>0</v>
      </c>
      <c r="Q1532">
        <v>0</v>
      </c>
      <c r="S1532">
        <v>0</v>
      </c>
      <c r="T1532">
        <v>0</v>
      </c>
      <c r="U1532">
        <v>0</v>
      </c>
      <c r="W1532" t="s">
        <v>52</v>
      </c>
    </row>
    <row r="1533" spans="1:45" x14ac:dyDescent="0.35">
      <c r="A1533" t="s">
        <v>45</v>
      </c>
      <c r="B1533" t="s">
        <v>3378</v>
      </c>
      <c r="C1533" t="s">
        <v>139</v>
      </c>
      <c r="D1533" t="s">
        <v>942</v>
      </c>
      <c r="E1533" t="s">
        <v>943</v>
      </c>
      <c r="F1533" t="s">
        <v>49</v>
      </c>
      <c r="G1533" t="s">
        <v>3334</v>
      </c>
      <c r="H1533" t="s">
        <v>3432</v>
      </c>
      <c r="J1533" t="str">
        <f>HYPERLINK("https://twitter.com/rajendras1819/status/1766064955831496755","https://twitter.com/rajendras1819/status/1766064955831496755")</f>
        <v>https://twitter.com/rajendras1819/status/1766064955831496755</v>
      </c>
      <c r="O1533">
        <v>0</v>
      </c>
      <c r="P1533">
        <v>0</v>
      </c>
      <c r="Q1533">
        <v>264</v>
      </c>
      <c r="R1533" t="s">
        <v>946</v>
      </c>
      <c r="S1533">
        <v>0</v>
      </c>
      <c r="T1533">
        <v>0</v>
      </c>
      <c r="U1533">
        <v>0</v>
      </c>
      <c r="W1533" t="s">
        <v>552</v>
      </c>
    </row>
    <row r="1534" spans="1:45" x14ac:dyDescent="0.35">
      <c r="A1534" t="s">
        <v>45</v>
      </c>
      <c r="B1534" t="s">
        <v>3378</v>
      </c>
      <c r="C1534" t="s">
        <v>63</v>
      </c>
      <c r="D1534" t="s">
        <v>186</v>
      </c>
      <c r="E1534" t="s">
        <v>186</v>
      </c>
      <c r="F1534" t="s">
        <v>49</v>
      </c>
      <c r="G1534" t="s">
        <v>3433</v>
      </c>
      <c r="H1534" t="s">
        <v>3434</v>
      </c>
      <c r="J1534" t="str">
        <f>HYPERLINK("https://www.instagram.com/reel/C4QGwE9CLXZ/","https://www.instagram.com/reel/C4QGwE9CLXZ/")</f>
        <v>https://www.instagram.com/reel/C4QGwE9CLXZ/</v>
      </c>
      <c r="O1534">
        <v>0</v>
      </c>
      <c r="P1534">
        <v>0</v>
      </c>
      <c r="Q1534">
        <v>0</v>
      </c>
      <c r="S1534">
        <v>4</v>
      </c>
      <c r="T1534">
        <v>67</v>
      </c>
      <c r="U1534">
        <v>0</v>
      </c>
      <c r="W1534" t="s">
        <v>106</v>
      </c>
    </row>
    <row r="1535" spans="1:45" x14ac:dyDescent="0.35">
      <c r="A1535" t="s">
        <v>45</v>
      </c>
      <c r="B1535" t="s">
        <v>3378</v>
      </c>
      <c r="C1535" t="s">
        <v>47</v>
      </c>
      <c r="D1535" t="s">
        <v>45</v>
      </c>
      <c r="E1535" t="s">
        <v>45</v>
      </c>
      <c r="F1535" t="s">
        <v>49</v>
      </c>
      <c r="G1535" t="s">
        <v>3433</v>
      </c>
      <c r="H1535" t="s">
        <v>3435</v>
      </c>
      <c r="J1535" t="str">
        <f>HYPERLINK("https://www.facebook.com/357267201017935_784345853723800","https://www.facebook.com/357267201017935_784345853723800")</f>
        <v>https://www.facebook.com/357267201017935_784345853723800</v>
      </c>
      <c r="O1535">
        <v>0</v>
      </c>
      <c r="P1535">
        <v>0</v>
      </c>
      <c r="Q1535">
        <v>0</v>
      </c>
      <c r="S1535">
        <v>23</v>
      </c>
      <c r="T1535">
        <v>47</v>
      </c>
      <c r="U1535">
        <v>8</v>
      </c>
      <c r="W1535" t="s">
        <v>106</v>
      </c>
    </row>
    <row r="1536" spans="1:45" x14ac:dyDescent="0.35">
      <c r="A1536" t="s">
        <v>45</v>
      </c>
      <c r="B1536" t="s">
        <v>3378</v>
      </c>
      <c r="C1536" t="s">
        <v>139</v>
      </c>
      <c r="D1536" t="s">
        <v>190</v>
      </c>
      <c r="E1536" t="s">
        <v>45</v>
      </c>
      <c r="F1536" t="s">
        <v>49</v>
      </c>
      <c r="G1536" t="s">
        <v>3334</v>
      </c>
      <c r="H1536" t="s">
        <v>3436</v>
      </c>
      <c r="J1536" t="str">
        <f>HYPERLINK("https://twitter.com/FinoPaymntsBank/status/1766063817245737061","https://twitter.com/FinoPaymntsBank/status/1766063817245737061")</f>
        <v>https://twitter.com/FinoPaymntsBank/status/1766063817245737061</v>
      </c>
      <c r="K1536" t="s">
        <v>145</v>
      </c>
      <c r="O1536">
        <v>0</v>
      </c>
      <c r="P1536">
        <v>0</v>
      </c>
      <c r="Q1536">
        <v>8427</v>
      </c>
      <c r="R1536" t="s">
        <v>193</v>
      </c>
      <c r="S1536">
        <v>0</v>
      </c>
      <c r="T1536">
        <v>0</v>
      </c>
      <c r="U1536">
        <v>0</v>
      </c>
      <c r="W1536" t="s">
        <v>146</v>
      </c>
    </row>
    <row r="1537" spans="1:45" x14ac:dyDescent="0.35">
      <c r="A1537" t="s">
        <v>45</v>
      </c>
      <c r="B1537" t="s">
        <v>3378</v>
      </c>
      <c r="C1537" t="s">
        <v>58</v>
      </c>
      <c r="D1537" t="s">
        <v>3437</v>
      </c>
      <c r="E1537" t="s">
        <v>3437</v>
      </c>
      <c r="F1537" t="s">
        <v>49</v>
      </c>
      <c r="G1537" t="s">
        <v>3438</v>
      </c>
      <c r="H1537" t="s">
        <v>3439</v>
      </c>
      <c r="J1537" t="str">
        <f>HYPERLINK("https://www.youtube.com/watch?v=dH9BxwcyYGs","https://www.youtube.com/watch?v=dH9BxwcyYGs")</f>
        <v>https://www.youtube.com/watch?v=dH9BxwcyYGs</v>
      </c>
      <c r="O1537">
        <v>0</v>
      </c>
      <c r="P1537">
        <v>0</v>
      </c>
      <c r="Q1537">
        <v>0</v>
      </c>
      <c r="S1537">
        <v>0</v>
      </c>
      <c r="T1537">
        <v>0</v>
      </c>
      <c r="U1537">
        <v>0</v>
      </c>
      <c r="W1537" t="s">
        <v>106</v>
      </c>
      <c r="AP1537" t="s">
        <v>94</v>
      </c>
    </row>
    <row r="1538" spans="1:45" x14ac:dyDescent="0.35">
      <c r="A1538" t="s">
        <v>45</v>
      </c>
      <c r="B1538" t="s">
        <v>3378</v>
      </c>
      <c r="C1538" t="s">
        <v>58</v>
      </c>
      <c r="D1538" t="s">
        <v>3440</v>
      </c>
      <c r="E1538" t="s">
        <v>3440</v>
      </c>
      <c r="F1538" t="s">
        <v>49</v>
      </c>
      <c r="G1538" t="s">
        <v>3441</v>
      </c>
      <c r="H1538" t="s">
        <v>3442</v>
      </c>
      <c r="J1538" t="str">
        <f>HYPERLINK("https://www.youtube.com/watch?v=z3uX-taZ_0E","https://www.youtube.com/watch?v=z3uX-taZ_0E")</f>
        <v>https://www.youtube.com/watch?v=z3uX-taZ_0E</v>
      </c>
      <c r="O1538">
        <v>0</v>
      </c>
      <c r="P1538">
        <v>0</v>
      </c>
      <c r="Q1538">
        <v>0</v>
      </c>
      <c r="S1538">
        <v>0</v>
      </c>
      <c r="T1538">
        <v>0</v>
      </c>
      <c r="U1538">
        <v>0</v>
      </c>
      <c r="W1538" t="s">
        <v>106</v>
      </c>
      <c r="AP1538" t="s">
        <v>101</v>
      </c>
    </row>
    <row r="1539" spans="1:45" x14ac:dyDescent="0.35">
      <c r="A1539" t="s">
        <v>45</v>
      </c>
      <c r="B1539" t="s">
        <v>3378</v>
      </c>
      <c r="C1539" t="s">
        <v>58</v>
      </c>
      <c r="D1539" t="s">
        <v>1240</v>
      </c>
      <c r="E1539" t="s">
        <v>1240</v>
      </c>
      <c r="F1539" t="s">
        <v>49</v>
      </c>
      <c r="G1539" t="s">
        <v>3443</v>
      </c>
      <c r="H1539" t="s">
        <v>3444</v>
      </c>
      <c r="J1539" t="str">
        <f>HYPERLINK("https://www.youtube.com/watch?v=GRXk755WnE8","https://www.youtube.com/watch?v=GRXk755WnE8")</f>
        <v>https://www.youtube.com/watch?v=GRXk755WnE8</v>
      </c>
      <c r="O1539">
        <v>0</v>
      </c>
      <c r="P1539">
        <v>0</v>
      </c>
      <c r="Q1539">
        <v>0</v>
      </c>
      <c r="S1539">
        <v>0</v>
      </c>
      <c r="T1539">
        <v>0</v>
      </c>
      <c r="U1539">
        <v>0</v>
      </c>
      <c r="W1539" t="s">
        <v>106</v>
      </c>
      <c r="AP1539" t="s">
        <v>101</v>
      </c>
    </row>
    <row r="1540" spans="1:45" x14ac:dyDescent="0.35">
      <c r="A1540" t="s">
        <v>45</v>
      </c>
      <c r="B1540" t="s">
        <v>3378</v>
      </c>
      <c r="C1540" t="s">
        <v>139</v>
      </c>
      <c r="D1540" t="s">
        <v>1820</v>
      </c>
      <c r="E1540" t="s">
        <v>1821</v>
      </c>
      <c r="F1540" t="s">
        <v>49</v>
      </c>
      <c r="G1540" t="s">
        <v>3445</v>
      </c>
      <c r="H1540" t="s">
        <v>3446</v>
      </c>
      <c r="J1540" t="str">
        <f>HYPERLINK("https://twitter.com/b_sakhi1935/status/1766043423533158421","https://twitter.com/b_sakhi1935/status/1766043423533158421")</f>
        <v>https://twitter.com/b_sakhi1935/status/1766043423533158421</v>
      </c>
      <c r="K1540" t="s">
        <v>1769</v>
      </c>
      <c r="O1540">
        <v>0</v>
      </c>
      <c r="P1540">
        <v>0</v>
      </c>
      <c r="Q1540">
        <v>0</v>
      </c>
      <c r="S1540">
        <v>0</v>
      </c>
      <c r="T1540">
        <v>0</v>
      </c>
      <c r="U1540">
        <v>0</v>
      </c>
      <c r="W1540" t="s">
        <v>146</v>
      </c>
    </row>
    <row r="1541" spans="1:45" x14ac:dyDescent="0.35">
      <c r="A1541" t="s">
        <v>45</v>
      </c>
      <c r="B1541" t="s">
        <v>3378</v>
      </c>
      <c r="C1541" t="s">
        <v>63</v>
      </c>
      <c r="D1541" t="s">
        <v>3447</v>
      </c>
      <c r="E1541" t="s">
        <v>3447</v>
      </c>
      <c r="F1541" t="s">
        <v>49</v>
      </c>
      <c r="G1541" t="s">
        <v>3448</v>
      </c>
      <c r="H1541" t="s">
        <v>3449</v>
      </c>
      <c r="J1541" t="str">
        <f>HYPERLINK("https://www.instagram.com/reel/C3-FSIDtNJZ/","https://www.instagram.com/reel/C3-FSIDtNJZ/")</f>
        <v>https://www.instagram.com/reel/C3-FSIDtNJZ/</v>
      </c>
      <c r="O1541">
        <v>0</v>
      </c>
      <c r="P1541">
        <v>0</v>
      </c>
      <c r="Q1541">
        <v>0</v>
      </c>
      <c r="S1541">
        <v>0</v>
      </c>
      <c r="T1541">
        <v>0</v>
      </c>
      <c r="U1541">
        <v>0</v>
      </c>
      <c r="W1541" t="s">
        <v>62</v>
      </c>
    </row>
    <row r="1542" spans="1:45" x14ac:dyDescent="0.35">
      <c r="A1542" t="s">
        <v>45</v>
      </c>
      <c r="B1542" t="s">
        <v>3378</v>
      </c>
      <c r="C1542" t="s">
        <v>47</v>
      </c>
      <c r="D1542" t="s">
        <v>445</v>
      </c>
      <c r="E1542" t="s">
        <v>445</v>
      </c>
      <c r="F1542" t="s">
        <v>49</v>
      </c>
      <c r="G1542" t="s">
        <v>3450</v>
      </c>
      <c r="H1542" t="s">
        <v>3451</v>
      </c>
      <c r="J1542" t="str">
        <f>HYPERLINK("https://www.facebook.com/454965103328545/posts/781248867366832?comment_id=922566259244213","https://www.facebook.com/454965103328545/posts/781248867366832?comment_id=922566259244213")</f>
        <v>https://www.facebook.com/454965103328545/posts/781248867366832?comment_id=922566259244213</v>
      </c>
      <c r="O1542">
        <v>0</v>
      </c>
      <c r="P1542">
        <v>0</v>
      </c>
      <c r="Q1542">
        <v>0</v>
      </c>
      <c r="S1542">
        <v>0</v>
      </c>
      <c r="T1542">
        <v>0</v>
      </c>
      <c r="U1542">
        <v>0</v>
      </c>
      <c r="W1542" t="s">
        <v>62</v>
      </c>
    </row>
    <row r="1543" spans="1:45" x14ac:dyDescent="0.35">
      <c r="A1543" t="s">
        <v>45</v>
      </c>
      <c r="B1543" t="s">
        <v>3378</v>
      </c>
      <c r="C1543" t="s">
        <v>47</v>
      </c>
      <c r="D1543" t="s">
        <v>445</v>
      </c>
      <c r="E1543" t="s">
        <v>445</v>
      </c>
      <c r="F1543" t="s">
        <v>49</v>
      </c>
      <c r="G1543" t="s">
        <v>1618</v>
      </c>
      <c r="H1543" t="s">
        <v>3452</v>
      </c>
      <c r="J1543" t="str">
        <f>HYPERLINK("https://www.facebook.com/454965103328545/posts/781248867366832?comment_id=952973096540191","https://www.facebook.com/454965103328545/posts/781248867366832?comment_id=952973096540191")</f>
        <v>https://www.facebook.com/454965103328545/posts/781248867366832?comment_id=952973096540191</v>
      </c>
      <c r="O1543">
        <v>0</v>
      </c>
      <c r="P1543">
        <v>0</v>
      </c>
      <c r="Q1543">
        <v>0</v>
      </c>
      <c r="S1543">
        <v>0</v>
      </c>
      <c r="T1543">
        <v>0</v>
      </c>
      <c r="U1543">
        <v>0</v>
      </c>
      <c r="W1543" t="s">
        <v>62</v>
      </c>
    </row>
    <row r="1544" spans="1:45" x14ac:dyDescent="0.35">
      <c r="A1544" t="s">
        <v>45</v>
      </c>
      <c r="B1544" t="s">
        <v>3378</v>
      </c>
      <c r="C1544" t="s">
        <v>139</v>
      </c>
      <c r="D1544" t="s">
        <v>3453</v>
      </c>
      <c r="E1544" t="s">
        <v>3454</v>
      </c>
      <c r="F1544" t="s">
        <v>49</v>
      </c>
      <c r="G1544" t="s">
        <v>3455</v>
      </c>
      <c r="H1544" t="s">
        <v>3456</v>
      </c>
      <c r="J1544" t="str">
        <f>HYPERLINK("https://twitter.com/Sanatan512636/status/1765975339698901387","https://twitter.com/Sanatan512636/status/1765975339698901387")</f>
        <v>https://twitter.com/Sanatan512636/status/1765975339698901387</v>
      </c>
      <c r="K1544" t="s">
        <v>145</v>
      </c>
      <c r="O1544">
        <v>0</v>
      </c>
      <c r="P1544">
        <v>0</v>
      </c>
      <c r="Q1544">
        <v>0</v>
      </c>
      <c r="S1544">
        <v>0</v>
      </c>
      <c r="T1544">
        <v>0</v>
      </c>
      <c r="U1544">
        <v>0</v>
      </c>
      <c r="W1544" t="s">
        <v>552</v>
      </c>
      <c r="AS1544" t="s">
        <v>375</v>
      </c>
    </row>
    <row r="1545" spans="1:45" x14ac:dyDescent="0.35">
      <c r="A1545" t="s">
        <v>45</v>
      </c>
      <c r="B1545" t="s">
        <v>3378</v>
      </c>
      <c r="C1545" t="s">
        <v>139</v>
      </c>
      <c r="D1545" t="s">
        <v>3453</v>
      </c>
      <c r="E1545" t="s">
        <v>3454</v>
      </c>
      <c r="F1545" t="s">
        <v>76</v>
      </c>
      <c r="G1545" t="s">
        <v>3457</v>
      </c>
      <c r="H1545" t="s">
        <v>3458</v>
      </c>
      <c r="J1545" t="str">
        <f>HYPERLINK("https://twitter.com/Sanatan512636/status/1765975315539722403","https://twitter.com/Sanatan512636/status/1765975315539722403")</f>
        <v>https://twitter.com/Sanatan512636/status/1765975315539722403</v>
      </c>
      <c r="K1545" t="s">
        <v>145</v>
      </c>
      <c r="O1545">
        <v>0</v>
      </c>
      <c r="P1545">
        <v>0</v>
      </c>
      <c r="Q1545">
        <v>0</v>
      </c>
      <c r="S1545">
        <v>0</v>
      </c>
      <c r="T1545">
        <v>0</v>
      </c>
      <c r="U1545">
        <v>0</v>
      </c>
      <c r="W1545" t="s">
        <v>552</v>
      </c>
      <c r="Y1545" t="s">
        <v>3459</v>
      </c>
      <c r="Z1545" t="s">
        <v>613</v>
      </c>
      <c r="AA1545" t="s">
        <v>614</v>
      </c>
    </row>
    <row r="1546" spans="1:45" x14ac:dyDescent="0.35">
      <c r="A1546" t="s">
        <v>45</v>
      </c>
      <c r="B1546" t="s">
        <v>3378</v>
      </c>
      <c r="C1546" t="s">
        <v>139</v>
      </c>
      <c r="D1546" t="s">
        <v>3460</v>
      </c>
      <c r="E1546" t="s">
        <v>3461</v>
      </c>
      <c r="F1546" t="s">
        <v>142</v>
      </c>
      <c r="G1546" t="s">
        <v>3462</v>
      </c>
      <c r="H1546" t="s">
        <v>3463</v>
      </c>
      <c r="J1546" t="str">
        <f>HYPERLINK("https://twitter.com/KemmetyK/status/1765961977564647595","https://twitter.com/KemmetyK/status/1765961977564647595")</f>
        <v>https://twitter.com/KemmetyK/status/1765961977564647595</v>
      </c>
      <c r="K1546" t="s">
        <v>145</v>
      </c>
      <c r="O1546">
        <v>0</v>
      </c>
      <c r="P1546">
        <v>0</v>
      </c>
      <c r="Q1546">
        <v>7</v>
      </c>
      <c r="R1546" t="s">
        <v>3464</v>
      </c>
      <c r="S1546">
        <v>0</v>
      </c>
      <c r="T1546">
        <v>0</v>
      </c>
      <c r="U1546">
        <v>0</v>
      </c>
      <c r="W1546" t="s">
        <v>146</v>
      </c>
      <c r="AS1546" t="s">
        <v>375</v>
      </c>
    </row>
    <row r="1547" spans="1:45" x14ac:dyDescent="0.35">
      <c r="A1547" t="s">
        <v>45</v>
      </c>
      <c r="B1547" t="s">
        <v>3378</v>
      </c>
      <c r="C1547" t="s">
        <v>139</v>
      </c>
      <c r="D1547" t="s">
        <v>190</v>
      </c>
      <c r="E1547" t="s">
        <v>45</v>
      </c>
      <c r="F1547" t="s">
        <v>49</v>
      </c>
      <c r="G1547" t="s">
        <v>3465</v>
      </c>
      <c r="H1547" t="s">
        <v>3466</v>
      </c>
      <c r="J1547" t="str">
        <f>HYPERLINK("https://twitter.com/FinoPaymntsBank/status/1765945402317291799","https://twitter.com/FinoPaymntsBank/status/1765945402317291799")</f>
        <v>https://twitter.com/FinoPaymntsBank/status/1765945402317291799</v>
      </c>
      <c r="K1547" t="s">
        <v>145</v>
      </c>
      <c r="O1547">
        <v>0</v>
      </c>
      <c r="P1547">
        <v>0</v>
      </c>
      <c r="Q1547">
        <v>8424</v>
      </c>
      <c r="R1547" t="s">
        <v>193</v>
      </c>
      <c r="S1547">
        <v>0</v>
      </c>
      <c r="T1547">
        <v>0</v>
      </c>
      <c r="U1547">
        <v>0</v>
      </c>
      <c r="W1547" t="s">
        <v>146</v>
      </c>
    </row>
    <row r="1548" spans="1:45" x14ac:dyDescent="0.35">
      <c r="A1548" t="s">
        <v>45</v>
      </c>
      <c r="B1548" t="s">
        <v>3378</v>
      </c>
      <c r="C1548" t="s">
        <v>63</v>
      </c>
      <c r="D1548" t="s">
        <v>186</v>
      </c>
      <c r="E1548" t="s">
        <v>186</v>
      </c>
      <c r="F1548" t="s">
        <v>49</v>
      </c>
      <c r="G1548" t="s">
        <v>3467</v>
      </c>
      <c r="H1548" t="s">
        <v>3468</v>
      </c>
      <c r="J1548" t="str">
        <f>HYPERLINK("https://www.instagram.com/p/C4PPzsYN5dB/","https://www.instagram.com/p/C4PPzsYN5dB/")</f>
        <v>https://www.instagram.com/p/C4PPzsYN5dB/</v>
      </c>
      <c r="O1548">
        <v>0</v>
      </c>
      <c r="P1548">
        <v>0</v>
      </c>
      <c r="Q1548">
        <v>0</v>
      </c>
      <c r="S1548">
        <v>3</v>
      </c>
      <c r="T1548">
        <v>68</v>
      </c>
      <c r="U1548">
        <v>0</v>
      </c>
      <c r="W1548" t="s">
        <v>106</v>
      </c>
    </row>
    <row r="1549" spans="1:45" x14ac:dyDescent="0.35">
      <c r="A1549" t="s">
        <v>45</v>
      </c>
      <c r="B1549" t="s">
        <v>3378</v>
      </c>
      <c r="C1549" t="s">
        <v>47</v>
      </c>
      <c r="D1549" t="s">
        <v>45</v>
      </c>
      <c r="E1549" t="s">
        <v>45</v>
      </c>
      <c r="F1549" t="s">
        <v>49</v>
      </c>
      <c r="G1549" t="s">
        <v>3467</v>
      </c>
      <c r="H1549" t="s">
        <v>3469</v>
      </c>
      <c r="J1549" t="str">
        <f>HYPERLINK("https://www.facebook.com/357267201017935_781248867366832","https://www.facebook.com/357267201017935_781248867366832")</f>
        <v>https://www.facebook.com/357267201017935_781248867366832</v>
      </c>
      <c r="O1549">
        <v>0</v>
      </c>
      <c r="P1549">
        <v>0</v>
      </c>
      <c r="Q1549">
        <v>0</v>
      </c>
      <c r="S1549">
        <v>4</v>
      </c>
      <c r="T1549">
        <v>54</v>
      </c>
      <c r="U1549">
        <v>2</v>
      </c>
      <c r="W1549" t="s">
        <v>106</v>
      </c>
    </row>
    <row r="1550" spans="1:45" x14ac:dyDescent="0.35">
      <c r="A1550" t="s">
        <v>45</v>
      </c>
      <c r="B1550" t="s">
        <v>3378</v>
      </c>
      <c r="C1550" t="s">
        <v>139</v>
      </c>
      <c r="D1550" t="s">
        <v>3470</v>
      </c>
      <c r="E1550" t="s">
        <v>3471</v>
      </c>
      <c r="F1550" t="s">
        <v>49</v>
      </c>
      <c r="G1550" t="s">
        <v>3472</v>
      </c>
      <c r="H1550" t="s">
        <v>3473</v>
      </c>
      <c r="J1550" t="str">
        <f>HYPERLINK("https://twitter.com/SanjivGilhotra/status/1765931804979253386","https://twitter.com/SanjivGilhotra/status/1765931804979253386")</f>
        <v>https://twitter.com/SanjivGilhotra/status/1765931804979253386</v>
      </c>
      <c r="K1550" t="s">
        <v>145</v>
      </c>
      <c r="O1550">
        <v>0</v>
      </c>
      <c r="P1550">
        <v>0</v>
      </c>
      <c r="Q1550">
        <v>294</v>
      </c>
      <c r="R1550" t="s">
        <v>3474</v>
      </c>
      <c r="S1550">
        <v>0</v>
      </c>
      <c r="T1550">
        <v>0</v>
      </c>
      <c r="U1550">
        <v>0</v>
      </c>
      <c r="W1550" t="s">
        <v>552</v>
      </c>
    </row>
    <row r="1551" spans="1:45" x14ac:dyDescent="0.35">
      <c r="A1551" t="s">
        <v>45</v>
      </c>
      <c r="B1551" t="s">
        <v>3378</v>
      </c>
      <c r="C1551" t="s">
        <v>63</v>
      </c>
      <c r="D1551" t="s">
        <v>186</v>
      </c>
      <c r="E1551" t="s">
        <v>186</v>
      </c>
      <c r="F1551" t="s">
        <v>49</v>
      </c>
      <c r="G1551" t="s">
        <v>3475</v>
      </c>
      <c r="H1551" t="s">
        <v>3476</v>
      </c>
      <c r="J1551" t="str">
        <f>HYPERLINK("https://www.instagram.com/p/C4PI9MUIGOm/","https://www.instagram.com/p/C4PI9MUIGOm/")</f>
        <v>https://www.instagram.com/p/C4PI9MUIGOm/</v>
      </c>
      <c r="O1551">
        <v>0</v>
      </c>
      <c r="P1551">
        <v>0</v>
      </c>
      <c r="Q1551">
        <v>0</v>
      </c>
      <c r="S1551">
        <v>1</v>
      </c>
      <c r="T1551">
        <v>188</v>
      </c>
      <c r="U1551">
        <v>0</v>
      </c>
      <c r="W1551" t="s">
        <v>106</v>
      </c>
    </row>
    <row r="1552" spans="1:45" x14ac:dyDescent="0.35">
      <c r="A1552" t="s">
        <v>45</v>
      </c>
      <c r="B1552" t="s">
        <v>3378</v>
      </c>
      <c r="C1552" t="s">
        <v>47</v>
      </c>
      <c r="D1552" t="s">
        <v>45</v>
      </c>
      <c r="E1552" t="s">
        <v>45</v>
      </c>
      <c r="F1552" t="s">
        <v>49</v>
      </c>
      <c r="G1552" t="s">
        <v>3475</v>
      </c>
      <c r="H1552" t="s">
        <v>3477</v>
      </c>
      <c r="J1552" t="str">
        <f>HYPERLINK("https://www.facebook.com/357267201017935_781247020700350","https://www.facebook.com/357267201017935_781247020700350")</f>
        <v>https://www.facebook.com/357267201017935_781247020700350</v>
      </c>
      <c r="O1552">
        <v>0</v>
      </c>
      <c r="P1552">
        <v>0</v>
      </c>
      <c r="Q1552">
        <v>0</v>
      </c>
      <c r="S1552">
        <v>2</v>
      </c>
      <c r="T1552">
        <v>92</v>
      </c>
      <c r="U1552">
        <v>8</v>
      </c>
      <c r="W1552" t="s">
        <v>106</v>
      </c>
    </row>
    <row r="1553" spans="1:45" x14ac:dyDescent="0.35">
      <c r="A1553" t="s">
        <v>45</v>
      </c>
      <c r="B1553" t="s">
        <v>3378</v>
      </c>
      <c r="C1553" t="s">
        <v>139</v>
      </c>
      <c r="D1553" t="s">
        <v>190</v>
      </c>
      <c r="E1553" t="s">
        <v>45</v>
      </c>
      <c r="F1553" t="s">
        <v>49</v>
      </c>
      <c r="G1553" t="s">
        <v>3472</v>
      </c>
      <c r="H1553" t="s">
        <v>3478</v>
      </c>
      <c r="J1553" t="str">
        <f>HYPERLINK("https://twitter.com/FinoPaymntsBank/status/1765927922374787568","https://twitter.com/FinoPaymntsBank/status/1765927922374787568")</f>
        <v>https://twitter.com/FinoPaymntsBank/status/1765927922374787568</v>
      </c>
      <c r="K1553" t="s">
        <v>145</v>
      </c>
      <c r="O1553">
        <v>0</v>
      </c>
      <c r="P1553">
        <v>0</v>
      </c>
      <c r="Q1553">
        <v>8424</v>
      </c>
      <c r="R1553" t="s">
        <v>193</v>
      </c>
      <c r="S1553">
        <v>0</v>
      </c>
      <c r="T1553">
        <v>0</v>
      </c>
      <c r="U1553">
        <v>0</v>
      </c>
      <c r="W1553" t="s">
        <v>146</v>
      </c>
    </row>
    <row r="1554" spans="1:45" x14ac:dyDescent="0.35">
      <c r="A1554" t="s">
        <v>45</v>
      </c>
      <c r="B1554" t="s">
        <v>3479</v>
      </c>
      <c r="C1554" t="s">
        <v>102</v>
      </c>
      <c r="D1554" t="s">
        <v>965</v>
      </c>
      <c r="E1554" t="s">
        <v>965</v>
      </c>
      <c r="F1554" t="s">
        <v>49</v>
      </c>
      <c r="G1554" t="s">
        <v>3480</v>
      </c>
      <c r="H1554" t="s">
        <v>3481</v>
      </c>
      <c r="J1554" t="str">
        <f>HYPERLINK("https://www.linkedin.com/feed/update/urn:li:share:7171540577455325184","https://www.linkedin.com/feed/update/urn:li:share:7171540577455325184")</f>
        <v>https://www.linkedin.com/feed/update/urn:li:share:7171540577455325184</v>
      </c>
      <c r="O1554">
        <v>0</v>
      </c>
      <c r="P1554">
        <v>0</v>
      </c>
      <c r="Q1554">
        <v>0</v>
      </c>
      <c r="S1554">
        <v>0</v>
      </c>
      <c r="T1554">
        <v>56</v>
      </c>
      <c r="U1554">
        <v>0</v>
      </c>
      <c r="W1554" t="s">
        <v>106</v>
      </c>
    </row>
    <row r="1555" spans="1:45" x14ac:dyDescent="0.35">
      <c r="A1555" t="s">
        <v>45</v>
      </c>
      <c r="B1555" t="s">
        <v>3479</v>
      </c>
      <c r="C1555" t="s">
        <v>58</v>
      </c>
      <c r="D1555" t="s">
        <v>1406</v>
      </c>
      <c r="E1555" t="s">
        <v>1406</v>
      </c>
      <c r="F1555" t="s">
        <v>49</v>
      </c>
      <c r="G1555" t="s">
        <v>3482</v>
      </c>
      <c r="H1555" t="s">
        <v>3483</v>
      </c>
      <c r="J1555" t="str">
        <f>HYPERLINK("https://www.youtube.com/watch?v=xbwcxJesFMI","https://www.youtube.com/watch?v=xbwcxJesFMI")</f>
        <v>https://www.youtube.com/watch?v=xbwcxJesFMI</v>
      </c>
      <c r="O1555">
        <v>0</v>
      </c>
      <c r="P1555">
        <v>0</v>
      </c>
      <c r="Q1555">
        <v>0</v>
      </c>
      <c r="S1555">
        <v>0</v>
      </c>
      <c r="T1555">
        <v>0</v>
      </c>
      <c r="U1555">
        <v>0</v>
      </c>
      <c r="W1555" t="s">
        <v>106</v>
      </c>
    </row>
    <row r="1556" spans="1:45" x14ac:dyDescent="0.35">
      <c r="A1556" t="s">
        <v>45</v>
      </c>
      <c r="B1556" t="s">
        <v>3479</v>
      </c>
      <c r="C1556" t="s">
        <v>47</v>
      </c>
      <c r="D1556" t="s">
        <v>716</v>
      </c>
      <c r="E1556" t="s">
        <v>716</v>
      </c>
      <c r="F1556" t="s">
        <v>49</v>
      </c>
      <c r="G1556" t="s">
        <v>3484</v>
      </c>
      <c r="H1556" t="s">
        <v>3485</v>
      </c>
      <c r="J1556" t="str">
        <f>HYPERLINK("https://www.facebook.com/357267201017935/inbox/7130917956986125/","https://www.facebook.com/357267201017935/inbox/7130917956986125/")</f>
        <v>https://www.facebook.com/357267201017935/inbox/7130917956986125/</v>
      </c>
      <c r="O1556">
        <v>0</v>
      </c>
      <c r="P1556">
        <v>0</v>
      </c>
      <c r="Q1556">
        <v>0</v>
      </c>
      <c r="S1556">
        <v>0</v>
      </c>
      <c r="T1556">
        <v>0</v>
      </c>
      <c r="U1556">
        <v>0</v>
      </c>
      <c r="W1556" t="s">
        <v>52</v>
      </c>
    </row>
    <row r="1557" spans="1:45" x14ac:dyDescent="0.35">
      <c r="A1557" t="s">
        <v>45</v>
      </c>
      <c r="B1557" t="s">
        <v>3479</v>
      </c>
      <c r="C1557" t="s">
        <v>47</v>
      </c>
      <c r="D1557" t="s">
        <v>716</v>
      </c>
      <c r="E1557" t="s">
        <v>716</v>
      </c>
      <c r="F1557" t="s">
        <v>49</v>
      </c>
      <c r="G1557" t="s">
        <v>719</v>
      </c>
      <c r="H1557" t="s">
        <v>3486</v>
      </c>
      <c r="J1557" t="str">
        <f>HYPERLINK("https://www.facebook.com/357267201017935/inbox/7130917956986125/","https://www.facebook.com/357267201017935/inbox/7130917956986125/")</f>
        <v>https://www.facebook.com/357267201017935/inbox/7130917956986125/</v>
      </c>
      <c r="O1557">
        <v>0</v>
      </c>
      <c r="P1557">
        <v>0</v>
      </c>
      <c r="Q1557">
        <v>0</v>
      </c>
      <c r="S1557">
        <v>0</v>
      </c>
      <c r="T1557">
        <v>0</v>
      </c>
      <c r="U1557">
        <v>0</v>
      </c>
      <c r="W1557" t="s">
        <v>52</v>
      </c>
      <c r="AS1557" t="s">
        <v>375</v>
      </c>
    </row>
    <row r="1558" spans="1:45" x14ac:dyDescent="0.35">
      <c r="A1558" t="s">
        <v>45</v>
      </c>
      <c r="B1558" t="s">
        <v>3479</v>
      </c>
      <c r="C1558" t="s">
        <v>47</v>
      </c>
      <c r="D1558" t="s">
        <v>716</v>
      </c>
      <c r="E1558" t="s">
        <v>716</v>
      </c>
      <c r="F1558" t="s">
        <v>49</v>
      </c>
      <c r="G1558" t="s">
        <v>3487</v>
      </c>
      <c r="H1558" t="s">
        <v>3488</v>
      </c>
      <c r="J1558" t="str">
        <f>HYPERLINK("https://www.facebook.com/357267201017935/inbox/7130917956986125/","https://www.facebook.com/357267201017935/inbox/7130917956986125/")</f>
        <v>https://www.facebook.com/357267201017935/inbox/7130917956986125/</v>
      </c>
      <c r="O1558">
        <v>0</v>
      </c>
      <c r="P1558">
        <v>0</v>
      </c>
      <c r="Q1558">
        <v>0</v>
      </c>
      <c r="S1558">
        <v>0</v>
      </c>
      <c r="T1558">
        <v>0</v>
      </c>
      <c r="U1558">
        <v>0</v>
      </c>
      <c r="W1558" t="s">
        <v>52</v>
      </c>
      <c r="AS1558" t="s">
        <v>375</v>
      </c>
    </row>
    <row r="1559" spans="1:45" x14ac:dyDescent="0.35">
      <c r="A1559" t="s">
        <v>45</v>
      </c>
      <c r="B1559" t="s">
        <v>3479</v>
      </c>
      <c r="C1559" t="s">
        <v>47</v>
      </c>
      <c r="D1559" t="s">
        <v>3489</v>
      </c>
      <c r="E1559" t="s">
        <v>3489</v>
      </c>
      <c r="F1559" t="s">
        <v>76</v>
      </c>
      <c r="G1559" t="s">
        <v>3490</v>
      </c>
      <c r="H1559" t="s">
        <v>3491</v>
      </c>
      <c r="J1559" t="str">
        <f>HYPERLINK("https://www.facebook.com/510870564588609/posts/705529508456046","https://www.facebook.com/510870564588609/posts/705529508456046")</f>
        <v>https://www.facebook.com/510870564588609/posts/705529508456046</v>
      </c>
      <c r="O1559">
        <v>0</v>
      </c>
      <c r="P1559">
        <v>0</v>
      </c>
      <c r="Q1559">
        <v>0</v>
      </c>
      <c r="S1559">
        <v>0</v>
      </c>
      <c r="T1559">
        <v>1</v>
      </c>
      <c r="U1559">
        <v>0</v>
      </c>
      <c r="W1559" t="s">
        <v>106</v>
      </c>
    </row>
    <row r="1560" spans="1:45" x14ac:dyDescent="0.35">
      <c r="A1560" t="s">
        <v>45</v>
      </c>
      <c r="B1560" t="s">
        <v>3479</v>
      </c>
      <c r="C1560" t="s">
        <v>58</v>
      </c>
      <c r="D1560" t="s">
        <v>1217</v>
      </c>
      <c r="E1560" t="s">
        <v>1217</v>
      </c>
      <c r="F1560" t="s">
        <v>49</v>
      </c>
      <c r="G1560" t="s">
        <v>3492</v>
      </c>
      <c r="H1560" t="s">
        <v>3493</v>
      </c>
      <c r="J1560" t="str">
        <f>HYPERLINK("https://www.youtube.com/watch?v=qFl967jqlEU","https://www.youtube.com/watch?v=qFl967jqlEU")</f>
        <v>https://www.youtube.com/watch?v=qFl967jqlEU</v>
      </c>
      <c r="O1560">
        <v>0</v>
      </c>
      <c r="P1560">
        <v>0</v>
      </c>
      <c r="Q1560">
        <v>0</v>
      </c>
      <c r="S1560">
        <v>0</v>
      </c>
      <c r="T1560">
        <v>0</v>
      </c>
      <c r="U1560">
        <v>0</v>
      </c>
      <c r="W1560" t="s">
        <v>106</v>
      </c>
      <c r="AP1560" t="s">
        <v>101</v>
      </c>
    </row>
    <row r="1561" spans="1:45" x14ac:dyDescent="0.35">
      <c r="A1561" t="s">
        <v>45</v>
      </c>
      <c r="B1561" t="s">
        <v>3479</v>
      </c>
      <c r="C1561" t="s">
        <v>58</v>
      </c>
      <c r="D1561" t="s">
        <v>3494</v>
      </c>
      <c r="E1561" t="s">
        <v>3494</v>
      </c>
      <c r="F1561" t="s">
        <v>49</v>
      </c>
      <c r="G1561" t="s">
        <v>3495</v>
      </c>
      <c r="H1561" t="s">
        <v>3496</v>
      </c>
      <c r="J1561" t="str">
        <f>HYPERLINK("https://www.youtube.com/watch?v=-Z4Umhpb5Ek","https://www.youtube.com/watch?v=-Z4Umhpb5Ek")</f>
        <v>https://www.youtube.com/watch?v=-Z4Umhpb5Ek</v>
      </c>
      <c r="O1561">
        <v>0</v>
      </c>
      <c r="P1561">
        <v>0</v>
      </c>
      <c r="Q1561">
        <v>0</v>
      </c>
      <c r="S1561">
        <v>0</v>
      </c>
      <c r="T1561">
        <v>0</v>
      </c>
      <c r="U1561">
        <v>0</v>
      </c>
      <c r="W1561" t="s">
        <v>106</v>
      </c>
    </row>
    <row r="1562" spans="1:45" x14ac:dyDescent="0.35">
      <c r="A1562" t="s">
        <v>45</v>
      </c>
      <c r="B1562" t="s">
        <v>3479</v>
      </c>
      <c r="C1562" t="s">
        <v>102</v>
      </c>
      <c r="D1562" t="s">
        <v>2697</v>
      </c>
      <c r="E1562" t="s">
        <v>2697</v>
      </c>
      <c r="F1562" t="s">
        <v>76</v>
      </c>
      <c r="G1562" t="s">
        <v>3497</v>
      </c>
      <c r="H1562" t="s">
        <v>3498</v>
      </c>
      <c r="J1562" t="str">
        <f>HYPERLINK("https://www.linkedin.com/feed/update/urn:li:activity:7171484257159168001","https://www.linkedin.com/feed/update/urn:li:activity:7171484257159168001")</f>
        <v>https://www.linkedin.com/feed/update/urn:li:activity:7171484257159168001</v>
      </c>
      <c r="O1562">
        <v>0</v>
      </c>
      <c r="P1562">
        <v>0</v>
      </c>
      <c r="Q1562">
        <v>0</v>
      </c>
      <c r="S1562">
        <v>0</v>
      </c>
      <c r="T1562">
        <v>0</v>
      </c>
      <c r="U1562">
        <v>0</v>
      </c>
      <c r="W1562" t="s">
        <v>106</v>
      </c>
    </row>
    <row r="1563" spans="1:45" x14ac:dyDescent="0.35">
      <c r="A1563" t="s">
        <v>45</v>
      </c>
      <c r="B1563" t="s">
        <v>3479</v>
      </c>
      <c r="C1563" t="s">
        <v>58</v>
      </c>
      <c r="D1563" t="s">
        <v>2160</v>
      </c>
      <c r="E1563" t="s">
        <v>2160</v>
      </c>
      <c r="F1563" t="s">
        <v>49</v>
      </c>
      <c r="G1563" t="s">
        <v>3499</v>
      </c>
      <c r="H1563" t="s">
        <v>3500</v>
      </c>
      <c r="J1563" t="str">
        <f>HYPERLINK("https://www.youtube.com/watch?v=WEji6YjCKIU","https://www.youtube.com/watch?v=WEji6YjCKIU")</f>
        <v>https://www.youtube.com/watch?v=WEji6YjCKIU</v>
      </c>
      <c r="O1563">
        <v>0</v>
      </c>
      <c r="P1563">
        <v>0</v>
      </c>
      <c r="Q1563">
        <v>0</v>
      </c>
      <c r="S1563">
        <v>0</v>
      </c>
      <c r="T1563">
        <v>0</v>
      </c>
      <c r="U1563">
        <v>0</v>
      </c>
      <c r="W1563" t="s">
        <v>106</v>
      </c>
    </row>
    <row r="1564" spans="1:45" x14ac:dyDescent="0.35">
      <c r="A1564" t="s">
        <v>45</v>
      </c>
      <c r="B1564" t="s">
        <v>3479</v>
      </c>
      <c r="C1564" t="s">
        <v>47</v>
      </c>
      <c r="D1564" t="s">
        <v>445</v>
      </c>
      <c r="E1564" t="s">
        <v>445</v>
      </c>
      <c r="F1564" t="s">
        <v>49</v>
      </c>
      <c r="G1564" t="s">
        <v>3501</v>
      </c>
      <c r="H1564" t="s">
        <v>3502</v>
      </c>
      <c r="J1564" t="str">
        <f>HYPERLINK("https://www.facebook.com/454965103328545/posts/782605413897844?comment_id=393057713434435","https://www.facebook.com/454965103328545/posts/782605413897844?comment_id=393057713434435")</f>
        <v>https://www.facebook.com/454965103328545/posts/782605413897844?comment_id=393057713434435</v>
      </c>
      <c r="O1564">
        <v>0</v>
      </c>
      <c r="P1564">
        <v>0</v>
      </c>
      <c r="Q1564">
        <v>0</v>
      </c>
      <c r="S1564">
        <v>0</v>
      </c>
      <c r="T1564">
        <v>0</v>
      </c>
      <c r="U1564">
        <v>0</v>
      </c>
      <c r="W1564" t="s">
        <v>62</v>
      </c>
      <c r="AP1564" t="s">
        <v>101</v>
      </c>
      <c r="AS1564" t="s">
        <v>375</v>
      </c>
    </row>
    <row r="1565" spans="1:45" x14ac:dyDescent="0.35">
      <c r="A1565" t="s">
        <v>45</v>
      </c>
      <c r="B1565" t="s">
        <v>3479</v>
      </c>
      <c r="C1565" t="s">
        <v>47</v>
      </c>
      <c r="D1565" t="s">
        <v>445</v>
      </c>
      <c r="E1565" t="s">
        <v>445</v>
      </c>
      <c r="F1565" t="s">
        <v>49</v>
      </c>
      <c r="G1565" t="s">
        <v>3503</v>
      </c>
      <c r="H1565" t="s">
        <v>3504</v>
      </c>
      <c r="J1565" t="str">
        <f>HYPERLINK("https://www.facebook.com/454965103328545/posts/782605413897844?comment_id=1589453225203007","https://www.facebook.com/454965103328545/posts/782605413897844?comment_id=1589453225203007")</f>
        <v>https://www.facebook.com/454965103328545/posts/782605413897844?comment_id=1589453225203007</v>
      </c>
      <c r="O1565">
        <v>0</v>
      </c>
      <c r="P1565">
        <v>0</v>
      </c>
      <c r="Q1565">
        <v>0</v>
      </c>
      <c r="S1565">
        <v>0</v>
      </c>
      <c r="T1565">
        <v>0</v>
      </c>
      <c r="U1565">
        <v>0</v>
      </c>
      <c r="W1565" t="s">
        <v>62</v>
      </c>
    </row>
    <row r="1566" spans="1:45" x14ac:dyDescent="0.35">
      <c r="A1566" t="s">
        <v>45</v>
      </c>
      <c r="B1566" t="s">
        <v>3479</v>
      </c>
      <c r="C1566" t="s">
        <v>47</v>
      </c>
      <c r="D1566" t="s">
        <v>445</v>
      </c>
      <c r="E1566" t="s">
        <v>445</v>
      </c>
      <c r="F1566" t="s">
        <v>49</v>
      </c>
      <c r="G1566" t="s">
        <v>3505</v>
      </c>
      <c r="H1566" t="s">
        <v>3506</v>
      </c>
      <c r="J1566" t="str">
        <f>HYPERLINK("https://www.facebook.com/454965103328545/posts/782603903897995?comment_id=910384607225771","https://www.facebook.com/454965103328545/posts/782603903897995?comment_id=910384607225771")</f>
        <v>https://www.facebook.com/454965103328545/posts/782603903897995?comment_id=910384607225771</v>
      </c>
      <c r="O1566">
        <v>0</v>
      </c>
      <c r="P1566">
        <v>0</v>
      </c>
      <c r="Q1566">
        <v>0</v>
      </c>
      <c r="S1566">
        <v>0</v>
      </c>
      <c r="T1566">
        <v>0</v>
      </c>
      <c r="U1566">
        <v>0</v>
      </c>
      <c r="W1566" t="s">
        <v>62</v>
      </c>
    </row>
    <row r="1567" spans="1:45" x14ac:dyDescent="0.35">
      <c r="A1567" t="s">
        <v>45</v>
      </c>
      <c r="B1567" t="s">
        <v>3479</v>
      </c>
      <c r="C1567" t="s">
        <v>47</v>
      </c>
      <c r="D1567" t="s">
        <v>445</v>
      </c>
      <c r="E1567" t="s">
        <v>445</v>
      </c>
      <c r="F1567" t="s">
        <v>49</v>
      </c>
      <c r="G1567" t="s">
        <v>3507</v>
      </c>
      <c r="H1567" t="s">
        <v>3508</v>
      </c>
      <c r="J1567" t="str">
        <f>HYPERLINK("https://www.facebook.com/454965103328545/posts/782603903897995?comment_id=927697882389929","https://www.facebook.com/454965103328545/posts/782603903897995?comment_id=927697882389929")</f>
        <v>https://www.facebook.com/454965103328545/posts/782603903897995?comment_id=927697882389929</v>
      </c>
      <c r="O1567">
        <v>0</v>
      </c>
      <c r="P1567">
        <v>0</v>
      </c>
      <c r="Q1567">
        <v>0</v>
      </c>
      <c r="S1567">
        <v>0</v>
      </c>
      <c r="T1567">
        <v>0</v>
      </c>
      <c r="U1567">
        <v>0</v>
      </c>
      <c r="W1567" t="s">
        <v>62</v>
      </c>
      <c r="AP1567" t="s">
        <v>101</v>
      </c>
      <c r="AS1567" t="s">
        <v>375</v>
      </c>
    </row>
    <row r="1568" spans="1:45" x14ac:dyDescent="0.35">
      <c r="A1568" t="s">
        <v>45</v>
      </c>
      <c r="B1568" t="s">
        <v>3479</v>
      </c>
      <c r="C1568" t="s">
        <v>58</v>
      </c>
      <c r="D1568" t="s">
        <v>3509</v>
      </c>
      <c r="E1568" t="s">
        <v>3509</v>
      </c>
      <c r="F1568" t="s">
        <v>49</v>
      </c>
      <c r="G1568" t="s">
        <v>3510</v>
      </c>
      <c r="H1568" t="s">
        <v>3511</v>
      </c>
      <c r="J1568" t="str">
        <f>HYPERLINK("https://www.youtube.com/watch?v=li8MBBBSdqg","https://www.youtube.com/watch?v=li8MBBBSdqg")</f>
        <v>https://www.youtube.com/watch?v=li8MBBBSdqg</v>
      </c>
      <c r="O1568">
        <v>0</v>
      </c>
      <c r="P1568">
        <v>0</v>
      </c>
      <c r="Q1568">
        <v>0</v>
      </c>
      <c r="S1568">
        <v>0</v>
      </c>
      <c r="T1568">
        <v>0</v>
      </c>
      <c r="U1568">
        <v>0</v>
      </c>
      <c r="W1568" t="s">
        <v>106</v>
      </c>
    </row>
    <row r="1569" spans="1:45" x14ac:dyDescent="0.35">
      <c r="A1569" t="s">
        <v>45</v>
      </c>
      <c r="B1569" t="s">
        <v>3479</v>
      </c>
      <c r="C1569" t="s">
        <v>63</v>
      </c>
      <c r="D1569" t="s">
        <v>186</v>
      </c>
      <c r="E1569" t="s">
        <v>186</v>
      </c>
      <c r="F1569" t="s">
        <v>49</v>
      </c>
      <c r="G1569" t="s">
        <v>3512</v>
      </c>
      <c r="H1569" t="s">
        <v>3513</v>
      </c>
      <c r="J1569" t="str">
        <f>HYPERLINK("https://www.instagram.com/p/C4Nh8dkJlSJ/","https://www.instagram.com/p/C4Nh8dkJlSJ/")</f>
        <v>https://www.instagram.com/p/C4Nh8dkJlSJ/</v>
      </c>
      <c r="O1569">
        <v>0</v>
      </c>
      <c r="P1569">
        <v>0</v>
      </c>
      <c r="Q1569">
        <v>0</v>
      </c>
      <c r="S1569">
        <v>1</v>
      </c>
      <c r="T1569">
        <v>52</v>
      </c>
      <c r="U1569">
        <v>0</v>
      </c>
      <c r="W1569" t="s">
        <v>106</v>
      </c>
    </row>
    <row r="1570" spans="1:45" x14ac:dyDescent="0.35">
      <c r="A1570" t="s">
        <v>45</v>
      </c>
      <c r="B1570" t="s">
        <v>3479</v>
      </c>
      <c r="C1570" t="s">
        <v>139</v>
      </c>
      <c r="D1570" t="s">
        <v>190</v>
      </c>
      <c r="E1570" t="s">
        <v>45</v>
      </c>
      <c r="F1570" t="s">
        <v>49</v>
      </c>
      <c r="G1570" t="s">
        <v>3514</v>
      </c>
      <c r="H1570" t="s">
        <v>3515</v>
      </c>
      <c r="J1570" t="str">
        <f>HYPERLINK("https://twitter.com/FinoPaymntsBank/status/1765701431242510422","https://twitter.com/FinoPaymntsBank/status/1765701431242510422")</f>
        <v>https://twitter.com/FinoPaymntsBank/status/1765701431242510422</v>
      </c>
      <c r="K1570" t="s">
        <v>145</v>
      </c>
      <c r="O1570">
        <v>0</v>
      </c>
      <c r="P1570">
        <v>0</v>
      </c>
      <c r="Q1570">
        <v>8422</v>
      </c>
      <c r="R1570" t="s">
        <v>193</v>
      </c>
      <c r="S1570">
        <v>0</v>
      </c>
      <c r="T1570">
        <v>0</v>
      </c>
      <c r="U1570">
        <v>0</v>
      </c>
      <c r="W1570" t="s">
        <v>146</v>
      </c>
    </row>
    <row r="1571" spans="1:45" x14ac:dyDescent="0.35">
      <c r="A1571" t="s">
        <v>45</v>
      </c>
      <c r="B1571" t="s">
        <v>3479</v>
      </c>
      <c r="C1571" t="s">
        <v>47</v>
      </c>
      <c r="D1571" t="s">
        <v>45</v>
      </c>
      <c r="E1571" t="s">
        <v>45</v>
      </c>
      <c r="F1571" t="s">
        <v>49</v>
      </c>
      <c r="G1571" t="s">
        <v>3512</v>
      </c>
      <c r="H1571" t="s">
        <v>3515</v>
      </c>
      <c r="J1571" t="str">
        <f>HYPERLINK("https://www.facebook.com/357267201017935_782605413897844","https://www.facebook.com/357267201017935_782605413897844")</f>
        <v>https://www.facebook.com/357267201017935_782605413897844</v>
      </c>
      <c r="O1571">
        <v>0</v>
      </c>
      <c r="P1571">
        <v>0</v>
      </c>
      <c r="Q1571">
        <v>0</v>
      </c>
      <c r="S1571">
        <v>5</v>
      </c>
      <c r="T1571">
        <v>41</v>
      </c>
      <c r="U1571">
        <v>7</v>
      </c>
      <c r="W1571" t="s">
        <v>106</v>
      </c>
    </row>
    <row r="1572" spans="1:45" x14ac:dyDescent="0.35">
      <c r="A1572" t="s">
        <v>45</v>
      </c>
      <c r="B1572" t="s">
        <v>3479</v>
      </c>
      <c r="C1572" t="s">
        <v>139</v>
      </c>
      <c r="D1572" t="s">
        <v>2785</v>
      </c>
      <c r="E1572" t="s">
        <v>2786</v>
      </c>
      <c r="F1572" t="s">
        <v>142</v>
      </c>
      <c r="G1572" t="s">
        <v>3516</v>
      </c>
      <c r="H1572" t="s">
        <v>3517</v>
      </c>
      <c r="J1572" t="str">
        <f>HYPERLINK("https://twitter.com/anandsagaras9/status/1765678485975224717","https://twitter.com/anandsagaras9/status/1765678485975224717")</f>
        <v>https://twitter.com/anandsagaras9/status/1765678485975224717</v>
      </c>
      <c r="K1572" t="s">
        <v>145</v>
      </c>
      <c r="O1572">
        <v>0</v>
      </c>
      <c r="P1572">
        <v>0</v>
      </c>
      <c r="Q1572">
        <v>9</v>
      </c>
      <c r="S1572">
        <v>0</v>
      </c>
      <c r="T1572">
        <v>0</v>
      </c>
      <c r="U1572">
        <v>0</v>
      </c>
      <c r="W1572" t="s">
        <v>552</v>
      </c>
    </row>
    <row r="1573" spans="1:45" x14ac:dyDescent="0.35">
      <c r="A1573" t="s">
        <v>45</v>
      </c>
      <c r="B1573" t="s">
        <v>3479</v>
      </c>
      <c r="C1573" t="s">
        <v>58</v>
      </c>
      <c r="D1573" t="s">
        <v>1922</v>
      </c>
      <c r="E1573" t="s">
        <v>1922</v>
      </c>
      <c r="F1573" t="s">
        <v>49</v>
      </c>
      <c r="G1573" t="s">
        <v>3518</v>
      </c>
      <c r="H1573" t="s">
        <v>3519</v>
      </c>
      <c r="J1573" t="str">
        <f>HYPERLINK("https://www.youtube.com/watch?v=e9njjWRaTxY","https://www.youtube.com/watch?v=e9njjWRaTxY")</f>
        <v>https://www.youtube.com/watch?v=e9njjWRaTxY</v>
      </c>
      <c r="O1573">
        <v>0</v>
      </c>
      <c r="P1573">
        <v>0</v>
      </c>
      <c r="Q1573">
        <v>0</v>
      </c>
      <c r="S1573">
        <v>0</v>
      </c>
      <c r="T1573">
        <v>0</v>
      </c>
      <c r="U1573">
        <v>0</v>
      </c>
      <c r="W1573" t="s">
        <v>106</v>
      </c>
      <c r="AP1573" t="s">
        <v>101</v>
      </c>
    </row>
    <row r="1574" spans="1:45" x14ac:dyDescent="0.35">
      <c r="A1574" t="s">
        <v>45</v>
      </c>
      <c r="B1574" t="s">
        <v>3479</v>
      </c>
      <c r="C1574" t="s">
        <v>58</v>
      </c>
      <c r="D1574" t="s">
        <v>3259</v>
      </c>
      <c r="E1574" t="s">
        <v>3259</v>
      </c>
      <c r="F1574" t="s">
        <v>49</v>
      </c>
      <c r="G1574" t="s">
        <v>3520</v>
      </c>
      <c r="H1574" t="s">
        <v>3521</v>
      </c>
      <c r="J1574" t="str">
        <f>HYPERLINK("https://www.youtube.com/watch?v=5gxgVuKJEtA","https://www.youtube.com/watch?v=5gxgVuKJEtA")</f>
        <v>https://www.youtube.com/watch?v=5gxgVuKJEtA</v>
      </c>
      <c r="O1574">
        <v>0</v>
      </c>
      <c r="P1574">
        <v>0</v>
      </c>
      <c r="Q1574">
        <v>0</v>
      </c>
      <c r="S1574">
        <v>0</v>
      </c>
      <c r="T1574">
        <v>0</v>
      </c>
      <c r="U1574">
        <v>0</v>
      </c>
      <c r="W1574" t="s">
        <v>106</v>
      </c>
      <c r="AP1574" t="s">
        <v>101</v>
      </c>
    </row>
    <row r="1575" spans="1:45" x14ac:dyDescent="0.35">
      <c r="A1575" t="s">
        <v>45</v>
      </c>
      <c r="B1575" t="s">
        <v>3479</v>
      </c>
      <c r="C1575" t="s">
        <v>58</v>
      </c>
      <c r="D1575" t="s">
        <v>3522</v>
      </c>
      <c r="E1575" t="s">
        <v>3522</v>
      </c>
      <c r="F1575" t="s">
        <v>76</v>
      </c>
      <c r="G1575" t="s">
        <v>3523</v>
      </c>
      <c r="H1575" t="s">
        <v>3524</v>
      </c>
      <c r="J1575" t="str">
        <f>HYPERLINK("https://www.youtube.com/watch?v=Lp6KS09gP5Q","https://www.youtube.com/watch?v=Lp6KS09gP5Q")</f>
        <v>https://www.youtube.com/watch?v=Lp6KS09gP5Q</v>
      </c>
      <c r="O1575">
        <v>0</v>
      </c>
      <c r="P1575">
        <v>0</v>
      </c>
      <c r="Q1575">
        <v>0</v>
      </c>
      <c r="S1575">
        <v>0</v>
      </c>
      <c r="T1575">
        <v>0</v>
      </c>
      <c r="U1575">
        <v>0</v>
      </c>
      <c r="W1575" t="s">
        <v>106</v>
      </c>
    </row>
    <row r="1576" spans="1:45" x14ac:dyDescent="0.35">
      <c r="A1576" t="s">
        <v>45</v>
      </c>
      <c r="B1576" t="s">
        <v>3479</v>
      </c>
      <c r="C1576" t="s">
        <v>139</v>
      </c>
      <c r="D1576" t="s">
        <v>2785</v>
      </c>
      <c r="E1576" t="s">
        <v>2786</v>
      </c>
      <c r="F1576" t="s">
        <v>142</v>
      </c>
      <c r="G1576" t="s">
        <v>3516</v>
      </c>
      <c r="H1576" t="s">
        <v>3525</v>
      </c>
      <c r="J1576" t="str">
        <f>HYPERLINK("https://twitter.com/anandsagaras9/status/1765644115536941400","https://twitter.com/anandsagaras9/status/1765644115536941400")</f>
        <v>https://twitter.com/anandsagaras9/status/1765644115536941400</v>
      </c>
      <c r="K1576" t="s">
        <v>145</v>
      </c>
      <c r="O1576">
        <v>0</v>
      </c>
      <c r="P1576">
        <v>0</v>
      </c>
      <c r="Q1576">
        <v>9</v>
      </c>
      <c r="S1576">
        <v>0</v>
      </c>
      <c r="T1576">
        <v>0</v>
      </c>
      <c r="U1576">
        <v>0</v>
      </c>
      <c r="W1576" t="s">
        <v>146</v>
      </c>
      <c r="AS1576" t="s">
        <v>375</v>
      </c>
    </row>
    <row r="1577" spans="1:45" x14ac:dyDescent="0.35">
      <c r="A1577" t="s">
        <v>45</v>
      </c>
      <c r="B1577" t="s">
        <v>3479</v>
      </c>
      <c r="C1577" t="s">
        <v>47</v>
      </c>
      <c r="D1577" t="s">
        <v>3526</v>
      </c>
      <c r="E1577" t="s">
        <v>3526</v>
      </c>
      <c r="F1577" t="s">
        <v>49</v>
      </c>
      <c r="G1577" t="s">
        <v>3527</v>
      </c>
      <c r="H1577" t="s">
        <v>3528</v>
      </c>
      <c r="J1577" t="str">
        <f>HYPERLINK("https://www.facebook.com/357267201017935/inbox/7129525210458733/","https://www.facebook.com/357267201017935/inbox/7129525210458733/")</f>
        <v>https://www.facebook.com/357267201017935/inbox/7129525210458733/</v>
      </c>
      <c r="O1577">
        <v>0</v>
      </c>
      <c r="P1577">
        <v>0</v>
      </c>
      <c r="Q1577">
        <v>0</v>
      </c>
      <c r="S1577">
        <v>0</v>
      </c>
      <c r="T1577">
        <v>0</v>
      </c>
      <c r="U1577">
        <v>0</v>
      </c>
      <c r="W1577" t="s">
        <v>52</v>
      </c>
      <c r="AS1577" t="s">
        <v>375</v>
      </c>
    </row>
    <row r="1578" spans="1:45" x14ac:dyDescent="0.35">
      <c r="A1578" t="s">
        <v>45</v>
      </c>
      <c r="B1578" t="s">
        <v>3479</v>
      </c>
      <c r="C1578" t="s">
        <v>47</v>
      </c>
      <c r="D1578" t="s">
        <v>1473</v>
      </c>
      <c r="E1578" t="s">
        <v>1473</v>
      </c>
      <c r="F1578" t="s">
        <v>49</v>
      </c>
      <c r="G1578" t="s">
        <v>3529</v>
      </c>
      <c r="H1578" t="s">
        <v>3530</v>
      </c>
      <c r="J1578" t="str">
        <f>HYPERLINK("https://www.facebook.com/357267201017935/inbox/7129519170459337/","https://www.facebook.com/357267201017935/inbox/7129519170459337/")</f>
        <v>https://www.facebook.com/357267201017935/inbox/7129519170459337/</v>
      </c>
      <c r="O1578">
        <v>0</v>
      </c>
      <c r="P1578">
        <v>0</v>
      </c>
      <c r="Q1578">
        <v>0</v>
      </c>
      <c r="S1578">
        <v>0</v>
      </c>
      <c r="T1578">
        <v>0</v>
      </c>
      <c r="U1578">
        <v>0</v>
      </c>
      <c r="W1578" t="s">
        <v>52</v>
      </c>
    </row>
    <row r="1579" spans="1:45" x14ac:dyDescent="0.35">
      <c r="A1579" t="s">
        <v>45</v>
      </c>
      <c r="B1579" t="s">
        <v>3479</v>
      </c>
      <c r="C1579" t="s">
        <v>47</v>
      </c>
      <c r="D1579" t="s">
        <v>1473</v>
      </c>
      <c r="E1579" t="s">
        <v>1473</v>
      </c>
      <c r="F1579" t="s">
        <v>49</v>
      </c>
      <c r="G1579" t="s">
        <v>3531</v>
      </c>
      <c r="H1579" t="s">
        <v>3532</v>
      </c>
      <c r="J1579" t="str">
        <f>HYPERLINK("https://www.facebook.com/454965103328545/posts/780222857469433?comment_id=1448065379474838","https://www.facebook.com/454965103328545/posts/780222857469433?comment_id=1448065379474838")</f>
        <v>https://www.facebook.com/454965103328545/posts/780222857469433?comment_id=1448065379474838</v>
      </c>
      <c r="O1579">
        <v>0</v>
      </c>
      <c r="P1579">
        <v>0</v>
      </c>
      <c r="Q1579">
        <v>0</v>
      </c>
      <c r="S1579">
        <v>0</v>
      </c>
      <c r="T1579">
        <v>0</v>
      </c>
      <c r="U1579">
        <v>0</v>
      </c>
      <c r="W1579" t="s">
        <v>62</v>
      </c>
    </row>
    <row r="1580" spans="1:45" x14ac:dyDescent="0.35">
      <c r="A1580" t="s">
        <v>45</v>
      </c>
      <c r="B1580" t="s">
        <v>3479</v>
      </c>
      <c r="C1580" t="s">
        <v>58</v>
      </c>
      <c r="D1580" t="s">
        <v>2702</v>
      </c>
      <c r="E1580" t="s">
        <v>2702</v>
      </c>
      <c r="F1580" t="s">
        <v>49</v>
      </c>
      <c r="G1580" t="s">
        <v>3533</v>
      </c>
      <c r="H1580" t="s">
        <v>3534</v>
      </c>
      <c r="J1580" t="str">
        <f>HYPERLINK("https://www.youtube.com/watch?v=mMPeE6n4BNQ","https://www.youtube.com/watch?v=mMPeE6n4BNQ")</f>
        <v>https://www.youtube.com/watch?v=mMPeE6n4BNQ</v>
      </c>
      <c r="O1580">
        <v>0</v>
      </c>
      <c r="P1580">
        <v>0</v>
      </c>
      <c r="Q1580">
        <v>0</v>
      </c>
      <c r="S1580">
        <v>0</v>
      </c>
      <c r="T1580">
        <v>0</v>
      </c>
      <c r="U1580">
        <v>0</v>
      </c>
      <c r="W1580" t="s">
        <v>106</v>
      </c>
      <c r="AP1580" t="s">
        <v>101</v>
      </c>
    </row>
    <row r="1581" spans="1:45" x14ac:dyDescent="0.35">
      <c r="A1581" t="s">
        <v>45</v>
      </c>
      <c r="B1581" t="s">
        <v>3479</v>
      </c>
      <c r="C1581" t="s">
        <v>102</v>
      </c>
      <c r="D1581" t="s">
        <v>3535</v>
      </c>
      <c r="E1581" t="s">
        <v>3535</v>
      </c>
      <c r="F1581" t="s">
        <v>76</v>
      </c>
      <c r="G1581" t="s">
        <v>3536</v>
      </c>
      <c r="H1581" t="s">
        <v>3537</v>
      </c>
      <c r="J1581" t="str">
        <f>HYPERLINK("https://www.linkedin.com/feed/update/urn:li:ugcPost:7171396154771783684","https://www.linkedin.com/feed/update/urn:li:ugcPost:7171396154771783684")</f>
        <v>https://www.linkedin.com/feed/update/urn:li:ugcPost:7171396154771783684</v>
      </c>
      <c r="O1581">
        <v>0</v>
      </c>
      <c r="P1581">
        <v>0</v>
      </c>
      <c r="Q1581">
        <v>0</v>
      </c>
      <c r="S1581">
        <v>0</v>
      </c>
      <c r="T1581">
        <v>0</v>
      </c>
      <c r="U1581">
        <v>0</v>
      </c>
      <c r="W1581" t="s">
        <v>106</v>
      </c>
    </row>
    <row r="1582" spans="1:45" x14ac:dyDescent="0.35">
      <c r="A1582" t="s">
        <v>45</v>
      </c>
      <c r="B1582" t="s">
        <v>3479</v>
      </c>
      <c r="C1582" t="s">
        <v>58</v>
      </c>
      <c r="D1582" t="s">
        <v>1679</v>
      </c>
      <c r="E1582" t="s">
        <v>1679</v>
      </c>
      <c r="F1582" t="s">
        <v>49</v>
      </c>
      <c r="G1582" t="s">
        <v>3538</v>
      </c>
      <c r="H1582" t="s">
        <v>3539</v>
      </c>
      <c r="J1582" t="str">
        <f>HYPERLINK("https://www.youtube.com/watch?v=dcf3XxBF7_4","https://www.youtube.com/watch?v=dcf3XxBF7_4")</f>
        <v>https://www.youtube.com/watch?v=dcf3XxBF7_4</v>
      </c>
      <c r="O1582">
        <v>0</v>
      </c>
      <c r="P1582">
        <v>0</v>
      </c>
      <c r="Q1582">
        <v>0</v>
      </c>
      <c r="S1582">
        <v>0</v>
      </c>
      <c r="T1582">
        <v>0</v>
      </c>
      <c r="U1582">
        <v>0</v>
      </c>
      <c r="W1582" t="s">
        <v>106</v>
      </c>
    </row>
    <row r="1583" spans="1:45" x14ac:dyDescent="0.35">
      <c r="A1583" t="s">
        <v>45</v>
      </c>
      <c r="B1583" t="s">
        <v>3479</v>
      </c>
      <c r="C1583" t="s">
        <v>58</v>
      </c>
      <c r="D1583" t="s">
        <v>3540</v>
      </c>
      <c r="E1583" t="s">
        <v>3540</v>
      </c>
      <c r="F1583" t="s">
        <v>142</v>
      </c>
      <c r="G1583" t="s">
        <v>3541</v>
      </c>
      <c r="H1583" t="s">
        <v>3542</v>
      </c>
      <c r="J1583" t="str">
        <f>HYPERLINK("https://www.youtube.com/watch?v=wEXXWlwbzLI","https://www.youtube.com/watch?v=wEXXWlwbzLI")</f>
        <v>https://www.youtube.com/watch?v=wEXXWlwbzLI</v>
      </c>
      <c r="O1583">
        <v>0</v>
      </c>
      <c r="P1583">
        <v>0</v>
      </c>
      <c r="Q1583">
        <v>0</v>
      </c>
      <c r="S1583">
        <v>0</v>
      </c>
      <c r="T1583">
        <v>0</v>
      </c>
      <c r="U1583">
        <v>0</v>
      </c>
      <c r="W1583" t="s">
        <v>106</v>
      </c>
      <c r="AP1583" t="s">
        <v>147</v>
      </c>
    </row>
    <row r="1584" spans="1:45" x14ac:dyDescent="0.35">
      <c r="A1584" t="s">
        <v>45</v>
      </c>
      <c r="B1584" t="s">
        <v>3479</v>
      </c>
      <c r="C1584" t="s">
        <v>47</v>
      </c>
      <c r="D1584" t="s">
        <v>3543</v>
      </c>
      <c r="E1584" t="s">
        <v>3543</v>
      </c>
      <c r="F1584" t="s">
        <v>49</v>
      </c>
      <c r="G1584" t="s">
        <v>3544</v>
      </c>
      <c r="H1584" t="s">
        <v>3545</v>
      </c>
      <c r="J1584" t="str">
        <f>HYPERLINK("https://www.facebook.com/357267201017935/posts/3069910089753619/?comment_id=1413688166204741","https://www.facebook.com/357267201017935/posts/3069910089753619/?comment_id=1413688166204741")</f>
        <v>https://www.facebook.com/357267201017935/posts/3069910089753619/?comment_id=1413688166204741</v>
      </c>
      <c r="O1584">
        <v>0</v>
      </c>
      <c r="P1584">
        <v>0</v>
      </c>
      <c r="Q1584">
        <v>0</v>
      </c>
      <c r="S1584">
        <v>0</v>
      </c>
      <c r="T1584">
        <v>0</v>
      </c>
      <c r="U1584">
        <v>0</v>
      </c>
      <c r="W1584" t="s">
        <v>62</v>
      </c>
    </row>
    <row r="1585" spans="1:45" x14ac:dyDescent="0.35">
      <c r="A1585" t="s">
        <v>45</v>
      </c>
      <c r="B1585" t="s">
        <v>3479</v>
      </c>
      <c r="C1585" t="s">
        <v>47</v>
      </c>
      <c r="D1585" t="s">
        <v>3543</v>
      </c>
      <c r="E1585" t="s">
        <v>3543</v>
      </c>
      <c r="F1585" t="s">
        <v>49</v>
      </c>
      <c r="G1585" t="s">
        <v>3546</v>
      </c>
      <c r="H1585" t="s">
        <v>3547</v>
      </c>
      <c r="J1585" t="str">
        <f>HYPERLINK("https://www.facebook.com/357267201017935/posts/3069910089753619/?comment_id=2703303836518019","https://www.facebook.com/357267201017935/posts/3069910089753619/?comment_id=2703303836518019")</f>
        <v>https://www.facebook.com/357267201017935/posts/3069910089753619/?comment_id=2703303836518019</v>
      </c>
      <c r="O1585">
        <v>0</v>
      </c>
      <c r="P1585">
        <v>0</v>
      </c>
      <c r="Q1585">
        <v>0</v>
      </c>
      <c r="S1585">
        <v>0</v>
      </c>
      <c r="T1585">
        <v>0</v>
      </c>
      <c r="U1585">
        <v>0</v>
      </c>
      <c r="W1585" t="s">
        <v>62</v>
      </c>
      <c r="AS1585" t="s">
        <v>375</v>
      </c>
    </row>
    <row r="1586" spans="1:45" x14ac:dyDescent="0.35">
      <c r="A1586" t="s">
        <v>45</v>
      </c>
      <c r="B1586" t="s">
        <v>3479</v>
      </c>
      <c r="C1586" t="s">
        <v>63</v>
      </c>
      <c r="D1586" t="s">
        <v>3548</v>
      </c>
      <c r="E1586" t="s">
        <v>3548</v>
      </c>
      <c r="F1586" t="s">
        <v>76</v>
      </c>
      <c r="G1586" t="s">
        <v>3549</v>
      </c>
      <c r="H1586" t="s">
        <v>3550</v>
      </c>
      <c r="J1586" t="str">
        <f>HYPERLINK("https://www.instagram.com/p/C4Mw7nSPFc-/","https://www.instagram.com/p/C4Mw7nSPFc-/")</f>
        <v>https://www.instagram.com/p/C4Mw7nSPFc-/</v>
      </c>
      <c r="O1586">
        <v>0</v>
      </c>
      <c r="P1586">
        <v>0</v>
      </c>
      <c r="Q1586">
        <v>0</v>
      </c>
      <c r="S1586">
        <v>0</v>
      </c>
      <c r="T1586">
        <v>8</v>
      </c>
      <c r="U1586">
        <v>0</v>
      </c>
      <c r="W1586" t="s">
        <v>106</v>
      </c>
    </row>
    <row r="1587" spans="1:45" x14ac:dyDescent="0.35">
      <c r="A1587" t="s">
        <v>45</v>
      </c>
      <c r="B1587" t="s">
        <v>3479</v>
      </c>
      <c r="C1587" t="s">
        <v>58</v>
      </c>
      <c r="D1587" t="s">
        <v>3551</v>
      </c>
      <c r="E1587" t="s">
        <v>3551</v>
      </c>
      <c r="F1587" t="s">
        <v>76</v>
      </c>
      <c r="G1587" t="s">
        <v>3552</v>
      </c>
      <c r="H1587" t="s">
        <v>3553</v>
      </c>
      <c r="J1587" t="str">
        <f>HYPERLINK("https://www.youtube.com/watch?v=K6pG__KfA_I","https://www.youtube.com/watch?v=K6pG__KfA_I")</f>
        <v>https://www.youtube.com/watch?v=K6pG__KfA_I</v>
      </c>
      <c r="O1587">
        <v>0</v>
      </c>
      <c r="P1587">
        <v>0</v>
      </c>
      <c r="Q1587">
        <v>0</v>
      </c>
      <c r="S1587">
        <v>0</v>
      </c>
      <c r="T1587">
        <v>0</v>
      </c>
      <c r="U1587">
        <v>0</v>
      </c>
      <c r="W1587" t="s">
        <v>106</v>
      </c>
    </row>
    <row r="1588" spans="1:45" x14ac:dyDescent="0.35">
      <c r="A1588" t="s">
        <v>45</v>
      </c>
      <c r="B1588" t="s">
        <v>3479</v>
      </c>
      <c r="C1588" t="s">
        <v>58</v>
      </c>
      <c r="D1588" t="s">
        <v>1406</v>
      </c>
      <c r="E1588" t="s">
        <v>1406</v>
      </c>
      <c r="F1588" t="s">
        <v>49</v>
      </c>
      <c r="G1588" t="s">
        <v>3554</v>
      </c>
      <c r="H1588" t="s">
        <v>3555</v>
      </c>
      <c r="J1588" t="str">
        <f>HYPERLINK("https://www.youtube.com/watch?v=zpPvvNc3CCk","https://www.youtube.com/watch?v=zpPvvNc3CCk")</f>
        <v>https://www.youtube.com/watch?v=zpPvvNc3CCk</v>
      </c>
      <c r="O1588">
        <v>0</v>
      </c>
      <c r="P1588">
        <v>0</v>
      </c>
      <c r="Q1588">
        <v>0</v>
      </c>
      <c r="S1588">
        <v>0</v>
      </c>
      <c r="T1588">
        <v>0</v>
      </c>
      <c r="U1588">
        <v>0</v>
      </c>
      <c r="W1588" t="s">
        <v>106</v>
      </c>
    </row>
    <row r="1589" spans="1:45" x14ac:dyDescent="0.35">
      <c r="A1589" t="s">
        <v>45</v>
      </c>
      <c r="B1589" t="s">
        <v>3479</v>
      </c>
      <c r="C1589" t="s">
        <v>139</v>
      </c>
      <c r="D1589" t="s">
        <v>3556</v>
      </c>
      <c r="E1589" t="s">
        <v>3557</v>
      </c>
      <c r="F1589" t="s">
        <v>142</v>
      </c>
      <c r="G1589" t="s">
        <v>3558</v>
      </c>
      <c r="H1589" t="s">
        <v>3559</v>
      </c>
      <c r="J1589" t="str">
        <f>HYPERLINK("https://twitter.com/Juliana4876141/status/1765565767632699472","https://twitter.com/Juliana4876141/status/1765565767632699472")</f>
        <v>https://twitter.com/Juliana4876141/status/1765565767632699472</v>
      </c>
      <c r="K1589" t="s">
        <v>1769</v>
      </c>
      <c r="O1589">
        <v>0</v>
      </c>
      <c r="P1589">
        <v>0</v>
      </c>
      <c r="Q1589">
        <v>47</v>
      </c>
      <c r="R1589" t="s">
        <v>3560</v>
      </c>
      <c r="S1589">
        <v>0</v>
      </c>
      <c r="T1589">
        <v>0</v>
      </c>
      <c r="U1589">
        <v>0</v>
      </c>
      <c r="W1589" t="s">
        <v>552</v>
      </c>
      <c r="AP1589" t="s">
        <v>147</v>
      </c>
    </row>
    <row r="1590" spans="1:45" x14ac:dyDescent="0.35">
      <c r="A1590" t="s">
        <v>45</v>
      </c>
      <c r="B1590" t="s">
        <v>3479</v>
      </c>
      <c r="C1590" t="s">
        <v>58</v>
      </c>
      <c r="D1590" t="s">
        <v>1142</v>
      </c>
      <c r="E1590" t="s">
        <v>1142</v>
      </c>
      <c r="F1590" t="s">
        <v>49</v>
      </c>
      <c r="G1590" t="s">
        <v>3561</v>
      </c>
      <c r="H1590" t="s">
        <v>3562</v>
      </c>
      <c r="J1590" t="str">
        <f>HYPERLINK("https://www.youtube.com/watch?v=q-nQKMA2lgQ","https://www.youtube.com/watch?v=q-nQKMA2lgQ")</f>
        <v>https://www.youtube.com/watch?v=q-nQKMA2lgQ</v>
      </c>
      <c r="O1590">
        <v>0</v>
      </c>
      <c r="P1590">
        <v>0</v>
      </c>
      <c r="Q1590">
        <v>0</v>
      </c>
      <c r="S1590">
        <v>0</v>
      </c>
      <c r="T1590">
        <v>0</v>
      </c>
      <c r="U1590">
        <v>0</v>
      </c>
      <c r="W1590" t="s">
        <v>106</v>
      </c>
      <c r="AP1590" t="s">
        <v>101</v>
      </c>
    </row>
    <row r="1591" spans="1:45" x14ac:dyDescent="0.35">
      <c r="A1591" t="s">
        <v>45</v>
      </c>
      <c r="B1591" t="s">
        <v>3479</v>
      </c>
      <c r="C1591" t="s">
        <v>139</v>
      </c>
      <c r="D1591" t="s">
        <v>2013</v>
      </c>
      <c r="E1591" t="s">
        <v>2014</v>
      </c>
      <c r="F1591" t="s">
        <v>49</v>
      </c>
      <c r="G1591" t="s">
        <v>3563</v>
      </c>
      <c r="H1591" t="s">
        <v>3564</v>
      </c>
      <c r="J1591" t="str">
        <f>HYPERLINK("https://twitter.com/acpdileep/status/1765545313975332873","https://twitter.com/acpdileep/status/1765545313975332873")</f>
        <v>https://twitter.com/acpdileep/status/1765545313975332873</v>
      </c>
      <c r="O1591">
        <v>0</v>
      </c>
      <c r="P1591">
        <v>0</v>
      </c>
      <c r="Q1591">
        <v>98</v>
      </c>
      <c r="R1591" t="s">
        <v>582</v>
      </c>
      <c r="S1591">
        <v>0</v>
      </c>
      <c r="T1591">
        <v>0</v>
      </c>
      <c r="U1591">
        <v>0</v>
      </c>
      <c r="W1591" t="s">
        <v>146</v>
      </c>
    </row>
    <row r="1592" spans="1:45" x14ac:dyDescent="0.35">
      <c r="A1592" t="s">
        <v>45</v>
      </c>
      <c r="B1592" t="s">
        <v>3565</v>
      </c>
      <c r="C1592" t="s">
        <v>47</v>
      </c>
      <c r="D1592" t="s">
        <v>3566</v>
      </c>
      <c r="E1592" t="s">
        <v>3566</v>
      </c>
      <c r="F1592" t="s">
        <v>76</v>
      </c>
      <c r="G1592" t="s">
        <v>3567</v>
      </c>
      <c r="H1592" t="s">
        <v>3568</v>
      </c>
      <c r="J1592" t="str">
        <f>HYPERLINK("https://www.facebook.com/454965103328545/posts/773156588176060?comment_id=358193747206849","https://www.facebook.com/454965103328545/posts/773156588176060?comment_id=358193747206849")</f>
        <v>https://www.facebook.com/454965103328545/posts/773156588176060?comment_id=358193747206849</v>
      </c>
      <c r="O1592">
        <v>0</v>
      </c>
      <c r="P1592">
        <v>0</v>
      </c>
      <c r="Q1592">
        <v>0</v>
      </c>
      <c r="S1592">
        <v>0</v>
      </c>
      <c r="T1592">
        <v>0</v>
      </c>
      <c r="U1592">
        <v>0</v>
      </c>
      <c r="W1592" t="s">
        <v>62</v>
      </c>
      <c r="AP1592" t="s">
        <v>101</v>
      </c>
    </row>
    <row r="1593" spans="1:45" x14ac:dyDescent="0.35">
      <c r="A1593" t="s">
        <v>45</v>
      </c>
      <c r="B1593" t="s">
        <v>3565</v>
      </c>
      <c r="C1593" t="s">
        <v>47</v>
      </c>
      <c r="D1593" t="s">
        <v>3569</v>
      </c>
      <c r="E1593" t="s">
        <v>3569</v>
      </c>
      <c r="F1593" t="s">
        <v>49</v>
      </c>
      <c r="G1593" t="s">
        <v>3570</v>
      </c>
      <c r="H1593" t="s">
        <v>3571</v>
      </c>
      <c r="J1593" t="str">
        <f>HYPERLINK("https://www.facebook.com/357267201017935/inbox/7127466783997909/","https://www.facebook.com/357267201017935/inbox/7127466783997909/")</f>
        <v>https://www.facebook.com/357267201017935/inbox/7127466783997909/</v>
      </c>
      <c r="O1593">
        <v>0</v>
      </c>
      <c r="P1593">
        <v>0</v>
      </c>
      <c r="Q1593">
        <v>0</v>
      </c>
      <c r="S1593">
        <v>0</v>
      </c>
      <c r="T1593">
        <v>0</v>
      </c>
      <c r="U1593">
        <v>0</v>
      </c>
      <c r="W1593" t="s">
        <v>52</v>
      </c>
    </row>
    <row r="1594" spans="1:45" x14ac:dyDescent="0.35">
      <c r="A1594" t="s">
        <v>45</v>
      </c>
      <c r="B1594" t="s">
        <v>3565</v>
      </c>
      <c r="C1594" t="s">
        <v>47</v>
      </c>
      <c r="D1594" t="s">
        <v>3572</v>
      </c>
      <c r="E1594" t="s">
        <v>3572</v>
      </c>
      <c r="F1594" t="s">
        <v>49</v>
      </c>
      <c r="G1594" t="s">
        <v>56</v>
      </c>
      <c r="H1594" t="s">
        <v>3573</v>
      </c>
      <c r="J1594" t="str">
        <f>HYPERLINK("https://www.facebook.com/357267201017935/inbox/7127401400671114/","https://www.facebook.com/357267201017935/inbox/7127401400671114/")</f>
        <v>https://www.facebook.com/357267201017935/inbox/7127401400671114/</v>
      </c>
      <c r="O1594">
        <v>0</v>
      </c>
      <c r="P1594">
        <v>0</v>
      </c>
      <c r="Q1594">
        <v>0</v>
      </c>
      <c r="S1594">
        <v>0</v>
      </c>
      <c r="T1594">
        <v>0</v>
      </c>
      <c r="U1594">
        <v>0</v>
      </c>
      <c r="W1594" t="s">
        <v>52</v>
      </c>
      <c r="AS1594" t="s">
        <v>375</v>
      </c>
    </row>
    <row r="1595" spans="1:45" x14ac:dyDescent="0.35">
      <c r="A1595" t="s">
        <v>45</v>
      </c>
      <c r="B1595" t="s">
        <v>3565</v>
      </c>
      <c r="C1595" t="s">
        <v>47</v>
      </c>
      <c r="D1595" t="s">
        <v>3572</v>
      </c>
      <c r="E1595" t="s">
        <v>3572</v>
      </c>
      <c r="F1595" t="s">
        <v>49</v>
      </c>
      <c r="G1595" t="s">
        <v>50</v>
      </c>
      <c r="H1595" t="s">
        <v>3573</v>
      </c>
      <c r="J1595" t="str">
        <f>HYPERLINK("https://www.facebook.com/357267201017935/inbox/7127401400671114/","https://www.facebook.com/357267201017935/inbox/7127401400671114/")</f>
        <v>https://www.facebook.com/357267201017935/inbox/7127401400671114/</v>
      </c>
      <c r="O1595">
        <v>0</v>
      </c>
      <c r="P1595">
        <v>0</v>
      </c>
      <c r="Q1595">
        <v>0</v>
      </c>
      <c r="S1595">
        <v>0</v>
      </c>
      <c r="T1595">
        <v>0</v>
      </c>
      <c r="U1595">
        <v>0</v>
      </c>
      <c r="W1595" t="s">
        <v>52</v>
      </c>
      <c r="AS1595" t="s">
        <v>375</v>
      </c>
    </row>
    <row r="1596" spans="1:45" x14ac:dyDescent="0.35">
      <c r="A1596" t="s">
        <v>45</v>
      </c>
      <c r="B1596" t="s">
        <v>3565</v>
      </c>
      <c r="C1596" t="s">
        <v>139</v>
      </c>
      <c r="D1596" t="s">
        <v>2967</v>
      </c>
      <c r="E1596" t="s">
        <v>2968</v>
      </c>
      <c r="F1596" t="s">
        <v>76</v>
      </c>
      <c r="G1596" t="s">
        <v>3574</v>
      </c>
      <c r="H1596" t="s">
        <v>3575</v>
      </c>
      <c r="J1596" t="str">
        <f>HYPERLINK("https://twitter.com/Milindshah2017/status/1765432927385481304","https://twitter.com/Milindshah2017/status/1765432927385481304")</f>
        <v>https://twitter.com/Milindshah2017/status/1765432927385481304</v>
      </c>
      <c r="K1596" t="s">
        <v>145</v>
      </c>
      <c r="O1596">
        <v>0</v>
      </c>
      <c r="P1596">
        <v>0</v>
      </c>
      <c r="Q1596">
        <v>56</v>
      </c>
      <c r="R1596" t="s">
        <v>2971</v>
      </c>
      <c r="S1596">
        <v>0</v>
      </c>
      <c r="T1596">
        <v>0</v>
      </c>
      <c r="U1596">
        <v>0</v>
      </c>
      <c r="W1596" t="s">
        <v>146</v>
      </c>
    </row>
    <row r="1597" spans="1:45" x14ac:dyDescent="0.35">
      <c r="A1597" t="s">
        <v>45</v>
      </c>
      <c r="B1597" t="s">
        <v>3565</v>
      </c>
      <c r="C1597" t="s">
        <v>139</v>
      </c>
      <c r="D1597" t="s">
        <v>2967</v>
      </c>
      <c r="E1597" t="s">
        <v>2968</v>
      </c>
      <c r="F1597" t="s">
        <v>76</v>
      </c>
      <c r="G1597" t="s">
        <v>3576</v>
      </c>
      <c r="H1597" t="s">
        <v>3575</v>
      </c>
      <c r="J1597" t="str">
        <f>HYPERLINK("https://twitter.com/Milindshah2017/status/1765432927389716534","https://twitter.com/Milindshah2017/status/1765432927389716534")</f>
        <v>https://twitter.com/Milindshah2017/status/1765432927389716534</v>
      </c>
      <c r="K1597" t="s">
        <v>145</v>
      </c>
      <c r="O1597">
        <v>0</v>
      </c>
      <c r="P1597">
        <v>0</v>
      </c>
      <c r="Q1597">
        <v>56</v>
      </c>
      <c r="R1597" t="s">
        <v>2971</v>
      </c>
      <c r="S1597">
        <v>0</v>
      </c>
      <c r="T1597">
        <v>0</v>
      </c>
      <c r="U1597">
        <v>0</v>
      </c>
      <c r="W1597" t="s">
        <v>146</v>
      </c>
      <c r="AS1597" t="s">
        <v>375</v>
      </c>
    </row>
    <row r="1598" spans="1:45" x14ac:dyDescent="0.35">
      <c r="A1598" t="s">
        <v>45</v>
      </c>
      <c r="B1598" t="s">
        <v>3565</v>
      </c>
      <c r="C1598" t="s">
        <v>63</v>
      </c>
      <c r="D1598" t="s">
        <v>3577</v>
      </c>
      <c r="E1598" t="s">
        <v>3577</v>
      </c>
      <c r="F1598" t="s">
        <v>76</v>
      </c>
      <c r="G1598" t="s">
        <v>3578</v>
      </c>
      <c r="H1598" t="s">
        <v>3579</v>
      </c>
      <c r="J1598" t="str">
        <f>HYPERLINK("https://www.instagram.com/p/C3STh5ugtpX/","https://www.instagram.com/p/C3STh5ugtpX/")</f>
        <v>https://www.instagram.com/p/C3STh5ugtpX/</v>
      </c>
      <c r="O1598">
        <v>0</v>
      </c>
      <c r="P1598">
        <v>0</v>
      </c>
      <c r="Q1598">
        <v>0</v>
      </c>
      <c r="S1598">
        <v>0</v>
      </c>
      <c r="T1598">
        <v>0</v>
      </c>
      <c r="U1598">
        <v>0</v>
      </c>
      <c r="W1598" t="s">
        <v>62</v>
      </c>
    </row>
    <row r="1599" spans="1:45" x14ac:dyDescent="0.35">
      <c r="A1599" t="s">
        <v>45</v>
      </c>
      <c r="B1599" t="s">
        <v>3565</v>
      </c>
      <c r="C1599" t="s">
        <v>63</v>
      </c>
      <c r="D1599" t="s">
        <v>3580</v>
      </c>
      <c r="E1599" t="s">
        <v>3580</v>
      </c>
      <c r="F1599" t="s">
        <v>49</v>
      </c>
      <c r="G1599" t="s">
        <v>3581</v>
      </c>
      <c r="H1599" t="s">
        <v>3582</v>
      </c>
      <c r="J1599" t="str">
        <f>HYPERLINK("https://www.instagram.com/p/C3VES0FgrdQ/","https://www.instagram.com/p/C3VES0FgrdQ/")</f>
        <v>https://www.instagram.com/p/C3VES0FgrdQ/</v>
      </c>
      <c r="O1599">
        <v>0</v>
      </c>
      <c r="P1599">
        <v>0</v>
      </c>
      <c r="Q1599">
        <v>0</v>
      </c>
      <c r="S1599">
        <v>0</v>
      </c>
      <c r="T1599">
        <v>0</v>
      </c>
      <c r="U1599">
        <v>0</v>
      </c>
      <c r="W1599" t="s">
        <v>62</v>
      </c>
    </row>
    <row r="1600" spans="1:45" x14ac:dyDescent="0.35">
      <c r="A1600" t="s">
        <v>45</v>
      </c>
      <c r="B1600" t="s">
        <v>3565</v>
      </c>
      <c r="C1600" t="s">
        <v>139</v>
      </c>
      <c r="D1600" t="s">
        <v>3583</v>
      </c>
      <c r="E1600" t="s">
        <v>3584</v>
      </c>
      <c r="F1600" t="s">
        <v>49</v>
      </c>
      <c r="G1600" t="s">
        <v>3585</v>
      </c>
      <c r="H1600" t="s">
        <v>3586</v>
      </c>
      <c r="J1600" t="str">
        <f>HYPERLINK("https://twitter.com/paytmbankcare/status/1765410764524056860","https://twitter.com/paytmbankcare/status/1765410764524056860")</f>
        <v>https://twitter.com/paytmbankcare/status/1765410764524056860</v>
      </c>
      <c r="O1600">
        <v>0</v>
      </c>
      <c r="P1600">
        <v>0</v>
      </c>
      <c r="Q1600">
        <v>77504</v>
      </c>
      <c r="R1600" t="s">
        <v>582</v>
      </c>
      <c r="S1600">
        <v>0</v>
      </c>
      <c r="T1600">
        <v>0</v>
      </c>
      <c r="U1600">
        <v>0</v>
      </c>
      <c r="V1600" t="s">
        <v>642</v>
      </c>
      <c r="W1600" t="s">
        <v>146</v>
      </c>
    </row>
    <row r="1601" spans="1:45" x14ac:dyDescent="0.35">
      <c r="A1601" t="s">
        <v>45</v>
      </c>
      <c r="B1601" t="s">
        <v>3565</v>
      </c>
      <c r="C1601" t="s">
        <v>47</v>
      </c>
      <c r="D1601" t="s">
        <v>3587</v>
      </c>
      <c r="E1601" t="s">
        <v>3587</v>
      </c>
      <c r="F1601" t="s">
        <v>49</v>
      </c>
      <c r="G1601" t="s">
        <v>3588</v>
      </c>
      <c r="H1601" t="s">
        <v>3589</v>
      </c>
      <c r="J1601" t="str">
        <f>HYPERLINK("https://www.facebook.com/454965103328545/posts/782603903897995?comment_id=6851418158297001","https://www.facebook.com/454965103328545/posts/782603903897995?comment_id=6851418158297001")</f>
        <v>https://www.facebook.com/454965103328545/posts/782603903897995?comment_id=6851418158297001</v>
      </c>
      <c r="O1601">
        <v>0</v>
      </c>
      <c r="P1601">
        <v>0</v>
      </c>
      <c r="Q1601">
        <v>0</v>
      </c>
      <c r="S1601">
        <v>0</v>
      </c>
      <c r="T1601">
        <v>0</v>
      </c>
      <c r="U1601">
        <v>0</v>
      </c>
      <c r="W1601" t="s">
        <v>62</v>
      </c>
      <c r="AS1601" t="s">
        <v>375</v>
      </c>
    </row>
    <row r="1602" spans="1:45" x14ac:dyDescent="0.35">
      <c r="A1602" t="s">
        <v>45</v>
      </c>
      <c r="B1602" t="s">
        <v>3565</v>
      </c>
      <c r="C1602" t="s">
        <v>58</v>
      </c>
      <c r="D1602" t="s">
        <v>1217</v>
      </c>
      <c r="E1602" t="s">
        <v>1217</v>
      </c>
      <c r="F1602" t="s">
        <v>49</v>
      </c>
      <c r="G1602" t="s">
        <v>3590</v>
      </c>
      <c r="H1602" t="s">
        <v>3591</v>
      </c>
      <c r="J1602" t="str">
        <f>HYPERLINK("https://www.youtube.com/watch?v=WMS2nahM6a0","https://www.youtube.com/watch?v=WMS2nahM6a0")</f>
        <v>https://www.youtube.com/watch?v=WMS2nahM6a0</v>
      </c>
      <c r="O1602">
        <v>0</v>
      </c>
      <c r="P1602">
        <v>0</v>
      </c>
      <c r="Q1602">
        <v>0</v>
      </c>
      <c r="S1602">
        <v>0</v>
      </c>
      <c r="T1602">
        <v>0</v>
      </c>
      <c r="U1602">
        <v>0</v>
      </c>
      <c r="W1602" t="s">
        <v>106</v>
      </c>
      <c r="AP1602" t="s">
        <v>147</v>
      </c>
    </row>
    <row r="1603" spans="1:45" x14ac:dyDescent="0.35">
      <c r="A1603" t="s">
        <v>45</v>
      </c>
      <c r="B1603" t="s">
        <v>3565</v>
      </c>
      <c r="C1603" t="s">
        <v>58</v>
      </c>
      <c r="D1603" t="s">
        <v>3551</v>
      </c>
      <c r="E1603" t="s">
        <v>3551</v>
      </c>
      <c r="F1603" t="s">
        <v>76</v>
      </c>
      <c r="G1603" t="s">
        <v>3592</v>
      </c>
      <c r="H1603" t="s">
        <v>3593</v>
      </c>
      <c r="J1603" t="str">
        <f>HYPERLINK("https://www.youtube.com/watch?v=bmBt85rYfXQ","https://www.youtube.com/watch?v=bmBt85rYfXQ")</f>
        <v>https://www.youtube.com/watch?v=bmBt85rYfXQ</v>
      </c>
      <c r="O1603">
        <v>0</v>
      </c>
      <c r="P1603">
        <v>0</v>
      </c>
      <c r="Q1603">
        <v>0</v>
      </c>
      <c r="S1603">
        <v>0</v>
      </c>
      <c r="T1603">
        <v>0</v>
      </c>
      <c r="U1603">
        <v>0</v>
      </c>
      <c r="W1603" t="s">
        <v>106</v>
      </c>
    </row>
    <row r="1604" spans="1:45" x14ac:dyDescent="0.35">
      <c r="A1604" t="s">
        <v>45</v>
      </c>
      <c r="B1604" t="s">
        <v>3565</v>
      </c>
      <c r="C1604" t="s">
        <v>47</v>
      </c>
      <c r="D1604" t="s">
        <v>3594</v>
      </c>
      <c r="E1604" t="s">
        <v>3594</v>
      </c>
      <c r="F1604" t="s">
        <v>49</v>
      </c>
      <c r="G1604" t="s">
        <v>3595</v>
      </c>
      <c r="H1604" t="s">
        <v>3596</v>
      </c>
      <c r="J1604" t="str">
        <f>HYPERLINK("https://www.facebook.com/357267201017935/inbox/7126340877443833/","https://www.facebook.com/357267201017935/inbox/7126340877443833/")</f>
        <v>https://www.facebook.com/357267201017935/inbox/7126340877443833/</v>
      </c>
      <c r="O1604">
        <v>0</v>
      </c>
      <c r="P1604">
        <v>0</v>
      </c>
      <c r="Q1604">
        <v>0</v>
      </c>
      <c r="S1604">
        <v>0</v>
      </c>
      <c r="T1604">
        <v>0</v>
      </c>
      <c r="U1604">
        <v>0</v>
      </c>
      <c r="W1604" t="s">
        <v>52</v>
      </c>
      <c r="AS1604" t="s">
        <v>375</v>
      </c>
    </row>
    <row r="1605" spans="1:45" x14ac:dyDescent="0.35">
      <c r="A1605" t="s">
        <v>45</v>
      </c>
      <c r="B1605" t="s">
        <v>3565</v>
      </c>
      <c r="C1605" t="s">
        <v>139</v>
      </c>
      <c r="D1605" t="s">
        <v>3597</v>
      </c>
      <c r="E1605" t="s">
        <v>3598</v>
      </c>
      <c r="F1605" t="s">
        <v>142</v>
      </c>
      <c r="G1605" t="s">
        <v>3558</v>
      </c>
      <c r="H1605" t="s">
        <v>3599</v>
      </c>
      <c r="J1605" t="str">
        <f>HYPERLINK("https://twitter.com/rohanchatur1419/status/1765339518889291879","https://twitter.com/rohanchatur1419/status/1765339518889291879")</f>
        <v>https://twitter.com/rohanchatur1419/status/1765339518889291879</v>
      </c>
      <c r="K1605" t="s">
        <v>145</v>
      </c>
      <c r="O1605">
        <v>0</v>
      </c>
      <c r="P1605">
        <v>0</v>
      </c>
      <c r="Q1605">
        <v>0</v>
      </c>
      <c r="S1605">
        <v>0</v>
      </c>
      <c r="T1605">
        <v>0</v>
      </c>
      <c r="U1605">
        <v>0</v>
      </c>
      <c r="W1605" t="s">
        <v>146</v>
      </c>
      <c r="AP1605" t="s">
        <v>147</v>
      </c>
    </row>
    <row r="1606" spans="1:45" x14ac:dyDescent="0.35">
      <c r="A1606" t="s">
        <v>45</v>
      </c>
      <c r="B1606" t="s">
        <v>3565</v>
      </c>
      <c r="C1606" t="s">
        <v>63</v>
      </c>
      <c r="D1606" t="s">
        <v>186</v>
      </c>
      <c r="E1606" t="s">
        <v>186</v>
      </c>
      <c r="F1606" t="s">
        <v>49</v>
      </c>
      <c r="G1606" t="s">
        <v>3600</v>
      </c>
      <c r="H1606" t="s">
        <v>3601</v>
      </c>
      <c r="J1606" t="str">
        <f>HYPERLINK("https://www.instagram.com/p/C4K9IQ4tt6t/","https://www.instagram.com/p/C4K9IQ4tt6t/")</f>
        <v>https://www.instagram.com/p/C4K9IQ4tt6t/</v>
      </c>
      <c r="O1606">
        <v>0</v>
      </c>
      <c r="P1606">
        <v>0</v>
      </c>
      <c r="Q1606">
        <v>0</v>
      </c>
      <c r="S1606">
        <v>1</v>
      </c>
      <c r="T1606">
        <v>66</v>
      </c>
      <c r="U1606">
        <v>0</v>
      </c>
      <c r="W1606" t="s">
        <v>106</v>
      </c>
    </row>
    <row r="1607" spans="1:45" x14ac:dyDescent="0.35">
      <c r="A1607" t="s">
        <v>45</v>
      </c>
      <c r="B1607" t="s">
        <v>3565</v>
      </c>
      <c r="C1607" t="s">
        <v>47</v>
      </c>
      <c r="D1607" t="s">
        <v>45</v>
      </c>
      <c r="E1607" t="s">
        <v>45</v>
      </c>
      <c r="F1607" t="s">
        <v>49</v>
      </c>
      <c r="G1607" t="s">
        <v>3600</v>
      </c>
      <c r="H1607" t="s">
        <v>3602</v>
      </c>
      <c r="J1607" t="str">
        <f>HYPERLINK("https://www.facebook.com/357267201017935_782603903897995","https://www.facebook.com/357267201017935_782603903897995")</f>
        <v>https://www.facebook.com/357267201017935_782603903897995</v>
      </c>
      <c r="O1607">
        <v>0</v>
      </c>
      <c r="P1607">
        <v>0</v>
      </c>
      <c r="Q1607">
        <v>0</v>
      </c>
      <c r="S1607">
        <v>5</v>
      </c>
      <c r="T1607">
        <v>46</v>
      </c>
      <c r="U1607">
        <v>4</v>
      </c>
      <c r="W1607" t="s">
        <v>106</v>
      </c>
    </row>
    <row r="1608" spans="1:45" x14ac:dyDescent="0.35">
      <c r="A1608" t="s">
        <v>45</v>
      </c>
      <c r="B1608" t="s">
        <v>3565</v>
      </c>
      <c r="C1608" t="s">
        <v>139</v>
      </c>
      <c r="D1608" t="s">
        <v>190</v>
      </c>
      <c r="E1608" t="s">
        <v>45</v>
      </c>
      <c r="F1608" t="s">
        <v>49</v>
      </c>
      <c r="G1608" t="s">
        <v>3603</v>
      </c>
      <c r="H1608" t="s">
        <v>3604</v>
      </c>
      <c r="J1608" t="str">
        <f>HYPERLINK("https://twitter.com/FinoPaymntsBank/status/1765339040499532149","https://twitter.com/FinoPaymntsBank/status/1765339040499532149")</f>
        <v>https://twitter.com/FinoPaymntsBank/status/1765339040499532149</v>
      </c>
      <c r="K1608" t="s">
        <v>145</v>
      </c>
      <c r="O1608">
        <v>0</v>
      </c>
      <c r="P1608">
        <v>0</v>
      </c>
      <c r="Q1608">
        <v>8422</v>
      </c>
      <c r="R1608" t="s">
        <v>193</v>
      </c>
      <c r="S1608">
        <v>0</v>
      </c>
      <c r="T1608">
        <v>0</v>
      </c>
      <c r="U1608">
        <v>0</v>
      </c>
      <c r="W1608" t="s">
        <v>146</v>
      </c>
    </row>
    <row r="1609" spans="1:45" x14ac:dyDescent="0.35">
      <c r="A1609" t="s">
        <v>45</v>
      </c>
      <c r="B1609" t="s">
        <v>3565</v>
      </c>
      <c r="C1609" t="s">
        <v>47</v>
      </c>
      <c r="D1609" t="s">
        <v>151</v>
      </c>
      <c r="E1609" t="s">
        <v>151</v>
      </c>
      <c r="F1609" t="s">
        <v>49</v>
      </c>
      <c r="G1609" t="s">
        <v>3605</v>
      </c>
      <c r="H1609" t="s">
        <v>3606</v>
      </c>
      <c r="J1609" t="str">
        <f>HYPERLINK("https://www.facebook.com/454965103328545/posts/780222857469433?comment_id=1179817903003567&amp;reply_comment_id=399215499365556","https://www.facebook.com/454965103328545/posts/780222857469433?comment_id=1179817903003567&amp;reply_comment_id=399215499365556")</f>
        <v>https://www.facebook.com/454965103328545/posts/780222857469433?comment_id=1179817903003567&amp;reply_comment_id=399215499365556</v>
      </c>
      <c r="O1609">
        <v>0</v>
      </c>
      <c r="P1609">
        <v>0</v>
      </c>
      <c r="Q1609">
        <v>0</v>
      </c>
      <c r="S1609">
        <v>0</v>
      </c>
      <c r="T1609">
        <v>0</v>
      </c>
      <c r="U1609">
        <v>0</v>
      </c>
      <c r="W1609" t="s">
        <v>62</v>
      </c>
    </row>
    <row r="1610" spans="1:45" x14ac:dyDescent="0.35">
      <c r="A1610" t="s">
        <v>45</v>
      </c>
      <c r="B1610" t="s">
        <v>3565</v>
      </c>
      <c r="C1610" t="s">
        <v>63</v>
      </c>
      <c r="D1610" t="s">
        <v>3607</v>
      </c>
      <c r="E1610" t="s">
        <v>3607</v>
      </c>
      <c r="F1610" t="s">
        <v>49</v>
      </c>
      <c r="G1610" t="s">
        <v>554</v>
      </c>
      <c r="H1610" t="s">
        <v>3608</v>
      </c>
      <c r="J1610" t="str">
        <f>HYPERLINK("https://www.instagram.com/reel/C4FJDtMoN64/","https://www.instagram.com/reel/C4FJDtMoN64/")</f>
        <v>https://www.instagram.com/reel/C4FJDtMoN64/</v>
      </c>
      <c r="O1610">
        <v>0</v>
      </c>
      <c r="P1610">
        <v>0</v>
      </c>
      <c r="Q1610">
        <v>0</v>
      </c>
      <c r="S1610">
        <v>0</v>
      </c>
      <c r="T1610">
        <v>0</v>
      </c>
      <c r="U1610">
        <v>0</v>
      </c>
      <c r="W1610" t="s">
        <v>106</v>
      </c>
    </row>
    <row r="1611" spans="1:45" x14ac:dyDescent="0.35">
      <c r="A1611" t="s">
        <v>45</v>
      </c>
      <c r="B1611" t="s">
        <v>3565</v>
      </c>
      <c r="C1611" t="s">
        <v>58</v>
      </c>
      <c r="D1611" t="s">
        <v>3609</v>
      </c>
      <c r="E1611" t="s">
        <v>3609</v>
      </c>
      <c r="F1611" t="s">
        <v>76</v>
      </c>
      <c r="G1611" t="s">
        <v>3610</v>
      </c>
      <c r="H1611" t="s">
        <v>3611</v>
      </c>
      <c r="J1611" t="str">
        <f>HYPERLINK("https://www.youtube.com/watch?v=IeJjWLvN-h0","https://www.youtube.com/watch?v=IeJjWLvN-h0")</f>
        <v>https://www.youtube.com/watch?v=IeJjWLvN-h0</v>
      </c>
      <c r="O1611">
        <v>0</v>
      </c>
      <c r="P1611">
        <v>0</v>
      </c>
      <c r="Q1611">
        <v>0</v>
      </c>
      <c r="S1611">
        <v>0</v>
      </c>
      <c r="T1611">
        <v>0</v>
      </c>
      <c r="U1611">
        <v>0</v>
      </c>
      <c r="W1611" t="s">
        <v>106</v>
      </c>
    </row>
    <row r="1612" spans="1:45" x14ac:dyDescent="0.35">
      <c r="A1612" t="s">
        <v>45</v>
      </c>
      <c r="B1612" t="s">
        <v>3565</v>
      </c>
      <c r="C1612" t="s">
        <v>47</v>
      </c>
      <c r="D1612" t="s">
        <v>2972</v>
      </c>
      <c r="E1612" t="s">
        <v>2972</v>
      </c>
      <c r="F1612" t="s">
        <v>49</v>
      </c>
      <c r="G1612" t="s">
        <v>3612</v>
      </c>
      <c r="H1612" t="s">
        <v>3613</v>
      </c>
      <c r="J1612" t="str">
        <f>HYPERLINK("https://www.facebook.com/454965103328545/posts/782589610566091?comment_id=1306435109997897","https://www.facebook.com/454965103328545/posts/782589610566091?comment_id=1306435109997897")</f>
        <v>https://www.facebook.com/454965103328545/posts/782589610566091?comment_id=1306435109997897</v>
      </c>
      <c r="O1612">
        <v>0</v>
      </c>
      <c r="P1612">
        <v>0</v>
      </c>
      <c r="Q1612">
        <v>0</v>
      </c>
      <c r="S1612">
        <v>0</v>
      </c>
      <c r="T1612">
        <v>0</v>
      </c>
      <c r="U1612">
        <v>0</v>
      </c>
      <c r="W1612" t="s">
        <v>62</v>
      </c>
      <c r="AS1612" t="s">
        <v>375</v>
      </c>
    </row>
    <row r="1613" spans="1:45" x14ac:dyDescent="0.35">
      <c r="A1613" t="s">
        <v>45</v>
      </c>
      <c r="B1613" t="s">
        <v>3565</v>
      </c>
      <c r="C1613" t="s">
        <v>58</v>
      </c>
      <c r="D1613" t="s">
        <v>1679</v>
      </c>
      <c r="E1613" t="s">
        <v>1679</v>
      </c>
      <c r="F1613" t="s">
        <v>49</v>
      </c>
      <c r="G1613" t="s">
        <v>3614</v>
      </c>
      <c r="H1613" t="s">
        <v>3615</v>
      </c>
      <c r="J1613" t="str">
        <f>HYPERLINK("https://www.youtube.com/watch?v=V_sBw8Osp4s","https://www.youtube.com/watch?v=V_sBw8Osp4s")</f>
        <v>https://www.youtube.com/watch?v=V_sBw8Osp4s</v>
      </c>
      <c r="O1613">
        <v>0</v>
      </c>
      <c r="P1613">
        <v>0</v>
      </c>
      <c r="Q1613">
        <v>0</v>
      </c>
      <c r="S1613">
        <v>0</v>
      </c>
      <c r="T1613">
        <v>0</v>
      </c>
      <c r="U1613">
        <v>0</v>
      </c>
      <c r="W1613" t="s">
        <v>106</v>
      </c>
    </row>
    <row r="1614" spans="1:45" x14ac:dyDescent="0.35">
      <c r="A1614" t="s">
        <v>45</v>
      </c>
      <c r="B1614" t="s">
        <v>3565</v>
      </c>
      <c r="C1614" t="s">
        <v>102</v>
      </c>
      <c r="D1614" t="s">
        <v>3616</v>
      </c>
      <c r="E1614" t="s">
        <v>3616</v>
      </c>
      <c r="F1614" t="s">
        <v>76</v>
      </c>
      <c r="G1614" t="s">
        <v>3617</v>
      </c>
      <c r="H1614" t="s">
        <v>3618</v>
      </c>
      <c r="J1614" t="str">
        <f>HYPERLINK("https://www.linkedin.com/feed/update/urn:li:activity:7171032452465975296","https://www.linkedin.com/feed/update/urn:li:activity:7171032452465975296")</f>
        <v>https://www.linkedin.com/feed/update/urn:li:activity:7171032452465975296</v>
      </c>
      <c r="O1614">
        <v>0</v>
      </c>
      <c r="P1614">
        <v>0</v>
      </c>
      <c r="Q1614">
        <v>0</v>
      </c>
      <c r="S1614">
        <v>0</v>
      </c>
      <c r="T1614">
        <v>0</v>
      </c>
      <c r="U1614">
        <v>0</v>
      </c>
      <c r="W1614" t="s">
        <v>106</v>
      </c>
    </row>
    <row r="1615" spans="1:45" x14ac:dyDescent="0.35">
      <c r="A1615" t="s">
        <v>45</v>
      </c>
      <c r="B1615" t="s">
        <v>3565</v>
      </c>
      <c r="C1615" t="s">
        <v>47</v>
      </c>
      <c r="D1615" t="s">
        <v>3619</v>
      </c>
      <c r="E1615" t="s">
        <v>3619</v>
      </c>
      <c r="F1615" t="s">
        <v>76</v>
      </c>
      <c r="G1615" t="s">
        <v>2121</v>
      </c>
      <c r="H1615" t="s">
        <v>3620</v>
      </c>
      <c r="J1615" t="str">
        <f>HYPERLINK("https://www.facebook.com/454965103328545/posts/782589610566091?comment_id=419175153813001","https://www.facebook.com/454965103328545/posts/782589610566091?comment_id=419175153813001")</f>
        <v>https://www.facebook.com/454965103328545/posts/782589610566091?comment_id=419175153813001</v>
      </c>
      <c r="O1615">
        <v>0</v>
      </c>
      <c r="P1615">
        <v>0</v>
      </c>
      <c r="Q1615">
        <v>0</v>
      </c>
      <c r="S1615">
        <v>0</v>
      </c>
      <c r="T1615">
        <v>0</v>
      </c>
      <c r="U1615">
        <v>0</v>
      </c>
      <c r="W1615" t="s">
        <v>62</v>
      </c>
    </row>
    <row r="1616" spans="1:45" x14ac:dyDescent="0.35">
      <c r="A1616" t="s">
        <v>45</v>
      </c>
      <c r="B1616" t="s">
        <v>3565</v>
      </c>
      <c r="C1616" t="s">
        <v>63</v>
      </c>
      <c r="D1616" t="s">
        <v>3621</v>
      </c>
      <c r="E1616" t="s">
        <v>3621</v>
      </c>
      <c r="F1616" t="s">
        <v>49</v>
      </c>
      <c r="G1616" t="s">
        <v>3622</v>
      </c>
      <c r="H1616" t="s">
        <v>3623</v>
      </c>
      <c r="J1616" t="str">
        <f>HYPERLINK("https://www.instagram.com/p/C32Wxgyh-8B/","https://www.instagram.com/p/C32Wxgyh-8B/")</f>
        <v>https://www.instagram.com/p/C32Wxgyh-8B/</v>
      </c>
      <c r="O1616">
        <v>0</v>
      </c>
      <c r="P1616">
        <v>0</v>
      </c>
      <c r="Q1616">
        <v>0</v>
      </c>
      <c r="S1616">
        <v>0</v>
      </c>
      <c r="T1616">
        <v>0</v>
      </c>
      <c r="U1616">
        <v>0</v>
      </c>
      <c r="W1616" t="s">
        <v>62</v>
      </c>
    </row>
    <row r="1617" spans="1:45" x14ac:dyDescent="0.35">
      <c r="A1617" t="s">
        <v>45</v>
      </c>
      <c r="B1617" t="s">
        <v>3565</v>
      </c>
      <c r="C1617" t="s">
        <v>47</v>
      </c>
      <c r="D1617" t="s">
        <v>3624</v>
      </c>
      <c r="E1617" t="s">
        <v>3624</v>
      </c>
      <c r="F1617" t="s">
        <v>49</v>
      </c>
      <c r="G1617" t="s">
        <v>3625</v>
      </c>
      <c r="H1617" t="s">
        <v>3626</v>
      </c>
      <c r="J1617" t="str">
        <f>HYPERLINK("https://www.facebook.com/717903347030750/posts/832854968868920?comment_id=435969712290954","https://www.facebook.com/717903347030750/posts/832854968868920?comment_id=435969712290954")</f>
        <v>https://www.facebook.com/717903347030750/posts/832854968868920?comment_id=435969712290954</v>
      </c>
      <c r="O1617">
        <v>0</v>
      </c>
      <c r="P1617">
        <v>0</v>
      </c>
      <c r="Q1617">
        <v>0</v>
      </c>
      <c r="S1617">
        <v>0</v>
      </c>
      <c r="T1617">
        <v>0</v>
      </c>
      <c r="U1617">
        <v>0</v>
      </c>
      <c r="W1617" t="s">
        <v>62</v>
      </c>
      <c r="AO1617" t="s">
        <v>119</v>
      </c>
      <c r="AP1617" t="s">
        <v>101</v>
      </c>
    </row>
    <row r="1618" spans="1:45" x14ac:dyDescent="0.35">
      <c r="A1618" t="s">
        <v>45</v>
      </c>
      <c r="B1618" t="s">
        <v>3565</v>
      </c>
      <c r="C1618" t="s">
        <v>47</v>
      </c>
      <c r="D1618" t="s">
        <v>3624</v>
      </c>
      <c r="E1618" t="s">
        <v>3624</v>
      </c>
      <c r="F1618" t="s">
        <v>49</v>
      </c>
      <c r="G1618" t="s">
        <v>3625</v>
      </c>
      <c r="H1618" t="s">
        <v>3627</v>
      </c>
      <c r="J1618" t="str">
        <f>HYPERLINK("https://www.facebook.com/717903347030750/posts/833085758845841?comment_id=783196147071080","https://www.facebook.com/717903347030750/posts/833085758845841?comment_id=783196147071080")</f>
        <v>https://www.facebook.com/717903347030750/posts/833085758845841?comment_id=783196147071080</v>
      </c>
      <c r="O1618">
        <v>0</v>
      </c>
      <c r="P1618">
        <v>0</v>
      </c>
      <c r="Q1618">
        <v>0</v>
      </c>
      <c r="S1618">
        <v>0</v>
      </c>
      <c r="T1618">
        <v>0</v>
      </c>
      <c r="U1618">
        <v>0</v>
      </c>
      <c r="W1618" t="s">
        <v>62</v>
      </c>
      <c r="AO1618" t="s">
        <v>119</v>
      </c>
      <c r="AP1618" t="s">
        <v>101</v>
      </c>
      <c r="AS1618" t="s">
        <v>375</v>
      </c>
    </row>
    <row r="1619" spans="1:45" x14ac:dyDescent="0.35">
      <c r="A1619" t="s">
        <v>45</v>
      </c>
      <c r="B1619" t="s">
        <v>3565</v>
      </c>
      <c r="C1619" t="s">
        <v>47</v>
      </c>
      <c r="D1619" t="s">
        <v>3624</v>
      </c>
      <c r="E1619" t="s">
        <v>3624</v>
      </c>
      <c r="F1619" t="s">
        <v>49</v>
      </c>
      <c r="G1619" t="s">
        <v>3625</v>
      </c>
      <c r="H1619" t="s">
        <v>3628</v>
      </c>
      <c r="J1619" t="str">
        <f>HYPERLINK("https://www.facebook.com/717903347030750/posts/833446098809807?comment_id=377100288512063","https://www.facebook.com/717903347030750/posts/833446098809807?comment_id=377100288512063")</f>
        <v>https://www.facebook.com/717903347030750/posts/833446098809807?comment_id=377100288512063</v>
      </c>
      <c r="O1619">
        <v>0</v>
      </c>
      <c r="P1619">
        <v>0</v>
      </c>
      <c r="Q1619">
        <v>0</v>
      </c>
      <c r="S1619">
        <v>0</v>
      </c>
      <c r="T1619">
        <v>0</v>
      </c>
      <c r="U1619">
        <v>0</v>
      </c>
      <c r="W1619" t="s">
        <v>62</v>
      </c>
      <c r="AO1619" t="s">
        <v>119</v>
      </c>
      <c r="AP1619" t="s">
        <v>101</v>
      </c>
    </row>
    <row r="1620" spans="1:45" x14ac:dyDescent="0.35">
      <c r="A1620" t="s">
        <v>45</v>
      </c>
      <c r="B1620" t="s">
        <v>3565</v>
      </c>
      <c r="C1620" t="s">
        <v>47</v>
      </c>
      <c r="D1620" t="s">
        <v>3629</v>
      </c>
      <c r="E1620" t="s">
        <v>3629</v>
      </c>
      <c r="F1620" t="s">
        <v>49</v>
      </c>
      <c r="G1620" t="s">
        <v>3630</v>
      </c>
      <c r="H1620" t="s">
        <v>3631</v>
      </c>
      <c r="J1620" t="str">
        <f>HYPERLINK("https://www.facebook.com/357267201017935/posts/4307491169328832/?comment_id=4335237769887505&amp;reply_comment_id=7231481250270041","https://www.facebook.com/357267201017935/posts/4307491169328832/?comment_id=4335237769887505&amp;reply_comment_id=7231481250270041")</f>
        <v>https://www.facebook.com/357267201017935/posts/4307491169328832/?comment_id=4335237769887505&amp;reply_comment_id=7231481250270041</v>
      </c>
      <c r="O1620">
        <v>0</v>
      </c>
      <c r="P1620">
        <v>0</v>
      </c>
      <c r="Q1620">
        <v>0</v>
      </c>
      <c r="S1620">
        <v>0</v>
      </c>
      <c r="T1620">
        <v>0</v>
      </c>
      <c r="U1620">
        <v>0</v>
      </c>
      <c r="W1620" t="s">
        <v>62</v>
      </c>
      <c r="Y1620" t="s">
        <v>3632</v>
      </c>
      <c r="Z1620" t="s">
        <v>613</v>
      </c>
      <c r="AA1620" t="s">
        <v>614</v>
      </c>
    </row>
    <row r="1621" spans="1:45" x14ac:dyDescent="0.35">
      <c r="A1621" t="s">
        <v>45</v>
      </c>
      <c r="B1621" t="s">
        <v>3565</v>
      </c>
      <c r="C1621" t="s">
        <v>58</v>
      </c>
      <c r="D1621" t="s">
        <v>2862</v>
      </c>
      <c r="E1621" t="s">
        <v>2862</v>
      </c>
      <c r="F1621" t="s">
        <v>49</v>
      </c>
      <c r="G1621" t="s">
        <v>3633</v>
      </c>
      <c r="H1621" t="s">
        <v>3634</v>
      </c>
      <c r="J1621" t="str">
        <f>HYPERLINK("https://www.youtube.com/watch?v=DNOEbkP1VOY","https://www.youtube.com/watch?v=DNOEbkP1VOY")</f>
        <v>https://www.youtube.com/watch?v=DNOEbkP1VOY</v>
      </c>
      <c r="O1621">
        <v>0</v>
      </c>
      <c r="P1621">
        <v>0</v>
      </c>
      <c r="Q1621">
        <v>0</v>
      </c>
      <c r="S1621">
        <v>0</v>
      </c>
      <c r="T1621">
        <v>0</v>
      </c>
      <c r="U1621">
        <v>0</v>
      </c>
      <c r="W1621" t="s">
        <v>106</v>
      </c>
      <c r="AP1621" t="s">
        <v>101</v>
      </c>
    </row>
    <row r="1622" spans="1:45" x14ac:dyDescent="0.35">
      <c r="A1622" t="s">
        <v>45</v>
      </c>
      <c r="B1622" t="s">
        <v>3565</v>
      </c>
      <c r="C1622" t="s">
        <v>58</v>
      </c>
      <c r="D1622" t="s">
        <v>885</v>
      </c>
      <c r="E1622" t="s">
        <v>885</v>
      </c>
      <c r="F1622" t="s">
        <v>49</v>
      </c>
      <c r="G1622" t="s">
        <v>886</v>
      </c>
      <c r="H1622" t="s">
        <v>3635</v>
      </c>
      <c r="J1622" t="str">
        <f>HYPERLINK("https://www.youtube.com/watch?v=cL5ZtAjlSOQ","https://www.youtube.com/watch?v=cL5ZtAjlSOQ")</f>
        <v>https://www.youtube.com/watch?v=cL5ZtAjlSOQ</v>
      </c>
      <c r="O1622">
        <v>0</v>
      </c>
      <c r="P1622">
        <v>0</v>
      </c>
      <c r="Q1622">
        <v>0</v>
      </c>
      <c r="S1622">
        <v>0</v>
      </c>
      <c r="T1622">
        <v>0</v>
      </c>
      <c r="U1622">
        <v>0</v>
      </c>
      <c r="W1622" t="s">
        <v>106</v>
      </c>
    </row>
    <row r="1623" spans="1:45" x14ac:dyDescent="0.35">
      <c r="A1623" t="s">
        <v>45</v>
      </c>
      <c r="B1623" t="s">
        <v>3565</v>
      </c>
      <c r="C1623" t="s">
        <v>58</v>
      </c>
      <c r="D1623" t="s">
        <v>3636</v>
      </c>
      <c r="E1623" t="s">
        <v>3636</v>
      </c>
      <c r="F1623" t="s">
        <v>49</v>
      </c>
      <c r="G1623" t="s">
        <v>3637</v>
      </c>
      <c r="H1623" t="s">
        <v>3638</v>
      </c>
      <c r="J1623" t="str">
        <f>HYPERLINK("https://www.youtube.com/watch?v=gpdTjKULltA","https://www.youtube.com/watch?v=gpdTjKULltA")</f>
        <v>https://www.youtube.com/watch?v=gpdTjKULltA</v>
      </c>
      <c r="O1623">
        <v>0</v>
      </c>
      <c r="P1623">
        <v>0</v>
      </c>
      <c r="Q1623">
        <v>0</v>
      </c>
      <c r="S1623">
        <v>0</v>
      </c>
      <c r="T1623">
        <v>0</v>
      </c>
      <c r="U1623">
        <v>0</v>
      </c>
      <c r="W1623" t="s">
        <v>106</v>
      </c>
    </row>
    <row r="1624" spans="1:45" x14ac:dyDescent="0.35">
      <c r="A1624" t="s">
        <v>45</v>
      </c>
      <c r="B1624" t="s">
        <v>3565</v>
      </c>
      <c r="C1624" t="s">
        <v>47</v>
      </c>
      <c r="D1624" t="s">
        <v>2774</v>
      </c>
      <c r="E1624" t="s">
        <v>2774</v>
      </c>
      <c r="F1624" t="s">
        <v>49</v>
      </c>
      <c r="G1624" t="s">
        <v>3639</v>
      </c>
      <c r="H1624" t="s">
        <v>3640</v>
      </c>
      <c r="J1624" t="str">
        <f>HYPERLINK("https://www.facebook.com/357267201017935/inbox/7097486290329292/","https://www.facebook.com/357267201017935/inbox/7097486290329292/")</f>
        <v>https://www.facebook.com/357267201017935/inbox/7097486290329292/</v>
      </c>
      <c r="O1624">
        <v>0</v>
      </c>
      <c r="P1624">
        <v>0</v>
      </c>
      <c r="Q1624">
        <v>0</v>
      </c>
      <c r="S1624">
        <v>0</v>
      </c>
      <c r="T1624">
        <v>0</v>
      </c>
      <c r="U1624">
        <v>0</v>
      </c>
      <c r="W1624" t="s">
        <v>52</v>
      </c>
      <c r="AS1624" t="s">
        <v>375</v>
      </c>
    </row>
    <row r="1625" spans="1:45" x14ac:dyDescent="0.35">
      <c r="A1625" t="s">
        <v>45</v>
      </c>
      <c r="B1625" t="s">
        <v>3565</v>
      </c>
      <c r="C1625" t="s">
        <v>139</v>
      </c>
      <c r="D1625" t="s">
        <v>2884</v>
      </c>
      <c r="E1625" t="s">
        <v>2885</v>
      </c>
      <c r="F1625" t="s">
        <v>49</v>
      </c>
      <c r="G1625" t="s">
        <v>3641</v>
      </c>
      <c r="H1625" t="s">
        <v>3642</v>
      </c>
      <c r="J1625" t="str">
        <f>HYPERLINK("https://twitter.com/samdani45/status/1765091113084531053","https://twitter.com/samdani45/status/1765091113084531053")</f>
        <v>https://twitter.com/samdani45/status/1765091113084531053</v>
      </c>
      <c r="K1625" t="s">
        <v>145</v>
      </c>
      <c r="O1625">
        <v>0</v>
      </c>
      <c r="P1625">
        <v>0</v>
      </c>
      <c r="Q1625">
        <v>201</v>
      </c>
      <c r="R1625" t="s">
        <v>2888</v>
      </c>
      <c r="S1625">
        <v>0</v>
      </c>
      <c r="T1625">
        <v>0</v>
      </c>
      <c r="U1625">
        <v>0</v>
      </c>
      <c r="W1625" t="s">
        <v>146</v>
      </c>
      <c r="AS1625" t="s">
        <v>375</v>
      </c>
    </row>
    <row r="1626" spans="1:45" x14ac:dyDescent="0.35">
      <c r="A1626" t="s">
        <v>45</v>
      </c>
      <c r="B1626" t="s">
        <v>3565</v>
      </c>
      <c r="C1626" t="s">
        <v>139</v>
      </c>
      <c r="D1626" t="s">
        <v>2884</v>
      </c>
      <c r="E1626" t="s">
        <v>2885</v>
      </c>
      <c r="F1626" t="s">
        <v>49</v>
      </c>
      <c r="G1626" t="s">
        <v>3643</v>
      </c>
      <c r="H1626" t="s">
        <v>3644</v>
      </c>
      <c r="J1626" t="str">
        <f>HYPERLINK("https://twitter.com/samdani45/status/1765090643377033419","https://twitter.com/samdani45/status/1765090643377033419")</f>
        <v>https://twitter.com/samdani45/status/1765090643377033419</v>
      </c>
      <c r="K1626" t="s">
        <v>145</v>
      </c>
      <c r="O1626">
        <v>0</v>
      </c>
      <c r="P1626">
        <v>0</v>
      </c>
      <c r="Q1626">
        <v>201</v>
      </c>
      <c r="R1626" t="s">
        <v>2888</v>
      </c>
      <c r="S1626">
        <v>0</v>
      </c>
      <c r="T1626">
        <v>0</v>
      </c>
      <c r="U1626">
        <v>0</v>
      </c>
      <c r="W1626" t="s">
        <v>146</v>
      </c>
    </row>
    <row r="1627" spans="1:45" x14ac:dyDescent="0.35">
      <c r="A1627" t="s">
        <v>45</v>
      </c>
      <c r="B1627" t="s">
        <v>3565</v>
      </c>
      <c r="C1627" t="s">
        <v>58</v>
      </c>
      <c r="D1627" t="s">
        <v>3645</v>
      </c>
      <c r="E1627" t="s">
        <v>3645</v>
      </c>
      <c r="F1627" t="s">
        <v>49</v>
      </c>
      <c r="G1627" t="s">
        <v>3646</v>
      </c>
      <c r="H1627" t="s">
        <v>3647</v>
      </c>
      <c r="J1627" t="str">
        <f>HYPERLINK("https://www.youtube.com/watch?v=Y7pZIqFqQa8","https://www.youtube.com/watch?v=Y7pZIqFqQa8")</f>
        <v>https://www.youtube.com/watch?v=Y7pZIqFqQa8</v>
      </c>
      <c r="O1627">
        <v>0</v>
      </c>
      <c r="P1627">
        <v>0</v>
      </c>
      <c r="Q1627">
        <v>0</v>
      </c>
      <c r="S1627">
        <v>0</v>
      </c>
      <c r="T1627">
        <v>0</v>
      </c>
      <c r="U1627">
        <v>0</v>
      </c>
      <c r="W1627" t="s">
        <v>106</v>
      </c>
    </row>
    <row r="1628" spans="1:45" x14ac:dyDescent="0.35">
      <c r="A1628" t="s">
        <v>45</v>
      </c>
      <c r="B1628" t="s">
        <v>3648</v>
      </c>
      <c r="C1628" t="s">
        <v>102</v>
      </c>
      <c r="D1628" t="s">
        <v>3649</v>
      </c>
      <c r="E1628" t="s">
        <v>3649</v>
      </c>
      <c r="F1628" t="s">
        <v>49</v>
      </c>
      <c r="G1628" t="s">
        <v>3650</v>
      </c>
      <c r="H1628" t="s">
        <v>3651</v>
      </c>
      <c r="J1628" t="str">
        <f>HYPERLINK("https://www.linkedin.com/feed/update/urn:li:activity:7168921987141058562?commentUrn=urn:li:comment:(activity:7168921987141058562,7168999909646327809)&amp;replyUrn=urn:li:comment:(activity:7168921987141058562,7170811378390315010)","https://www.linkedin.com/feed/update/urn:li:activity:7168921987141058562?commentUrn=urn:li:comment:(activity:7168921987141058562,7168999909646327809)&amp;replyUrn=urn:li:comment:(activity:7168921987141058562,7170811378390315010)")</f>
        <v>https://www.linkedin.com/feed/update/urn:li:activity:7168921987141058562?commentUrn=urn:li:comment:(activity:7168921987141058562,7168999909646327809)&amp;replyUrn=urn:li:comment:(activity:7168921987141058562,7170811378390315010)</v>
      </c>
      <c r="O1628">
        <v>0</v>
      </c>
      <c r="P1628">
        <v>0</v>
      </c>
      <c r="Q1628">
        <v>0</v>
      </c>
      <c r="S1628">
        <v>0</v>
      </c>
      <c r="T1628">
        <v>0</v>
      </c>
      <c r="U1628">
        <v>0</v>
      </c>
      <c r="W1628" t="s">
        <v>62</v>
      </c>
    </row>
    <row r="1629" spans="1:45" x14ac:dyDescent="0.35">
      <c r="A1629" t="s">
        <v>45</v>
      </c>
      <c r="B1629" t="s">
        <v>3648</v>
      </c>
      <c r="C1629" t="s">
        <v>139</v>
      </c>
      <c r="D1629" t="s">
        <v>3652</v>
      </c>
      <c r="E1629" t="s">
        <v>3653</v>
      </c>
      <c r="F1629" t="s">
        <v>49</v>
      </c>
      <c r="G1629" t="s">
        <v>3654</v>
      </c>
      <c r="H1629" t="s">
        <v>3655</v>
      </c>
      <c r="J1629" t="str">
        <f>HYPERLINK("https://twitter.com/excelhinditips/status/1765039350453350746","https://twitter.com/excelhinditips/status/1765039350453350746")</f>
        <v>https://twitter.com/excelhinditips/status/1765039350453350746</v>
      </c>
      <c r="O1629">
        <v>0</v>
      </c>
      <c r="P1629">
        <v>0</v>
      </c>
      <c r="Q1629">
        <v>16</v>
      </c>
      <c r="R1629" t="s">
        <v>3656</v>
      </c>
      <c r="S1629">
        <v>0</v>
      </c>
      <c r="T1629">
        <v>0</v>
      </c>
      <c r="U1629">
        <v>0</v>
      </c>
      <c r="W1629" t="s">
        <v>146</v>
      </c>
    </row>
    <row r="1630" spans="1:45" x14ac:dyDescent="0.35">
      <c r="A1630" t="s">
        <v>45</v>
      </c>
      <c r="B1630" t="s">
        <v>3648</v>
      </c>
      <c r="C1630" t="s">
        <v>58</v>
      </c>
      <c r="D1630" t="s">
        <v>3657</v>
      </c>
      <c r="E1630" t="s">
        <v>3657</v>
      </c>
      <c r="F1630" t="s">
        <v>142</v>
      </c>
      <c r="G1630" t="s">
        <v>3658</v>
      </c>
      <c r="H1630" t="s">
        <v>3659</v>
      </c>
      <c r="J1630" t="str">
        <f>HYPERLINK("https://www.youtube.com/watch?v=HhsyWxogEkI","https://www.youtube.com/watch?v=HhsyWxogEkI")</f>
        <v>https://www.youtube.com/watch?v=HhsyWxogEkI</v>
      </c>
      <c r="O1630">
        <v>0</v>
      </c>
      <c r="P1630">
        <v>0</v>
      </c>
      <c r="Q1630">
        <v>0</v>
      </c>
      <c r="S1630">
        <v>0</v>
      </c>
      <c r="T1630">
        <v>0</v>
      </c>
      <c r="U1630">
        <v>0</v>
      </c>
      <c r="W1630" t="s">
        <v>106</v>
      </c>
      <c r="AP1630" t="s">
        <v>147</v>
      </c>
    </row>
    <row r="1631" spans="1:45" x14ac:dyDescent="0.35">
      <c r="A1631" t="s">
        <v>45</v>
      </c>
      <c r="B1631" t="s">
        <v>3648</v>
      </c>
      <c r="C1631" t="s">
        <v>47</v>
      </c>
      <c r="D1631" t="s">
        <v>2723</v>
      </c>
      <c r="E1631" t="s">
        <v>2723</v>
      </c>
      <c r="F1631" t="s">
        <v>49</v>
      </c>
      <c r="G1631" t="s">
        <v>2732</v>
      </c>
      <c r="H1631" t="s">
        <v>3660</v>
      </c>
      <c r="J1631" t="str">
        <f>HYPERLINK("https://www.facebook.com/357267201017935/inbox/7122702684474319/","https://www.facebook.com/357267201017935/inbox/7122702684474319/")</f>
        <v>https://www.facebook.com/357267201017935/inbox/7122702684474319/</v>
      </c>
      <c r="O1631">
        <v>0</v>
      </c>
      <c r="P1631">
        <v>0</v>
      </c>
      <c r="Q1631">
        <v>0</v>
      </c>
      <c r="S1631">
        <v>0</v>
      </c>
      <c r="T1631">
        <v>0</v>
      </c>
      <c r="U1631">
        <v>0</v>
      </c>
      <c r="W1631" t="s">
        <v>52</v>
      </c>
    </row>
    <row r="1632" spans="1:45" x14ac:dyDescent="0.35">
      <c r="A1632" t="s">
        <v>45</v>
      </c>
      <c r="B1632" t="s">
        <v>3648</v>
      </c>
      <c r="C1632" t="s">
        <v>47</v>
      </c>
      <c r="D1632" t="s">
        <v>2723</v>
      </c>
      <c r="E1632" t="s">
        <v>2723</v>
      </c>
      <c r="F1632" t="s">
        <v>49</v>
      </c>
      <c r="H1632" t="s">
        <v>3661</v>
      </c>
      <c r="J1632" t="str">
        <f>HYPERLINK("https://www.facebook.com/454965103328545/posts/780754084082977?comment_id=797165042448034","https://www.facebook.com/454965103328545/posts/780754084082977?comment_id=797165042448034")</f>
        <v>https://www.facebook.com/454965103328545/posts/780754084082977?comment_id=797165042448034</v>
      </c>
      <c r="O1632">
        <v>0</v>
      </c>
      <c r="P1632">
        <v>0</v>
      </c>
      <c r="Q1632">
        <v>0</v>
      </c>
      <c r="S1632">
        <v>0</v>
      </c>
      <c r="T1632">
        <v>0</v>
      </c>
      <c r="U1632">
        <v>0</v>
      </c>
      <c r="W1632" t="s">
        <v>62</v>
      </c>
    </row>
    <row r="1633" spans="1:45" x14ac:dyDescent="0.35">
      <c r="A1633" t="s">
        <v>45</v>
      </c>
      <c r="B1633" t="s">
        <v>3648</v>
      </c>
      <c r="C1633" t="s">
        <v>47</v>
      </c>
      <c r="D1633" t="s">
        <v>2723</v>
      </c>
      <c r="E1633" t="s">
        <v>2723</v>
      </c>
      <c r="F1633" t="s">
        <v>49</v>
      </c>
      <c r="G1633" t="s">
        <v>3662</v>
      </c>
      <c r="H1633" t="s">
        <v>3663</v>
      </c>
      <c r="J1633" t="str">
        <f>HYPERLINK("https://www.facebook.com/454965103328545/posts/780754084082977?comment_id=25347926584798374","https://www.facebook.com/454965103328545/posts/780754084082977?comment_id=25347926584798374")</f>
        <v>https://www.facebook.com/454965103328545/posts/780754084082977?comment_id=25347926584798374</v>
      </c>
      <c r="O1633">
        <v>0</v>
      </c>
      <c r="P1633">
        <v>0</v>
      </c>
      <c r="Q1633">
        <v>0</v>
      </c>
      <c r="S1633">
        <v>0</v>
      </c>
      <c r="T1633">
        <v>0</v>
      </c>
      <c r="U1633">
        <v>0</v>
      </c>
      <c r="W1633" t="s">
        <v>62</v>
      </c>
    </row>
    <row r="1634" spans="1:45" x14ac:dyDescent="0.35">
      <c r="A1634" t="s">
        <v>45</v>
      </c>
      <c r="B1634" t="s">
        <v>3648</v>
      </c>
      <c r="C1634" t="s">
        <v>47</v>
      </c>
      <c r="D1634" t="s">
        <v>2723</v>
      </c>
      <c r="E1634" t="s">
        <v>2723</v>
      </c>
      <c r="F1634" t="s">
        <v>49</v>
      </c>
      <c r="G1634" t="s">
        <v>3662</v>
      </c>
      <c r="H1634" t="s">
        <v>3664</v>
      </c>
      <c r="J1634" t="str">
        <f>HYPERLINK("https://www.facebook.com/454965103328545/posts/781243094034076?comment_id=1433289060924627","https://www.facebook.com/454965103328545/posts/781243094034076?comment_id=1433289060924627")</f>
        <v>https://www.facebook.com/454965103328545/posts/781243094034076?comment_id=1433289060924627</v>
      </c>
      <c r="O1634">
        <v>0</v>
      </c>
      <c r="P1634">
        <v>0</v>
      </c>
      <c r="Q1634">
        <v>0</v>
      </c>
      <c r="S1634">
        <v>0</v>
      </c>
      <c r="T1634">
        <v>0</v>
      </c>
      <c r="U1634">
        <v>0</v>
      </c>
      <c r="W1634" t="s">
        <v>62</v>
      </c>
    </row>
    <row r="1635" spans="1:45" x14ac:dyDescent="0.35">
      <c r="A1635" t="s">
        <v>45</v>
      </c>
      <c r="B1635" t="s">
        <v>3648</v>
      </c>
      <c r="C1635" t="s">
        <v>58</v>
      </c>
      <c r="D1635" t="s">
        <v>3665</v>
      </c>
      <c r="E1635" t="s">
        <v>3665</v>
      </c>
      <c r="F1635" t="s">
        <v>49</v>
      </c>
      <c r="G1635" t="s">
        <v>3666</v>
      </c>
      <c r="H1635" t="s">
        <v>3667</v>
      </c>
      <c r="J1635" t="str">
        <f>HYPERLINK("https://www.youtube.com/watch?v=wNlAsieeJUE&amp;lc=Ugw7b6ZDYZyd_Ta54EB4AaABAg","https://www.youtube.com/watch?v=wNlAsieeJUE&amp;lc=Ugw7b6ZDYZyd_Ta54EB4AaABAg")</f>
        <v>https://www.youtube.com/watch?v=wNlAsieeJUE&amp;lc=Ugw7b6ZDYZyd_Ta54EB4AaABAg</v>
      </c>
      <c r="O1635">
        <v>0</v>
      </c>
      <c r="P1635">
        <v>0</v>
      </c>
      <c r="Q1635">
        <v>0</v>
      </c>
      <c r="S1635">
        <v>0</v>
      </c>
      <c r="T1635">
        <v>0</v>
      </c>
      <c r="U1635">
        <v>0</v>
      </c>
      <c r="W1635" t="s">
        <v>62</v>
      </c>
      <c r="AP1635" t="s">
        <v>94</v>
      </c>
    </row>
    <row r="1636" spans="1:45" x14ac:dyDescent="0.35">
      <c r="A1636" t="s">
        <v>45</v>
      </c>
      <c r="B1636" t="s">
        <v>3648</v>
      </c>
      <c r="C1636" t="s">
        <v>63</v>
      </c>
      <c r="D1636" t="s">
        <v>186</v>
      </c>
      <c r="E1636" t="s">
        <v>186</v>
      </c>
      <c r="F1636" t="s">
        <v>49</v>
      </c>
      <c r="G1636" t="s">
        <v>3668</v>
      </c>
      <c r="H1636" t="s">
        <v>3669</v>
      </c>
      <c r="J1636" t="str">
        <f>HYPERLINK("https://www.instagram.com/p/C4IYVuNrTtb/","https://www.instagram.com/p/C4IYVuNrTtb/")</f>
        <v>https://www.instagram.com/p/C4IYVuNrTtb/</v>
      </c>
      <c r="O1636">
        <v>0</v>
      </c>
      <c r="P1636">
        <v>0</v>
      </c>
      <c r="Q1636">
        <v>0</v>
      </c>
      <c r="S1636">
        <v>0</v>
      </c>
      <c r="T1636">
        <v>56</v>
      </c>
      <c r="U1636">
        <v>0</v>
      </c>
      <c r="W1636" t="s">
        <v>106</v>
      </c>
    </row>
    <row r="1637" spans="1:45" x14ac:dyDescent="0.35">
      <c r="A1637" t="s">
        <v>45</v>
      </c>
      <c r="B1637" t="s">
        <v>3648</v>
      </c>
      <c r="C1637" t="s">
        <v>47</v>
      </c>
      <c r="D1637" t="s">
        <v>45</v>
      </c>
      <c r="E1637" t="s">
        <v>45</v>
      </c>
      <c r="F1637" t="s">
        <v>49</v>
      </c>
      <c r="G1637" t="s">
        <v>3668</v>
      </c>
      <c r="H1637" t="s">
        <v>3670</v>
      </c>
      <c r="J1637" t="str">
        <f>HYPERLINK("https://www.facebook.com/357267201017935_782589610566091","https://www.facebook.com/357267201017935_782589610566091")</f>
        <v>https://www.facebook.com/357267201017935_782589610566091</v>
      </c>
      <c r="O1637">
        <v>0</v>
      </c>
      <c r="P1637">
        <v>0</v>
      </c>
      <c r="Q1637">
        <v>0</v>
      </c>
      <c r="S1637">
        <v>3</v>
      </c>
      <c r="T1637">
        <v>57</v>
      </c>
      <c r="U1637">
        <v>5</v>
      </c>
      <c r="W1637" t="s">
        <v>106</v>
      </c>
    </row>
    <row r="1638" spans="1:45" x14ac:dyDescent="0.35">
      <c r="A1638" t="s">
        <v>45</v>
      </c>
      <c r="B1638" t="s">
        <v>3648</v>
      </c>
      <c r="C1638" t="s">
        <v>139</v>
      </c>
      <c r="D1638" t="s">
        <v>190</v>
      </c>
      <c r="E1638" t="s">
        <v>45</v>
      </c>
      <c r="F1638" t="s">
        <v>49</v>
      </c>
      <c r="G1638" t="s">
        <v>3671</v>
      </c>
      <c r="H1638" t="s">
        <v>3672</v>
      </c>
      <c r="J1638" t="str">
        <f>HYPERLINK("https://twitter.com/FinoPaymntsBank/status/1764976655389315318","https://twitter.com/FinoPaymntsBank/status/1764976655389315318")</f>
        <v>https://twitter.com/FinoPaymntsBank/status/1764976655389315318</v>
      </c>
      <c r="K1638" t="s">
        <v>145</v>
      </c>
      <c r="O1638">
        <v>0</v>
      </c>
      <c r="P1638">
        <v>0</v>
      </c>
      <c r="Q1638">
        <v>8419</v>
      </c>
      <c r="R1638" t="s">
        <v>193</v>
      </c>
      <c r="S1638">
        <v>0</v>
      </c>
      <c r="T1638">
        <v>0</v>
      </c>
      <c r="U1638">
        <v>0</v>
      </c>
      <c r="W1638" t="s">
        <v>146</v>
      </c>
    </row>
    <row r="1639" spans="1:45" x14ac:dyDescent="0.35">
      <c r="A1639" t="s">
        <v>45</v>
      </c>
      <c r="B1639" t="s">
        <v>3648</v>
      </c>
      <c r="C1639" t="s">
        <v>58</v>
      </c>
      <c r="D1639" t="s">
        <v>3340</v>
      </c>
      <c r="E1639" t="s">
        <v>3340</v>
      </c>
      <c r="F1639" t="s">
        <v>49</v>
      </c>
      <c r="G1639" t="s">
        <v>3673</v>
      </c>
      <c r="H1639" t="s">
        <v>3674</v>
      </c>
      <c r="J1639" t="str">
        <f>HYPERLINK("https://www.youtube.com/watch?v=fxd2gM1yPIc","https://www.youtube.com/watch?v=fxd2gM1yPIc")</f>
        <v>https://www.youtube.com/watch?v=fxd2gM1yPIc</v>
      </c>
      <c r="O1639">
        <v>0</v>
      </c>
      <c r="P1639">
        <v>0</v>
      </c>
      <c r="Q1639">
        <v>0</v>
      </c>
      <c r="S1639">
        <v>0</v>
      </c>
      <c r="T1639">
        <v>0</v>
      </c>
      <c r="U1639">
        <v>0</v>
      </c>
      <c r="W1639" t="s">
        <v>106</v>
      </c>
      <c r="AP1639" t="s">
        <v>101</v>
      </c>
    </row>
    <row r="1640" spans="1:45" x14ac:dyDescent="0.35">
      <c r="A1640" t="s">
        <v>45</v>
      </c>
      <c r="B1640" t="s">
        <v>3648</v>
      </c>
      <c r="C1640" t="s">
        <v>58</v>
      </c>
      <c r="D1640" t="s">
        <v>3259</v>
      </c>
      <c r="E1640" t="s">
        <v>3259</v>
      </c>
      <c r="F1640" t="s">
        <v>49</v>
      </c>
      <c r="G1640" t="s">
        <v>3675</v>
      </c>
      <c r="H1640" t="s">
        <v>3676</v>
      </c>
      <c r="J1640" t="str">
        <f>HYPERLINK("https://www.youtube.com/watch?v=55Pp19sFTKg","https://www.youtube.com/watch?v=55Pp19sFTKg")</f>
        <v>https://www.youtube.com/watch?v=55Pp19sFTKg</v>
      </c>
      <c r="O1640">
        <v>0</v>
      </c>
      <c r="P1640">
        <v>0</v>
      </c>
      <c r="Q1640">
        <v>0</v>
      </c>
      <c r="S1640">
        <v>0</v>
      </c>
      <c r="T1640">
        <v>0</v>
      </c>
      <c r="U1640">
        <v>0</v>
      </c>
      <c r="W1640" t="s">
        <v>106</v>
      </c>
      <c r="AP1640" t="s">
        <v>101</v>
      </c>
    </row>
    <row r="1641" spans="1:45" x14ac:dyDescent="0.35">
      <c r="A1641" t="s">
        <v>45</v>
      </c>
      <c r="B1641" t="s">
        <v>3648</v>
      </c>
      <c r="C1641" t="s">
        <v>47</v>
      </c>
      <c r="D1641" t="s">
        <v>3677</v>
      </c>
      <c r="E1641" t="s">
        <v>3677</v>
      </c>
      <c r="F1641" t="s">
        <v>49</v>
      </c>
      <c r="G1641" t="s">
        <v>3678</v>
      </c>
      <c r="H1641" t="s">
        <v>3679</v>
      </c>
      <c r="J1641" t="str">
        <f>HYPERLINK("https://www.facebook.com/357267201017935/inbox/7121923827885538/","https://www.facebook.com/357267201017935/inbox/7121923827885538/")</f>
        <v>https://www.facebook.com/357267201017935/inbox/7121923827885538/</v>
      </c>
      <c r="O1641">
        <v>0</v>
      </c>
      <c r="P1641">
        <v>0</v>
      </c>
      <c r="Q1641">
        <v>0</v>
      </c>
      <c r="S1641">
        <v>0</v>
      </c>
      <c r="T1641">
        <v>0</v>
      </c>
      <c r="U1641">
        <v>0</v>
      </c>
      <c r="W1641" t="s">
        <v>52</v>
      </c>
    </row>
    <row r="1642" spans="1:45" x14ac:dyDescent="0.35">
      <c r="A1642" t="s">
        <v>45</v>
      </c>
      <c r="B1642" t="s">
        <v>3648</v>
      </c>
      <c r="C1642" t="s">
        <v>47</v>
      </c>
      <c r="D1642" t="s">
        <v>3677</v>
      </c>
      <c r="E1642" t="s">
        <v>3677</v>
      </c>
      <c r="F1642" t="s">
        <v>49</v>
      </c>
      <c r="G1642" t="s">
        <v>3680</v>
      </c>
      <c r="H1642" t="s">
        <v>3681</v>
      </c>
      <c r="J1642" t="str">
        <f>HYPERLINK("https://www.facebook.com/357267201017935/inbox/7121923827885538/","https://www.facebook.com/357267201017935/inbox/7121923827885538/")</f>
        <v>https://www.facebook.com/357267201017935/inbox/7121923827885538/</v>
      </c>
      <c r="O1642">
        <v>0</v>
      </c>
      <c r="P1642">
        <v>0</v>
      </c>
      <c r="Q1642">
        <v>0</v>
      </c>
      <c r="S1642">
        <v>0</v>
      </c>
      <c r="T1642">
        <v>0</v>
      </c>
      <c r="U1642">
        <v>0</v>
      </c>
      <c r="W1642" t="s">
        <v>52</v>
      </c>
    </row>
    <row r="1643" spans="1:45" x14ac:dyDescent="0.35">
      <c r="A1643" t="s">
        <v>45</v>
      </c>
      <c r="B1643" t="s">
        <v>3648</v>
      </c>
      <c r="C1643" t="s">
        <v>47</v>
      </c>
      <c r="D1643" t="s">
        <v>3677</v>
      </c>
      <c r="E1643" t="s">
        <v>3677</v>
      </c>
      <c r="F1643" t="s">
        <v>49</v>
      </c>
      <c r="G1643" t="s">
        <v>3682</v>
      </c>
      <c r="H1643" t="s">
        <v>3683</v>
      </c>
      <c r="J1643" t="str">
        <f>HYPERLINK("https://www.facebook.com/357267201017935/inbox/7121923827885538/","https://www.facebook.com/357267201017935/inbox/7121923827885538/")</f>
        <v>https://www.facebook.com/357267201017935/inbox/7121923827885538/</v>
      </c>
      <c r="O1643">
        <v>0</v>
      </c>
      <c r="P1643">
        <v>0</v>
      </c>
      <c r="Q1643">
        <v>0</v>
      </c>
      <c r="S1643">
        <v>0</v>
      </c>
      <c r="T1643">
        <v>0</v>
      </c>
      <c r="U1643">
        <v>0</v>
      </c>
      <c r="W1643" t="s">
        <v>52</v>
      </c>
    </row>
    <row r="1644" spans="1:45" x14ac:dyDescent="0.35">
      <c r="A1644" t="s">
        <v>45</v>
      </c>
      <c r="B1644" t="s">
        <v>3648</v>
      </c>
      <c r="C1644" t="s">
        <v>3127</v>
      </c>
      <c r="D1644" t="s">
        <v>3684</v>
      </c>
      <c r="E1644" t="s">
        <v>3684</v>
      </c>
      <c r="F1644" t="s">
        <v>76</v>
      </c>
      <c r="G1644" t="s">
        <v>3685</v>
      </c>
      <c r="H1644" t="s">
        <v>3686</v>
      </c>
      <c r="J1644" t="str">
        <f>HYPERLINK("","")</f>
        <v/>
      </c>
      <c r="O1644">
        <v>0</v>
      </c>
      <c r="P1644">
        <v>0</v>
      </c>
      <c r="Q1644">
        <v>0</v>
      </c>
      <c r="S1644">
        <v>0</v>
      </c>
      <c r="T1644">
        <v>0</v>
      </c>
      <c r="U1644">
        <v>0</v>
      </c>
    </row>
    <row r="1645" spans="1:45" x14ac:dyDescent="0.35">
      <c r="A1645" t="s">
        <v>45</v>
      </c>
      <c r="B1645" t="s">
        <v>3648</v>
      </c>
      <c r="C1645" t="s">
        <v>58</v>
      </c>
      <c r="D1645" t="s">
        <v>1240</v>
      </c>
      <c r="E1645" t="s">
        <v>1240</v>
      </c>
      <c r="F1645" t="s">
        <v>49</v>
      </c>
      <c r="G1645" t="s">
        <v>3687</v>
      </c>
      <c r="H1645" t="s">
        <v>3688</v>
      </c>
      <c r="J1645" t="str">
        <f>HYPERLINK("https://www.youtube.com/watch?v=brZOUVRjgXY","https://www.youtube.com/watch?v=brZOUVRjgXY")</f>
        <v>https://www.youtube.com/watch?v=brZOUVRjgXY</v>
      </c>
      <c r="O1645">
        <v>0</v>
      </c>
      <c r="P1645">
        <v>0</v>
      </c>
      <c r="Q1645">
        <v>0</v>
      </c>
      <c r="S1645">
        <v>0</v>
      </c>
      <c r="T1645">
        <v>0</v>
      </c>
      <c r="U1645">
        <v>0</v>
      </c>
      <c r="W1645" t="s">
        <v>106</v>
      </c>
      <c r="AP1645" t="s">
        <v>101</v>
      </c>
    </row>
    <row r="1646" spans="1:45" x14ac:dyDescent="0.35">
      <c r="A1646" t="s">
        <v>45</v>
      </c>
      <c r="B1646" t="s">
        <v>3648</v>
      </c>
      <c r="C1646" t="s">
        <v>47</v>
      </c>
      <c r="D1646" t="s">
        <v>45</v>
      </c>
      <c r="E1646" t="s">
        <v>45</v>
      </c>
      <c r="F1646" t="s">
        <v>49</v>
      </c>
      <c r="G1646" t="s">
        <v>3689</v>
      </c>
      <c r="H1646" t="s">
        <v>3690</v>
      </c>
      <c r="J1646" t="str">
        <f>HYPERLINK("https://www.facebook.com/357267201017935/inbox/7121697447908176/","https://www.facebook.com/357267201017935/inbox/7121697447908176/")</f>
        <v>https://www.facebook.com/357267201017935/inbox/7121697447908176/</v>
      </c>
      <c r="O1646">
        <v>0</v>
      </c>
      <c r="P1646">
        <v>0</v>
      </c>
      <c r="Q1646">
        <v>0</v>
      </c>
      <c r="S1646">
        <v>0</v>
      </c>
      <c r="T1646">
        <v>0</v>
      </c>
      <c r="U1646">
        <v>0</v>
      </c>
      <c r="W1646" t="s">
        <v>52</v>
      </c>
    </row>
    <row r="1647" spans="1:45" x14ac:dyDescent="0.35">
      <c r="A1647" t="s">
        <v>45</v>
      </c>
      <c r="B1647" t="s">
        <v>3648</v>
      </c>
      <c r="C1647" t="s">
        <v>47</v>
      </c>
      <c r="D1647" t="s">
        <v>45</v>
      </c>
      <c r="E1647" t="s">
        <v>45</v>
      </c>
      <c r="F1647" t="s">
        <v>49</v>
      </c>
      <c r="G1647" t="s">
        <v>3691</v>
      </c>
      <c r="H1647" t="s">
        <v>3692</v>
      </c>
      <c r="J1647" t="str">
        <f>HYPERLINK("https://www.facebook.com/357267201017935/inbox/7121697447908176/","https://www.facebook.com/357267201017935/inbox/7121697447908176/")</f>
        <v>https://www.facebook.com/357267201017935/inbox/7121697447908176/</v>
      </c>
      <c r="O1647">
        <v>0</v>
      </c>
      <c r="P1647">
        <v>0</v>
      </c>
      <c r="Q1647">
        <v>0</v>
      </c>
      <c r="S1647">
        <v>0</v>
      </c>
      <c r="T1647">
        <v>0</v>
      </c>
      <c r="U1647">
        <v>0</v>
      </c>
      <c r="W1647" t="s">
        <v>52</v>
      </c>
    </row>
    <row r="1648" spans="1:45" x14ac:dyDescent="0.35">
      <c r="A1648" t="s">
        <v>45</v>
      </c>
      <c r="B1648" t="s">
        <v>3648</v>
      </c>
      <c r="C1648" t="s">
        <v>47</v>
      </c>
      <c r="D1648" t="s">
        <v>3693</v>
      </c>
      <c r="E1648" t="s">
        <v>3693</v>
      </c>
      <c r="F1648" t="s">
        <v>49</v>
      </c>
      <c r="G1648" t="s">
        <v>3694</v>
      </c>
      <c r="H1648" t="s">
        <v>3695</v>
      </c>
      <c r="J1648" t="str">
        <f>HYPERLINK("https://www.facebook.com/357267201017935/inbox/7121697447908176/","https://www.facebook.com/357267201017935/inbox/7121697447908176/")</f>
        <v>https://www.facebook.com/357267201017935/inbox/7121697447908176/</v>
      </c>
      <c r="O1648">
        <v>0</v>
      </c>
      <c r="P1648">
        <v>0</v>
      </c>
      <c r="Q1648">
        <v>0</v>
      </c>
      <c r="S1648">
        <v>0</v>
      </c>
      <c r="T1648">
        <v>0</v>
      </c>
      <c r="U1648">
        <v>0</v>
      </c>
      <c r="W1648" t="s">
        <v>52</v>
      </c>
      <c r="Y1648" t="s">
        <v>3696</v>
      </c>
      <c r="Z1648" t="s">
        <v>613</v>
      </c>
      <c r="AA1648" t="s">
        <v>614</v>
      </c>
      <c r="AS1648" t="s">
        <v>375</v>
      </c>
    </row>
    <row r="1649" spans="1:45" x14ac:dyDescent="0.35">
      <c r="A1649" t="s">
        <v>45</v>
      </c>
      <c r="B1649" t="s">
        <v>3648</v>
      </c>
      <c r="C1649" t="s">
        <v>47</v>
      </c>
      <c r="D1649" t="s">
        <v>3693</v>
      </c>
      <c r="E1649" t="s">
        <v>3693</v>
      </c>
      <c r="F1649" t="s">
        <v>49</v>
      </c>
      <c r="G1649" t="s">
        <v>3697</v>
      </c>
      <c r="H1649" t="s">
        <v>3698</v>
      </c>
      <c r="J1649" t="str">
        <f>HYPERLINK("https://www.facebook.com/357267201017935/inbox/7121697447908176/","https://www.facebook.com/357267201017935/inbox/7121697447908176/")</f>
        <v>https://www.facebook.com/357267201017935/inbox/7121697447908176/</v>
      </c>
      <c r="O1649">
        <v>0</v>
      </c>
      <c r="P1649">
        <v>0</v>
      </c>
      <c r="Q1649">
        <v>0</v>
      </c>
      <c r="S1649">
        <v>0</v>
      </c>
      <c r="T1649">
        <v>0</v>
      </c>
      <c r="U1649">
        <v>0</v>
      </c>
      <c r="W1649" t="s">
        <v>52</v>
      </c>
    </row>
    <row r="1650" spans="1:45" x14ac:dyDescent="0.35">
      <c r="A1650" t="s">
        <v>45</v>
      </c>
      <c r="B1650" t="s">
        <v>3648</v>
      </c>
      <c r="C1650" t="s">
        <v>47</v>
      </c>
      <c r="D1650" t="s">
        <v>3693</v>
      </c>
      <c r="E1650" t="s">
        <v>3693</v>
      </c>
      <c r="F1650" t="s">
        <v>49</v>
      </c>
      <c r="G1650" t="s">
        <v>373</v>
      </c>
      <c r="H1650" t="s">
        <v>3699</v>
      </c>
      <c r="J1650" t="str">
        <f>HYPERLINK("https://www.facebook.com/357267201017935/inbox/7121697447908176/","https://www.facebook.com/357267201017935/inbox/7121697447908176/")</f>
        <v>https://www.facebook.com/357267201017935/inbox/7121697447908176/</v>
      </c>
      <c r="O1650">
        <v>0</v>
      </c>
      <c r="P1650">
        <v>0</v>
      </c>
      <c r="Q1650">
        <v>0</v>
      </c>
      <c r="S1650">
        <v>0</v>
      </c>
      <c r="T1650">
        <v>0</v>
      </c>
      <c r="U1650">
        <v>0</v>
      </c>
      <c r="W1650" t="s">
        <v>52</v>
      </c>
      <c r="AS1650" t="s">
        <v>375</v>
      </c>
    </row>
    <row r="1651" spans="1:45" x14ac:dyDescent="0.35">
      <c r="A1651" t="s">
        <v>45</v>
      </c>
      <c r="B1651" t="s">
        <v>3648</v>
      </c>
      <c r="C1651" t="s">
        <v>58</v>
      </c>
      <c r="D1651" t="s">
        <v>1452</v>
      </c>
      <c r="E1651" t="s">
        <v>1452</v>
      </c>
      <c r="F1651" t="s">
        <v>49</v>
      </c>
      <c r="G1651" t="s">
        <v>3700</v>
      </c>
      <c r="H1651" t="s">
        <v>3701</v>
      </c>
      <c r="J1651" t="str">
        <f>HYPERLINK("https://www.youtube.com/watch?v=kPw1o3KM5Lw","https://www.youtube.com/watch?v=kPw1o3KM5Lw")</f>
        <v>https://www.youtube.com/watch?v=kPw1o3KM5Lw</v>
      </c>
      <c r="O1651">
        <v>0</v>
      </c>
      <c r="P1651">
        <v>0</v>
      </c>
      <c r="Q1651">
        <v>0</v>
      </c>
      <c r="S1651">
        <v>0</v>
      </c>
      <c r="T1651">
        <v>0</v>
      </c>
      <c r="U1651">
        <v>0</v>
      </c>
      <c r="W1651" t="s">
        <v>106</v>
      </c>
    </row>
    <row r="1652" spans="1:45" x14ac:dyDescent="0.35">
      <c r="A1652" t="s">
        <v>45</v>
      </c>
      <c r="B1652" t="s">
        <v>3648</v>
      </c>
      <c r="C1652" t="s">
        <v>102</v>
      </c>
      <c r="D1652" t="s">
        <v>3702</v>
      </c>
      <c r="E1652" t="s">
        <v>3702</v>
      </c>
      <c r="F1652" t="s">
        <v>76</v>
      </c>
      <c r="G1652" t="s">
        <v>3703</v>
      </c>
      <c r="H1652" t="s">
        <v>3704</v>
      </c>
      <c r="J1652" t="str">
        <f>HYPERLINK("https://www.linkedin.com/feed/update/urn:li:activity:7170700579101429760","https://www.linkedin.com/feed/update/urn:li:activity:7170700579101429760")</f>
        <v>https://www.linkedin.com/feed/update/urn:li:activity:7170700579101429760</v>
      </c>
      <c r="O1652">
        <v>0</v>
      </c>
      <c r="P1652">
        <v>0</v>
      </c>
      <c r="Q1652">
        <v>0</v>
      </c>
      <c r="S1652">
        <v>0</v>
      </c>
      <c r="T1652">
        <v>0</v>
      </c>
      <c r="U1652">
        <v>0</v>
      </c>
      <c r="W1652" t="s">
        <v>106</v>
      </c>
    </row>
    <row r="1653" spans="1:45" x14ac:dyDescent="0.35">
      <c r="A1653" t="s">
        <v>45</v>
      </c>
      <c r="B1653" t="s">
        <v>3648</v>
      </c>
      <c r="C1653" t="s">
        <v>102</v>
      </c>
      <c r="D1653" t="s">
        <v>3705</v>
      </c>
      <c r="E1653" t="s">
        <v>3705</v>
      </c>
      <c r="F1653" t="s">
        <v>76</v>
      </c>
      <c r="G1653" t="s">
        <v>3706</v>
      </c>
      <c r="H1653" t="s">
        <v>3707</v>
      </c>
      <c r="J1653" t="str">
        <f>HYPERLINK("https://www.linkedin.com/feed/update/urn:li:activity:7170699790211645442","https://www.linkedin.com/feed/update/urn:li:activity:7170699790211645442")</f>
        <v>https://www.linkedin.com/feed/update/urn:li:activity:7170699790211645442</v>
      </c>
      <c r="O1653">
        <v>0</v>
      </c>
      <c r="P1653">
        <v>0</v>
      </c>
      <c r="Q1653">
        <v>0</v>
      </c>
      <c r="S1653">
        <v>0</v>
      </c>
      <c r="T1653">
        <v>0</v>
      </c>
      <c r="U1653">
        <v>0</v>
      </c>
      <c r="W1653" t="s">
        <v>106</v>
      </c>
    </row>
    <row r="1654" spans="1:45" x14ac:dyDescent="0.35">
      <c r="A1654" t="s">
        <v>45</v>
      </c>
      <c r="B1654" t="s">
        <v>3648</v>
      </c>
      <c r="C1654" t="s">
        <v>47</v>
      </c>
      <c r="D1654" t="s">
        <v>1954</v>
      </c>
      <c r="E1654" t="s">
        <v>1954</v>
      </c>
      <c r="F1654" t="s">
        <v>142</v>
      </c>
      <c r="G1654" t="s">
        <v>3708</v>
      </c>
      <c r="H1654" t="s">
        <v>3709</v>
      </c>
      <c r="J1654" t="str">
        <f>HYPERLINK("https://www.facebook.com/454965103328545/posts/768713601953692?comment_id=1373223803565419&amp;reply_comment_id=286396347639289","https://www.facebook.com/454965103328545/posts/768713601953692?comment_id=1373223803565419&amp;reply_comment_id=286396347639289")</f>
        <v>https://www.facebook.com/454965103328545/posts/768713601953692?comment_id=1373223803565419&amp;reply_comment_id=286396347639289</v>
      </c>
      <c r="O1654">
        <v>0</v>
      </c>
      <c r="P1654">
        <v>0</v>
      </c>
      <c r="Q1654">
        <v>0</v>
      </c>
      <c r="S1654">
        <v>0</v>
      </c>
      <c r="T1654">
        <v>0</v>
      </c>
      <c r="U1654">
        <v>0</v>
      </c>
      <c r="W1654" t="s">
        <v>62</v>
      </c>
    </row>
    <row r="1655" spans="1:45" x14ac:dyDescent="0.35">
      <c r="A1655" t="s">
        <v>45</v>
      </c>
      <c r="B1655" t="s">
        <v>3648</v>
      </c>
      <c r="C1655" t="s">
        <v>47</v>
      </c>
      <c r="D1655" t="s">
        <v>1954</v>
      </c>
      <c r="E1655" t="s">
        <v>1954</v>
      </c>
      <c r="F1655" t="s">
        <v>142</v>
      </c>
      <c r="G1655" t="s">
        <v>3710</v>
      </c>
      <c r="H1655" t="s">
        <v>3711</v>
      </c>
      <c r="J1655" t="str">
        <f>HYPERLINK("https://www.facebook.com/454965103328545/posts/781243094034076?comment_id=1136584557347830","https://www.facebook.com/454965103328545/posts/781243094034076?comment_id=1136584557347830")</f>
        <v>https://www.facebook.com/454965103328545/posts/781243094034076?comment_id=1136584557347830</v>
      </c>
      <c r="O1655">
        <v>0</v>
      </c>
      <c r="P1655">
        <v>0</v>
      </c>
      <c r="Q1655">
        <v>0</v>
      </c>
      <c r="S1655">
        <v>0</v>
      </c>
      <c r="T1655">
        <v>0</v>
      </c>
      <c r="U1655">
        <v>0</v>
      </c>
      <c r="W1655" t="s">
        <v>62</v>
      </c>
    </row>
    <row r="1656" spans="1:45" x14ac:dyDescent="0.35">
      <c r="A1656" t="s">
        <v>45</v>
      </c>
      <c r="B1656" t="s">
        <v>3648</v>
      </c>
      <c r="C1656" t="s">
        <v>102</v>
      </c>
      <c r="D1656" t="s">
        <v>3712</v>
      </c>
      <c r="E1656" t="s">
        <v>3712</v>
      </c>
      <c r="F1656" t="s">
        <v>142</v>
      </c>
      <c r="G1656" t="s">
        <v>3713</v>
      </c>
      <c r="H1656" t="s">
        <v>3714</v>
      </c>
      <c r="J1656" t="str">
        <f>HYPERLINK("https://www.linkedin.com/feed/update/urn:li:activity:7165895404377554944/?commentUrn=urn:li:comment:(urn:li:activity:7165895404377554944,7170659619235639296)","https://www.linkedin.com/feed/update/urn:li:activity:7165895404377554944/?commentUrn=urn:li:comment:(urn:li:activity:7165895404377554944,7170659619235639296)")</f>
        <v>https://www.linkedin.com/feed/update/urn:li:activity:7165895404377554944/?commentUrn=urn:li:comment:(urn:li:activity:7165895404377554944,7170659619235639296)</v>
      </c>
      <c r="O1656">
        <v>0</v>
      </c>
      <c r="P1656">
        <v>0</v>
      </c>
      <c r="Q1656">
        <v>0</v>
      </c>
      <c r="S1656">
        <v>0</v>
      </c>
      <c r="T1656">
        <v>0</v>
      </c>
      <c r="U1656">
        <v>0</v>
      </c>
      <c r="W1656" t="s">
        <v>62</v>
      </c>
    </row>
    <row r="1657" spans="1:45" x14ac:dyDescent="0.35">
      <c r="A1657" t="s">
        <v>45</v>
      </c>
      <c r="B1657" t="s">
        <v>3648</v>
      </c>
      <c r="C1657" t="s">
        <v>58</v>
      </c>
      <c r="D1657" t="s">
        <v>2702</v>
      </c>
      <c r="E1657" t="s">
        <v>2702</v>
      </c>
      <c r="F1657" t="s">
        <v>49</v>
      </c>
      <c r="G1657" t="s">
        <v>3715</v>
      </c>
      <c r="H1657" t="s">
        <v>3716</v>
      </c>
      <c r="J1657" t="str">
        <f>HYPERLINK("https://www.youtube.com/watch?v=R2G_3KnBJ84","https://www.youtube.com/watch?v=R2G_3KnBJ84")</f>
        <v>https://www.youtube.com/watch?v=R2G_3KnBJ84</v>
      </c>
      <c r="O1657">
        <v>0</v>
      </c>
      <c r="P1657">
        <v>0</v>
      </c>
      <c r="Q1657">
        <v>0</v>
      </c>
      <c r="S1657">
        <v>0</v>
      </c>
      <c r="T1657">
        <v>0</v>
      </c>
      <c r="U1657">
        <v>0</v>
      </c>
      <c r="W1657" t="s">
        <v>106</v>
      </c>
    </row>
    <row r="1658" spans="1:45" x14ac:dyDescent="0.35">
      <c r="A1658" t="s">
        <v>45</v>
      </c>
      <c r="B1658" t="s">
        <v>3648</v>
      </c>
      <c r="C1658" t="s">
        <v>58</v>
      </c>
      <c r="D1658" t="s">
        <v>3437</v>
      </c>
      <c r="E1658" t="s">
        <v>3437</v>
      </c>
      <c r="F1658" t="s">
        <v>49</v>
      </c>
      <c r="G1658" t="s">
        <v>3717</v>
      </c>
      <c r="H1658" t="s">
        <v>3718</v>
      </c>
      <c r="J1658" t="str">
        <f>HYPERLINK("https://www.youtube.com/watch?v=X1FLeJzYLms","https://www.youtube.com/watch?v=X1FLeJzYLms")</f>
        <v>https://www.youtube.com/watch?v=X1FLeJzYLms</v>
      </c>
      <c r="O1658">
        <v>0</v>
      </c>
      <c r="P1658">
        <v>0</v>
      </c>
      <c r="Q1658">
        <v>0</v>
      </c>
      <c r="S1658">
        <v>0</v>
      </c>
      <c r="T1658">
        <v>0</v>
      </c>
      <c r="U1658">
        <v>0</v>
      </c>
      <c r="W1658" t="s">
        <v>106</v>
      </c>
      <c r="AP1658" t="s">
        <v>94</v>
      </c>
    </row>
    <row r="1659" spans="1:45" x14ac:dyDescent="0.35">
      <c r="A1659" t="s">
        <v>45</v>
      </c>
      <c r="B1659" t="s">
        <v>3648</v>
      </c>
      <c r="C1659" t="s">
        <v>139</v>
      </c>
      <c r="D1659" t="s">
        <v>3719</v>
      </c>
      <c r="E1659" t="s">
        <v>3720</v>
      </c>
      <c r="F1659" t="s">
        <v>142</v>
      </c>
      <c r="G1659" t="s">
        <v>3721</v>
      </c>
      <c r="H1659" t="s">
        <v>3722</v>
      </c>
      <c r="J1659" t="str">
        <f>HYPERLINK("https://twitter.com/Mrmehta15706309/status/1764846429745672480","https://twitter.com/Mrmehta15706309/status/1764846429745672480")</f>
        <v>https://twitter.com/Mrmehta15706309/status/1764846429745672480</v>
      </c>
      <c r="O1659">
        <v>0</v>
      </c>
      <c r="P1659">
        <v>0</v>
      </c>
      <c r="Q1659">
        <v>2</v>
      </c>
      <c r="S1659">
        <v>0</v>
      </c>
      <c r="T1659">
        <v>0</v>
      </c>
      <c r="U1659">
        <v>0</v>
      </c>
      <c r="W1659" t="s">
        <v>146</v>
      </c>
    </row>
    <row r="1660" spans="1:45" x14ac:dyDescent="0.35">
      <c r="A1660" t="s">
        <v>45</v>
      </c>
      <c r="B1660" t="s">
        <v>3723</v>
      </c>
      <c r="C1660" t="s">
        <v>139</v>
      </c>
      <c r="D1660" t="s">
        <v>3724</v>
      </c>
      <c r="E1660" t="s">
        <v>3725</v>
      </c>
      <c r="F1660" t="s">
        <v>49</v>
      </c>
      <c r="G1660" t="s">
        <v>3726</v>
      </c>
      <c r="H1660" t="s">
        <v>3727</v>
      </c>
      <c r="J1660" t="str">
        <f>HYPERLINK("https://twitter.com/kajalrawat2223/status/1764714280312856696","https://twitter.com/kajalrawat2223/status/1764714280312856696")</f>
        <v>https://twitter.com/kajalrawat2223/status/1764714280312856696</v>
      </c>
      <c r="K1660" t="s">
        <v>145</v>
      </c>
      <c r="O1660">
        <v>0</v>
      </c>
      <c r="P1660">
        <v>0</v>
      </c>
      <c r="Q1660">
        <v>4</v>
      </c>
      <c r="R1660" t="s">
        <v>3728</v>
      </c>
      <c r="S1660">
        <v>0</v>
      </c>
      <c r="T1660">
        <v>0</v>
      </c>
      <c r="U1660">
        <v>0</v>
      </c>
      <c r="W1660" t="s">
        <v>146</v>
      </c>
    </row>
    <row r="1661" spans="1:45" x14ac:dyDescent="0.35">
      <c r="A1661" t="s">
        <v>45</v>
      </c>
      <c r="B1661" t="s">
        <v>3723</v>
      </c>
      <c r="C1661" t="s">
        <v>47</v>
      </c>
      <c r="D1661" t="s">
        <v>3729</v>
      </c>
      <c r="E1661" t="s">
        <v>3729</v>
      </c>
      <c r="F1661" t="s">
        <v>49</v>
      </c>
      <c r="G1661" t="s">
        <v>373</v>
      </c>
      <c r="H1661" t="s">
        <v>3730</v>
      </c>
      <c r="J1661" t="str">
        <f>HYPERLINK("https://www.facebook.com/357267201017935/inbox/7118726041538650/","https://www.facebook.com/357267201017935/inbox/7118726041538650/")</f>
        <v>https://www.facebook.com/357267201017935/inbox/7118726041538650/</v>
      </c>
      <c r="O1661">
        <v>0</v>
      </c>
      <c r="P1661">
        <v>0</v>
      </c>
      <c r="Q1661">
        <v>0</v>
      </c>
      <c r="S1661">
        <v>0</v>
      </c>
      <c r="T1661">
        <v>0</v>
      </c>
      <c r="U1661">
        <v>0</v>
      </c>
      <c r="W1661" t="s">
        <v>52</v>
      </c>
    </row>
    <row r="1662" spans="1:45" x14ac:dyDescent="0.35">
      <c r="A1662" t="s">
        <v>45</v>
      </c>
      <c r="B1662" t="s">
        <v>3723</v>
      </c>
      <c r="C1662" t="s">
        <v>63</v>
      </c>
      <c r="D1662" t="s">
        <v>3731</v>
      </c>
      <c r="E1662" t="s">
        <v>3731</v>
      </c>
      <c r="F1662" t="s">
        <v>142</v>
      </c>
      <c r="G1662" t="s">
        <v>3732</v>
      </c>
      <c r="H1662" t="s">
        <v>3733</v>
      </c>
      <c r="J1662" t="str">
        <f>HYPERLINK("https://www.instagram.com/p/C3U1uytgenK/","https://www.instagram.com/p/C3U1uytgenK/")</f>
        <v>https://www.instagram.com/p/C3U1uytgenK/</v>
      </c>
      <c r="O1662">
        <v>0</v>
      </c>
      <c r="P1662">
        <v>0</v>
      </c>
      <c r="Q1662">
        <v>0</v>
      </c>
      <c r="S1662">
        <v>0</v>
      </c>
      <c r="T1662">
        <v>0</v>
      </c>
      <c r="U1662">
        <v>0</v>
      </c>
      <c r="W1662" t="s">
        <v>62</v>
      </c>
    </row>
    <row r="1663" spans="1:45" x14ac:dyDescent="0.35">
      <c r="A1663" t="s">
        <v>45</v>
      </c>
      <c r="B1663" t="s">
        <v>3723</v>
      </c>
      <c r="C1663" t="s">
        <v>63</v>
      </c>
      <c r="D1663" t="s">
        <v>3731</v>
      </c>
      <c r="E1663" t="s">
        <v>3731</v>
      </c>
      <c r="F1663" t="s">
        <v>49</v>
      </c>
      <c r="G1663" t="s">
        <v>3734</v>
      </c>
      <c r="H1663" t="s">
        <v>3735</v>
      </c>
      <c r="J1663" t="str">
        <f>HYPERLINK("https://www.instagram.com/p/C3U1uytgenK/","https://www.instagram.com/p/C3U1uytgenK/")</f>
        <v>https://www.instagram.com/p/C3U1uytgenK/</v>
      </c>
      <c r="O1663">
        <v>0</v>
      </c>
      <c r="P1663">
        <v>0</v>
      </c>
      <c r="Q1663">
        <v>0</v>
      </c>
      <c r="S1663">
        <v>0</v>
      </c>
      <c r="T1663">
        <v>0</v>
      </c>
      <c r="U1663">
        <v>0</v>
      </c>
      <c r="W1663" t="s">
        <v>62</v>
      </c>
    </row>
    <row r="1664" spans="1:45" x14ac:dyDescent="0.35">
      <c r="A1664" t="s">
        <v>45</v>
      </c>
      <c r="B1664" t="s">
        <v>3723</v>
      </c>
      <c r="C1664" t="s">
        <v>47</v>
      </c>
      <c r="D1664" t="s">
        <v>1096</v>
      </c>
      <c r="E1664" t="s">
        <v>1096</v>
      </c>
      <c r="F1664" t="s">
        <v>142</v>
      </c>
      <c r="G1664" t="s">
        <v>3736</v>
      </c>
      <c r="H1664" t="s">
        <v>3737</v>
      </c>
      <c r="J1664" t="str">
        <f>HYPERLINK("https://www.facebook.com/454965103328545/posts/771262205032165?comment_id=1120535855626844","https://www.facebook.com/454965103328545/posts/771262205032165?comment_id=1120535855626844")</f>
        <v>https://www.facebook.com/454965103328545/posts/771262205032165?comment_id=1120535855626844</v>
      </c>
      <c r="O1664">
        <v>0</v>
      </c>
      <c r="P1664">
        <v>0</v>
      </c>
      <c r="Q1664">
        <v>0</v>
      </c>
      <c r="S1664">
        <v>0</v>
      </c>
      <c r="T1664">
        <v>0</v>
      </c>
      <c r="U1664">
        <v>0</v>
      </c>
      <c r="W1664" t="s">
        <v>62</v>
      </c>
      <c r="AP1664" t="s">
        <v>147</v>
      </c>
    </row>
    <row r="1665" spans="1:42" x14ac:dyDescent="0.35">
      <c r="A1665" t="s">
        <v>45</v>
      </c>
      <c r="B1665" t="s">
        <v>3723</v>
      </c>
      <c r="C1665" t="s">
        <v>63</v>
      </c>
      <c r="D1665" t="s">
        <v>3738</v>
      </c>
      <c r="E1665" t="s">
        <v>3738</v>
      </c>
      <c r="F1665" t="s">
        <v>49</v>
      </c>
      <c r="G1665" t="s">
        <v>3739</v>
      </c>
      <c r="H1665" t="s">
        <v>3740</v>
      </c>
      <c r="J1665" t="str">
        <f>HYPERLINK("https://www.instagram.com/p/C3STh5ugtpX/","https://www.instagram.com/p/C3STh5ugtpX/")</f>
        <v>https://www.instagram.com/p/C3STh5ugtpX/</v>
      </c>
      <c r="O1665">
        <v>0</v>
      </c>
      <c r="P1665">
        <v>0</v>
      </c>
      <c r="Q1665">
        <v>0</v>
      </c>
      <c r="S1665">
        <v>0</v>
      </c>
      <c r="T1665">
        <v>0</v>
      </c>
      <c r="U1665">
        <v>0</v>
      </c>
      <c r="W1665" t="s">
        <v>62</v>
      </c>
    </row>
    <row r="1666" spans="1:42" x14ac:dyDescent="0.35">
      <c r="A1666" t="s">
        <v>45</v>
      </c>
      <c r="B1666" t="s">
        <v>3723</v>
      </c>
      <c r="C1666" t="s">
        <v>47</v>
      </c>
      <c r="D1666" t="s">
        <v>98</v>
      </c>
      <c r="E1666" t="s">
        <v>98</v>
      </c>
      <c r="F1666" t="s">
        <v>49</v>
      </c>
      <c r="G1666" t="s">
        <v>3741</v>
      </c>
      <c r="H1666" t="s">
        <v>3742</v>
      </c>
      <c r="J1666" t="str">
        <f>HYPERLINK("https://www.facebook.com/454965103328545/posts/780222857469433?comment_id=415267867841287","https://www.facebook.com/454965103328545/posts/780222857469433?comment_id=415267867841287")</f>
        <v>https://www.facebook.com/454965103328545/posts/780222857469433?comment_id=415267867841287</v>
      </c>
      <c r="O1666">
        <v>0</v>
      </c>
      <c r="P1666">
        <v>0</v>
      </c>
      <c r="Q1666">
        <v>0</v>
      </c>
      <c r="S1666">
        <v>0</v>
      </c>
      <c r="T1666">
        <v>0</v>
      </c>
      <c r="U1666">
        <v>0</v>
      </c>
      <c r="W1666" t="s">
        <v>62</v>
      </c>
    </row>
    <row r="1667" spans="1:42" x14ac:dyDescent="0.35">
      <c r="A1667" t="s">
        <v>45</v>
      </c>
      <c r="B1667" t="s">
        <v>3723</v>
      </c>
      <c r="C1667" t="s">
        <v>102</v>
      </c>
      <c r="D1667" t="s">
        <v>2506</v>
      </c>
      <c r="E1667" t="s">
        <v>2506</v>
      </c>
      <c r="F1667" t="s">
        <v>76</v>
      </c>
      <c r="G1667" t="s">
        <v>3743</v>
      </c>
      <c r="H1667" t="s">
        <v>3744</v>
      </c>
      <c r="J1667" t="str">
        <f>HYPERLINK("https://www.linkedin.com/feed/update/urn:li:activity:7170381311654641666","https://www.linkedin.com/feed/update/urn:li:activity:7170381311654641666")</f>
        <v>https://www.linkedin.com/feed/update/urn:li:activity:7170381311654641666</v>
      </c>
      <c r="O1667">
        <v>0</v>
      </c>
      <c r="P1667">
        <v>0</v>
      </c>
      <c r="Q1667">
        <v>0</v>
      </c>
      <c r="S1667">
        <v>0</v>
      </c>
      <c r="T1667">
        <v>0</v>
      </c>
      <c r="U1667">
        <v>0</v>
      </c>
      <c r="W1667" t="s">
        <v>106</v>
      </c>
    </row>
    <row r="1668" spans="1:42" x14ac:dyDescent="0.35">
      <c r="A1668" t="s">
        <v>45</v>
      </c>
      <c r="B1668" t="s">
        <v>3723</v>
      </c>
      <c r="C1668" t="s">
        <v>47</v>
      </c>
      <c r="D1668" t="s">
        <v>3745</v>
      </c>
      <c r="E1668" t="s">
        <v>3745</v>
      </c>
      <c r="F1668" t="s">
        <v>49</v>
      </c>
      <c r="G1668" t="s">
        <v>3746</v>
      </c>
      <c r="H1668" t="s">
        <v>3747</v>
      </c>
      <c r="J1668" t="str">
        <f>HYPERLINK("https://www.facebook.com/454965103328545/posts/771262205032165?comment_id=387339760675778","https://www.facebook.com/454965103328545/posts/771262205032165?comment_id=387339760675778")</f>
        <v>https://www.facebook.com/454965103328545/posts/771262205032165?comment_id=387339760675778</v>
      </c>
      <c r="O1668">
        <v>0</v>
      </c>
      <c r="P1668">
        <v>0</v>
      </c>
      <c r="Q1668">
        <v>0</v>
      </c>
      <c r="S1668">
        <v>0</v>
      </c>
      <c r="T1668">
        <v>0</v>
      </c>
      <c r="U1668">
        <v>0</v>
      </c>
      <c r="W1668" t="s">
        <v>62</v>
      </c>
    </row>
    <row r="1669" spans="1:42" x14ac:dyDescent="0.35">
      <c r="A1669" t="s">
        <v>45</v>
      </c>
      <c r="B1669" t="s">
        <v>3723</v>
      </c>
      <c r="C1669" t="s">
        <v>63</v>
      </c>
      <c r="D1669" t="s">
        <v>3748</v>
      </c>
      <c r="E1669" t="s">
        <v>3748</v>
      </c>
      <c r="F1669" t="s">
        <v>49</v>
      </c>
      <c r="G1669" t="s">
        <v>3749</v>
      </c>
      <c r="H1669" t="s">
        <v>3750</v>
      </c>
      <c r="J1669" t="str">
        <f>HYPERLINK("https://www.instagram.com/p/C3U1uytgenK/","https://www.instagram.com/p/C3U1uytgenK/")</f>
        <v>https://www.instagram.com/p/C3U1uytgenK/</v>
      </c>
      <c r="O1669">
        <v>0</v>
      </c>
      <c r="P1669">
        <v>0</v>
      </c>
      <c r="Q1669">
        <v>0</v>
      </c>
      <c r="S1669">
        <v>0</v>
      </c>
      <c r="T1669">
        <v>0</v>
      </c>
      <c r="U1669">
        <v>0</v>
      </c>
      <c r="W1669" t="s">
        <v>62</v>
      </c>
      <c r="AP1669" t="s">
        <v>94</v>
      </c>
    </row>
    <row r="1670" spans="1:42" x14ac:dyDescent="0.35">
      <c r="A1670" t="s">
        <v>45</v>
      </c>
      <c r="B1670" t="s">
        <v>3723</v>
      </c>
      <c r="C1670" t="s">
        <v>47</v>
      </c>
      <c r="D1670" t="s">
        <v>3751</v>
      </c>
      <c r="E1670" t="s">
        <v>3751</v>
      </c>
      <c r="F1670" t="s">
        <v>49</v>
      </c>
      <c r="G1670" t="s">
        <v>3752</v>
      </c>
      <c r="H1670" t="s">
        <v>3753</v>
      </c>
      <c r="J1670" t="str">
        <f>HYPERLINK("https://www.facebook.com/454965103328545/posts/771262205032165?comment_id=951562193349987","https://www.facebook.com/454965103328545/posts/771262205032165?comment_id=951562193349987")</f>
        <v>https://www.facebook.com/454965103328545/posts/771262205032165?comment_id=951562193349987</v>
      </c>
      <c r="O1670">
        <v>0</v>
      </c>
      <c r="P1670">
        <v>0</v>
      </c>
      <c r="Q1670">
        <v>0</v>
      </c>
      <c r="S1670">
        <v>0</v>
      </c>
      <c r="T1670">
        <v>0</v>
      </c>
      <c r="U1670">
        <v>0</v>
      </c>
      <c r="W1670" t="s">
        <v>62</v>
      </c>
    </row>
    <row r="1671" spans="1:42" x14ac:dyDescent="0.35">
      <c r="A1671" t="s">
        <v>45</v>
      </c>
      <c r="B1671" t="s">
        <v>3723</v>
      </c>
      <c r="C1671" t="s">
        <v>47</v>
      </c>
      <c r="D1671" t="s">
        <v>3754</v>
      </c>
      <c r="E1671" t="s">
        <v>3754</v>
      </c>
      <c r="F1671" t="s">
        <v>49</v>
      </c>
      <c r="G1671" t="s">
        <v>3755</v>
      </c>
      <c r="H1671" t="s">
        <v>3756</v>
      </c>
      <c r="J1671" t="str">
        <f>HYPERLINK("https://www.facebook.com/454965103328545/posts/771262205032165?comment_id=430568966207888","https://www.facebook.com/454965103328545/posts/771262205032165?comment_id=430568966207888")</f>
        <v>https://www.facebook.com/454965103328545/posts/771262205032165?comment_id=430568966207888</v>
      </c>
      <c r="O1671">
        <v>0</v>
      </c>
      <c r="P1671">
        <v>0</v>
      </c>
      <c r="Q1671">
        <v>0</v>
      </c>
      <c r="S1671">
        <v>0</v>
      </c>
      <c r="T1671">
        <v>0</v>
      </c>
      <c r="U1671">
        <v>0</v>
      </c>
      <c r="W1671" t="s">
        <v>62</v>
      </c>
    </row>
    <row r="1672" spans="1:42" x14ac:dyDescent="0.35">
      <c r="A1672" t="s">
        <v>45</v>
      </c>
      <c r="B1672" t="s">
        <v>3723</v>
      </c>
      <c r="C1672" t="s">
        <v>58</v>
      </c>
      <c r="D1672" t="s">
        <v>721</v>
      </c>
      <c r="E1672" t="s">
        <v>721</v>
      </c>
      <c r="F1672" t="s">
        <v>142</v>
      </c>
      <c r="G1672" t="s">
        <v>3757</v>
      </c>
      <c r="H1672" t="s">
        <v>3758</v>
      </c>
      <c r="J1672" t="str">
        <f>HYPERLINK("https://www.youtube.com/watch?v=jbn1kzkkA-Y","https://www.youtube.com/watch?v=jbn1kzkkA-Y")</f>
        <v>https://www.youtube.com/watch?v=jbn1kzkkA-Y</v>
      </c>
      <c r="O1672">
        <v>0</v>
      </c>
      <c r="P1672">
        <v>0</v>
      </c>
      <c r="Q1672">
        <v>0</v>
      </c>
      <c r="S1672">
        <v>0</v>
      </c>
      <c r="T1672">
        <v>0</v>
      </c>
      <c r="U1672">
        <v>0</v>
      </c>
      <c r="W1672" t="s">
        <v>106</v>
      </c>
    </row>
    <row r="1673" spans="1:42" x14ac:dyDescent="0.35">
      <c r="A1673" t="s">
        <v>45</v>
      </c>
      <c r="B1673" t="s">
        <v>3723</v>
      </c>
      <c r="C1673" t="s">
        <v>63</v>
      </c>
      <c r="D1673" t="s">
        <v>3759</v>
      </c>
      <c r="E1673" t="s">
        <v>3759</v>
      </c>
      <c r="F1673" t="s">
        <v>49</v>
      </c>
      <c r="G1673" t="s">
        <v>3760</v>
      </c>
      <c r="H1673" t="s">
        <v>3761</v>
      </c>
      <c r="J1673" t="str">
        <f>HYPERLINK("https://www.instagram.com/p/C3STh5ugtpX/","https://www.instagram.com/p/C3STh5ugtpX/")</f>
        <v>https://www.instagram.com/p/C3STh5ugtpX/</v>
      </c>
      <c r="O1673">
        <v>0</v>
      </c>
      <c r="P1673">
        <v>0</v>
      </c>
      <c r="Q1673">
        <v>0</v>
      </c>
      <c r="S1673">
        <v>0</v>
      </c>
      <c r="T1673">
        <v>0</v>
      </c>
      <c r="U1673">
        <v>0</v>
      </c>
      <c r="W1673" t="s">
        <v>62</v>
      </c>
    </row>
    <row r="1674" spans="1:42" x14ac:dyDescent="0.35">
      <c r="A1674" t="s">
        <v>45</v>
      </c>
      <c r="B1674" t="s">
        <v>3723</v>
      </c>
      <c r="C1674" t="s">
        <v>63</v>
      </c>
      <c r="D1674" t="s">
        <v>3762</v>
      </c>
      <c r="E1674" t="s">
        <v>3762</v>
      </c>
      <c r="F1674" t="s">
        <v>49</v>
      </c>
      <c r="G1674" t="s">
        <v>3763</v>
      </c>
      <c r="H1674" t="s">
        <v>3764</v>
      </c>
      <c r="J1674" t="str">
        <f>HYPERLINK("https://www.instagram.com/p/C3STh5ugtpX/","https://www.instagram.com/p/C3STh5ugtpX/")</f>
        <v>https://www.instagram.com/p/C3STh5ugtpX/</v>
      </c>
      <c r="O1674">
        <v>0</v>
      </c>
      <c r="P1674">
        <v>0</v>
      </c>
      <c r="Q1674">
        <v>0</v>
      </c>
      <c r="S1674">
        <v>0</v>
      </c>
      <c r="T1674">
        <v>0</v>
      </c>
      <c r="U1674">
        <v>0</v>
      </c>
      <c r="W1674" t="s">
        <v>62</v>
      </c>
    </row>
    <row r="1675" spans="1:42" x14ac:dyDescent="0.35">
      <c r="A1675" t="s">
        <v>45</v>
      </c>
      <c r="B1675" t="s">
        <v>3723</v>
      </c>
      <c r="C1675" t="s">
        <v>139</v>
      </c>
      <c r="D1675" t="s">
        <v>3765</v>
      </c>
      <c r="E1675" t="s">
        <v>3766</v>
      </c>
      <c r="F1675" t="s">
        <v>142</v>
      </c>
      <c r="G1675" t="s">
        <v>3767</v>
      </c>
      <c r="H1675" t="s">
        <v>3768</v>
      </c>
      <c r="J1675" t="str">
        <f>HYPERLINK("https://twitter.com/PremaKhan5/status/1764545688652706300","https://twitter.com/PremaKhan5/status/1764545688652706300")</f>
        <v>https://twitter.com/PremaKhan5/status/1764545688652706300</v>
      </c>
      <c r="K1675" t="s">
        <v>1769</v>
      </c>
      <c r="O1675">
        <v>0</v>
      </c>
      <c r="P1675">
        <v>0</v>
      </c>
      <c r="Q1675">
        <v>4</v>
      </c>
      <c r="S1675">
        <v>0</v>
      </c>
      <c r="T1675">
        <v>0</v>
      </c>
      <c r="U1675">
        <v>0</v>
      </c>
      <c r="W1675" t="s">
        <v>146</v>
      </c>
      <c r="AP1675" t="s">
        <v>147</v>
      </c>
    </row>
    <row r="1676" spans="1:42" x14ac:dyDescent="0.35">
      <c r="A1676" t="s">
        <v>45</v>
      </c>
      <c r="B1676" t="s">
        <v>3723</v>
      </c>
      <c r="C1676" t="s">
        <v>139</v>
      </c>
      <c r="D1676" t="s">
        <v>3765</v>
      </c>
      <c r="E1676" t="s">
        <v>3766</v>
      </c>
      <c r="F1676" t="s">
        <v>142</v>
      </c>
      <c r="G1676" t="s">
        <v>3769</v>
      </c>
      <c r="H1676" t="s">
        <v>3770</v>
      </c>
      <c r="J1676" t="str">
        <f>HYPERLINK("https://twitter.com/PremaKhan5/status/1764545161638396142","https://twitter.com/PremaKhan5/status/1764545161638396142")</f>
        <v>https://twitter.com/PremaKhan5/status/1764545161638396142</v>
      </c>
      <c r="K1676" t="s">
        <v>1769</v>
      </c>
      <c r="O1676">
        <v>0</v>
      </c>
      <c r="P1676">
        <v>0</v>
      </c>
      <c r="Q1676">
        <v>4</v>
      </c>
      <c r="S1676">
        <v>0</v>
      </c>
      <c r="T1676">
        <v>0</v>
      </c>
      <c r="U1676">
        <v>0</v>
      </c>
      <c r="W1676" t="s">
        <v>146</v>
      </c>
    </row>
    <row r="1677" spans="1:42" x14ac:dyDescent="0.35">
      <c r="A1677" t="s">
        <v>45</v>
      </c>
      <c r="B1677" t="s">
        <v>3723</v>
      </c>
      <c r="C1677" t="s">
        <v>102</v>
      </c>
      <c r="D1677" t="s">
        <v>3771</v>
      </c>
      <c r="E1677" t="s">
        <v>3771</v>
      </c>
      <c r="F1677" t="s">
        <v>76</v>
      </c>
      <c r="G1677" t="s">
        <v>3772</v>
      </c>
      <c r="H1677" t="s">
        <v>3773</v>
      </c>
      <c r="J1677" t="str">
        <f>HYPERLINK("https://www.linkedin.com/feed/update/urn:li:ugcPost:7170259859710439424","https://www.linkedin.com/feed/update/urn:li:ugcPost:7170259859710439424")</f>
        <v>https://www.linkedin.com/feed/update/urn:li:ugcPost:7170259859710439424</v>
      </c>
      <c r="O1677">
        <v>0</v>
      </c>
      <c r="P1677">
        <v>0</v>
      </c>
      <c r="Q1677">
        <v>0</v>
      </c>
      <c r="S1677">
        <v>0</v>
      </c>
      <c r="T1677">
        <v>0</v>
      </c>
      <c r="U1677">
        <v>0</v>
      </c>
      <c r="W1677" t="s">
        <v>106</v>
      </c>
    </row>
    <row r="1678" spans="1:42" x14ac:dyDescent="0.35">
      <c r="A1678" t="s">
        <v>45</v>
      </c>
      <c r="B1678" t="s">
        <v>3723</v>
      </c>
      <c r="C1678" t="s">
        <v>58</v>
      </c>
      <c r="D1678" t="s">
        <v>3774</v>
      </c>
      <c r="E1678" t="s">
        <v>3774</v>
      </c>
      <c r="F1678" t="s">
        <v>49</v>
      </c>
      <c r="G1678" t="s">
        <v>3775</v>
      </c>
      <c r="H1678" t="s">
        <v>3776</v>
      </c>
      <c r="J1678" t="str">
        <f>HYPERLINK("https://www.youtube.com/watch?v=GlNceoz5GG8","https://www.youtube.com/watch?v=GlNceoz5GG8")</f>
        <v>https://www.youtube.com/watch?v=GlNceoz5GG8</v>
      </c>
      <c r="O1678">
        <v>0</v>
      </c>
      <c r="P1678">
        <v>0</v>
      </c>
      <c r="Q1678">
        <v>0</v>
      </c>
      <c r="S1678">
        <v>0</v>
      </c>
      <c r="T1678">
        <v>0</v>
      </c>
      <c r="U1678">
        <v>0</v>
      </c>
      <c r="W1678" t="s">
        <v>106</v>
      </c>
    </row>
    <row r="1679" spans="1:42" x14ac:dyDescent="0.35">
      <c r="A1679" t="s">
        <v>45</v>
      </c>
      <c r="B1679" t="s">
        <v>3723</v>
      </c>
      <c r="C1679" t="s">
        <v>47</v>
      </c>
      <c r="F1679" t="s">
        <v>76</v>
      </c>
      <c r="G1679" t="s">
        <v>3777</v>
      </c>
      <c r="H1679" t="s">
        <v>3778</v>
      </c>
      <c r="J1679" t="str">
        <f>HYPERLINK("https://www.facebook.com/3848030205239457_3707216369562751","https://www.facebook.com/3848030205239457_3707216369562751")</f>
        <v>https://www.facebook.com/3848030205239457_3707216369562751</v>
      </c>
      <c r="O1679">
        <v>0</v>
      </c>
      <c r="P1679">
        <v>0</v>
      </c>
      <c r="Q1679">
        <v>0</v>
      </c>
      <c r="S1679">
        <v>0</v>
      </c>
      <c r="T1679">
        <v>0</v>
      </c>
      <c r="U1679">
        <v>0</v>
      </c>
      <c r="W1679" t="s">
        <v>106</v>
      </c>
    </row>
    <row r="1680" spans="1:42" x14ac:dyDescent="0.35">
      <c r="A1680" t="s">
        <v>45</v>
      </c>
      <c r="B1680" t="s">
        <v>3779</v>
      </c>
      <c r="C1680" t="s">
        <v>58</v>
      </c>
      <c r="D1680" t="s">
        <v>3780</v>
      </c>
      <c r="E1680" t="s">
        <v>3780</v>
      </c>
      <c r="F1680" t="s">
        <v>49</v>
      </c>
      <c r="G1680" t="s">
        <v>3775</v>
      </c>
      <c r="H1680" t="s">
        <v>3781</v>
      </c>
      <c r="J1680" t="str">
        <f>HYPERLINK("https://www.youtube.com/watch?v=6qzo7dEM-Yw","https://www.youtube.com/watch?v=6qzo7dEM-Yw")</f>
        <v>https://www.youtube.com/watch?v=6qzo7dEM-Yw</v>
      </c>
      <c r="O1680">
        <v>0</v>
      </c>
      <c r="P1680">
        <v>0</v>
      </c>
      <c r="Q1680">
        <v>0</v>
      </c>
      <c r="S1680">
        <v>0</v>
      </c>
      <c r="T1680">
        <v>0</v>
      </c>
      <c r="U1680">
        <v>0</v>
      </c>
      <c r="W1680" t="s">
        <v>106</v>
      </c>
    </row>
    <row r="1681" spans="1:42" x14ac:dyDescent="0.35">
      <c r="A1681" t="s">
        <v>45</v>
      </c>
      <c r="B1681" t="s">
        <v>3779</v>
      </c>
      <c r="C1681" t="s">
        <v>47</v>
      </c>
      <c r="D1681" t="s">
        <v>3782</v>
      </c>
      <c r="E1681" t="s">
        <v>3782</v>
      </c>
      <c r="F1681" t="s">
        <v>49</v>
      </c>
      <c r="G1681" t="s">
        <v>3783</v>
      </c>
      <c r="H1681" t="s">
        <v>3784</v>
      </c>
      <c r="J1681" t="str">
        <f>HYPERLINK("https://www.facebook.com/454965103328545/posts/780222857469433?comment_id=1628503221251232","https://www.facebook.com/454965103328545/posts/780222857469433?comment_id=1628503221251232")</f>
        <v>https://www.facebook.com/454965103328545/posts/780222857469433?comment_id=1628503221251232</v>
      </c>
      <c r="O1681">
        <v>0</v>
      </c>
      <c r="P1681">
        <v>0</v>
      </c>
      <c r="Q1681">
        <v>0</v>
      </c>
      <c r="S1681">
        <v>0</v>
      </c>
      <c r="T1681">
        <v>0</v>
      </c>
      <c r="U1681">
        <v>0</v>
      </c>
      <c r="W1681" t="s">
        <v>62</v>
      </c>
    </row>
    <row r="1682" spans="1:42" x14ac:dyDescent="0.35">
      <c r="A1682" t="s">
        <v>45</v>
      </c>
      <c r="B1682" t="s">
        <v>3779</v>
      </c>
      <c r="C1682" t="s">
        <v>47</v>
      </c>
      <c r="D1682" t="s">
        <v>3785</v>
      </c>
      <c r="E1682" t="s">
        <v>3785</v>
      </c>
      <c r="F1682" t="s">
        <v>49</v>
      </c>
      <c r="G1682" t="s">
        <v>2767</v>
      </c>
      <c r="H1682" t="s">
        <v>3786</v>
      </c>
      <c r="J1682" t="str">
        <f>HYPERLINK("https://www.facebook.com/357267201017935/inbox/7113762495368338/","https://www.facebook.com/357267201017935/inbox/7113762495368338/")</f>
        <v>https://www.facebook.com/357267201017935/inbox/7113762495368338/</v>
      </c>
      <c r="O1682">
        <v>0</v>
      </c>
      <c r="P1682">
        <v>0</v>
      </c>
      <c r="Q1682">
        <v>0</v>
      </c>
      <c r="S1682">
        <v>0</v>
      </c>
      <c r="T1682">
        <v>0</v>
      </c>
      <c r="U1682">
        <v>0</v>
      </c>
      <c r="W1682" t="s">
        <v>52</v>
      </c>
    </row>
    <row r="1683" spans="1:42" x14ac:dyDescent="0.35">
      <c r="A1683" t="s">
        <v>45</v>
      </c>
      <c r="B1683" t="s">
        <v>3779</v>
      </c>
      <c r="C1683" t="s">
        <v>47</v>
      </c>
      <c r="D1683" t="s">
        <v>3785</v>
      </c>
      <c r="E1683" t="s">
        <v>3785</v>
      </c>
      <c r="F1683" t="s">
        <v>49</v>
      </c>
      <c r="G1683" t="s">
        <v>373</v>
      </c>
      <c r="H1683" t="s">
        <v>3787</v>
      </c>
      <c r="J1683" t="str">
        <f>HYPERLINK("https://www.facebook.com/357267201017935/inbox/7113762495368338/","https://www.facebook.com/357267201017935/inbox/7113762495368338/")</f>
        <v>https://www.facebook.com/357267201017935/inbox/7113762495368338/</v>
      </c>
      <c r="O1683">
        <v>0</v>
      </c>
      <c r="P1683">
        <v>0</v>
      </c>
      <c r="Q1683">
        <v>0</v>
      </c>
      <c r="S1683">
        <v>0</v>
      </c>
      <c r="T1683">
        <v>0</v>
      </c>
      <c r="U1683">
        <v>0</v>
      </c>
      <c r="W1683" t="s">
        <v>52</v>
      </c>
    </row>
    <row r="1684" spans="1:42" x14ac:dyDescent="0.35">
      <c r="A1684" t="s">
        <v>45</v>
      </c>
      <c r="B1684" t="s">
        <v>3779</v>
      </c>
      <c r="C1684" t="s">
        <v>58</v>
      </c>
      <c r="D1684" t="s">
        <v>3788</v>
      </c>
      <c r="E1684" t="s">
        <v>3788</v>
      </c>
      <c r="F1684" t="s">
        <v>49</v>
      </c>
      <c r="G1684" t="s">
        <v>3789</v>
      </c>
      <c r="H1684" t="s">
        <v>3790</v>
      </c>
      <c r="J1684" t="str">
        <f>HYPERLINK("https://www.youtube.com/watch?v=SvsYa6QuJao","https://www.youtube.com/watch?v=SvsYa6QuJao")</f>
        <v>https://www.youtube.com/watch?v=SvsYa6QuJao</v>
      </c>
      <c r="O1684">
        <v>0</v>
      </c>
      <c r="P1684">
        <v>0</v>
      </c>
      <c r="Q1684">
        <v>0</v>
      </c>
      <c r="S1684">
        <v>0</v>
      </c>
      <c r="T1684">
        <v>0</v>
      </c>
      <c r="U1684">
        <v>0</v>
      </c>
      <c r="W1684" t="s">
        <v>106</v>
      </c>
    </row>
    <row r="1685" spans="1:42" x14ac:dyDescent="0.35">
      <c r="A1685" t="s">
        <v>45</v>
      </c>
      <c r="B1685" t="s">
        <v>3779</v>
      </c>
      <c r="C1685" t="s">
        <v>47</v>
      </c>
      <c r="D1685" t="s">
        <v>3791</v>
      </c>
      <c r="E1685" t="s">
        <v>3791</v>
      </c>
      <c r="F1685" t="s">
        <v>49</v>
      </c>
      <c r="G1685" t="s">
        <v>3792</v>
      </c>
      <c r="H1685" t="s">
        <v>3793</v>
      </c>
      <c r="J1685" t="str">
        <f>HYPERLINK("https://www.facebook.com/357267201017935/inbox/7113510595393528/","https://www.facebook.com/357267201017935/inbox/7113510595393528/")</f>
        <v>https://www.facebook.com/357267201017935/inbox/7113510595393528/</v>
      </c>
      <c r="O1685">
        <v>0</v>
      </c>
      <c r="P1685">
        <v>0</v>
      </c>
      <c r="Q1685">
        <v>0</v>
      </c>
      <c r="S1685">
        <v>0</v>
      </c>
      <c r="T1685">
        <v>0</v>
      </c>
      <c r="U1685">
        <v>0</v>
      </c>
      <c r="W1685" t="s">
        <v>52</v>
      </c>
    </row>
    <row r="1686" spans="1:42" x14ac:dyDescent="0.35">
      <c r="A1686" t="s">
        <v>45</v>
      </c>
      <c r="B1686" t="s">
        <v>3779</v>
      </c>
      <c r="C1686" t="s">
        <v>47</v>
      </c>
      <c r="D1686" t="s">
        <v>3791</v>
      </c>
      <c r="E1686" t="s">
        <v>3791</v>
      </c>
      <c r="F1686" t="s">
        <v>49</v>
      </c>
      <c r="G1686" t="s">
        <v>3794</v>
      </c>
      <c r="H1686" t="s">
        <v>3795</v>
      </c>
      <c r="J1686" t="str">
        <f>HYPERLINK("https://www.facebook.com/357267201017935/inbox/7113510595393528/","https://www.facebook.com/357267201017935/inbox/7113510595393528/")</f>
        <v>https://www.facebook.com/357267201017935/inbox/7113510595393528/</v>
      </c>
      <c r="O1686">
        <v>0</v>
      </c>
      <c r="P1686">
        <v>0</v>
      </c>
      <c r="Q1686">
        <v>0</v>
      </c>
      <c r="S1686">
        <v>0</v>
      </c>
      <c r="T1686">
        <v>0</v>
      </c>
      <c r="U1686">
        <v>0</v>
      </c>
      <c r="W1686" t="s">
        <v>52</v>
      </c>
    </row>
    <row r="1687" spans="1:42" x14ac:dyDescent="0.35">
      <c r="A1687" t="s">
        <v>45</v>
      </c>
      <c r="B1687" t="s">
        <v>3779</v>
      </c>
      <c r="C1687" t="s">
        <v>139</v>
      </c>
      <c r="D1687" t="s">
        <v>2895</v>
      </c>
      <c r="E1687" t="s">
        <v>2896</v>
      </c>
      <c r="F1687" t="s">
        <v>142</v>
      </c>
      <c r="G1687" t="s">
        <v>3796</v>
      </c>
      <c r="H1687" t="s">
        <v>3797</v>
      </c>
      <c r="J1687" t="str">
        <f>HYPERLINK("https://twitter.com/maritme_india/status/1764201804282433581","https://twitter.com/maritme_india/status/1764201804282433581")</f>
        <v>https://twitter.com/maritme_india/status/1764201804282433581</v>
      </c>
      <c r="O1687">
        <v>0</v>
      </c>
      <c r="P1687">
        <v>0</v>
      </c>
      <c r="Q1687">
        <v>13</v>
      </c>
      <c r="R1687" t="s">
        <v>582</v>
      </c>
      <c r="S1687">
        <v>0</v>
      </c>
      <c r="T1687">
        <v>0</v>
      </c>
      <c r="U1687">
        <v>0</v>
      </c>
      <c r="W1687" t="s">
        <v>146</v>
      </c>
      <c r="AP1687" t="s">
        <v>101</v>
      </c>
    </row>
    <row r="1688" spans="1:42" x14ac:dyDescent="0.35">
      <c r="A1688" t="s">
        <v>45</v>
      </c>
      <c r="B1688" t="s">
        <v>3779</v>
      </c>
      <c r="C1688" t="s">
        <v>47</v>
      </c>
      <c r="D1688" t="s">
        <v>3798</v>
      </c>
      <c r="E1688" t="s">
        <v>3798</v>
      </c>
      <c r="F1688" t="s">
        <v>49</v>
      </c>
      <c r="G1688" t="s">
        <v>253</v>
      </c>
      <c r="H1688" t="s">
        <v>3799</v>
      </c>
      <c r="J1688" t="str">
        <f>HYPERLINK("https://www.facebook.com/357267201017935/inbox/7079209205490334/","https://www.facebook.com/357267201017935/inbox/7079209205490334/")</f>
        <v>https://www.facebook.com/357267201017935/inbox/7079209205490334/</v>
      </c>
      <c r="O1688">
        <v>0</v>
      </c>
      <c r="P1688">
        <v>0</v>
      </c>
      <c r="Q1688">
        <v>0</v>
      </c>
      <c r="S1688">
        <v>0</v>
      </c>
      <c r="T1688">
        <v>0</v>
      </c>
      <c r="U1688">
        <v>0</v>
      </c>
      <c r="W1688" t="s">
        <v>52</v>
      </c>
    </row>
    <row r="1689" spans="1:42" x14ac:dyDescent="0.35">
      <c r="A1689" t="s">
        <v>45</v>
      </c>
      <c r="B1689" t="s">
        <v>3779</v>
      </c>
      <c r="C1689" t="s">
        <v>47</v>
      </c>
      <c r="D1689" t="s">
        <v>3798</v>
      </c>
      <c r="E1689" t="s">
        <v>3798</v>
      </c>
      <c r="F1689" t="s">
        <v>49</v>
      </c>
      <c r="G1689" t="s">
        <v>253</v>
      </c>
      <c r="H1689" t="s">
        <v>3799</v>
      </c>
      <c r="J1689" t="str">
        <f>HYPERLINK("https://www.facebook.com/357267201017935/inbox/7079209205490334/","https://www.facebook.com/357267201017935/inbox/7079209205490334/")</f>
        <v>https://www.facebook.com/357267201017935/inbox/7079209205490334/</v>
      </c>
      <c r="O1689">
        <v>0</v>
      </c>
      <c r="P1689">
        <v>0</v>
      </c>
      <c r="Q1689">
        <v>0</v>
      </c>
      <c r="S1689">
        <v>0</v>
      </c>
      <c r="T1689">
        <v>0</v>
      </c>
      <c r="U1689">
        <v>0</v>
      </c>
      <c r="W1689" t="s">
        <v>52</v>
      </c>
    </row>
    <row r="1690" spans="1:42" x14ac:dyDescent="0.35">
      <c r="A1690" t="s">
        <v>45</v>
      </c>
      <c r="B1690" t="s">
        <v>3779</v>
      </c>
      <c r="C1690" t="s">
        <v>102</v>
      </c>
      <c r="D1690" t="s">
        <v>3800</v>
      </c>
      <c r="E1690" t="s">
        <v>3800</v>
      </c>
      <c r="F1690" t="s">
        <v>76</v>
      </c>
      <c r="G1690" t="s">
        <v>3801</v>
      </c>
      <c r="H1690" t="s">
        <v>3802</v>
      </c>
      <c r="J1690" t="str">
        <f>HYPERLINK("https://www.linkedin.com/feed/update/urn:li:ugcPost:7169952657846075393","https://www.linkedin.com/feed/update/urn:li:ugcPost:7169952657846075393")</f>
        <v>https://www.linkedin.com/feed/update/urn:li:ugcPost:7169952657846075393</v>
      </c>
      <c r="O1690">
        <v>0</v>
      </c>
      <c r="P1690">
        <v>0</v>
      </c>
      <c r="Q1690">
        <v>0</v>
      </c>
      <c r="S1690">
        <v>0</v>
      </c>
      <c r="T1690">
        <v>0</v>
      </c>
      <c r="U1690">
        <v>0</v>
      </c>
      <c r="W1690" t="s">
        <v>106</v>
      </c>
    </row>
    <row r="1691" spans="1:42" x14ac:dyDescent="0.35">
      <c r="A1691" t="s">
        <v>45</v>
      </c>
      <c r="B1691" t="s">
        <v>3779</v>
      </c>
      <c r="C1691" t="s">
        <v>47</v>
      </c>
      <c r="D1691" t="s">
        <v>2774</v>
      </c>
      <c r="E1691" t="s">
        <v>2774</v>
      </c>
      <c r="F1691" t="s">
        <v>49</v>
      </c>
      <c r="G1691" t="s">
        <v>3803</v>
      </c>
      <c r="H1691" t="s">
        <v>3804</v>
      </c>
      <c r="J1691" t="str">
        <f>HYPERLINK("https://www.facebook.com/357267201017935/inbox/7097486290329292/","https://www.facebook.com/357267201017935/inbox/7097486290329292/")</f>
        <v>https://www.facebook.com/357267201017935/inbox/7097486290329292/</v>
      </c>
      <c r="O1691">
        <v>0</v>
      </c>
      <c r="P1691">
        <v>0</v>
      </c>
      <c r="Q1691">
        <v>0</v>
      </c>
      <c r="S1691">
        <v>0</v>
      </c>
      <c r="T1691">
        <v>0</v>
      </c>
      <c r="U1691">
        <v>0</v>
      </c>
      <c r="W1691" t="s">
        <v>52</v>
      </c>
    </row>
    <row r="1692" spans="1:42" x14ac:dyDescent="0.35">
      <c r="A1692" t="s">
        <v>45</v>
      </c>
      <c r="B1692" t="s">
        <v>3779</v>
      </c>
      <c r="C1692" t="s">
        <v>139</v>
      </c>
      <c r="D1692" t="s">
        <v>3805</v>
      </c>
      <c r="E1692" t="s">
        <v>3806</v>
      </c>
      <c r="F1692" t="s">
        <v>49</v>
      </c>
      <c r="G1692" t="s">
        <v>3807</v>
      </c>
      <c r="H1692" t="s">
        <v>3808</v>
      </c>
      <c r="J1692" t="str">
        <f>HYPERLINK("https://twitter.com/manoj72467/status/1764152012437143834","https://twitter.com/manoj72467/status/1764152012437143834")</f>
        <v>https://twitter.com/manoj72467/status/1764152012437143834</v>
      </c>
      <c r="K1692" t="s">
        <v>145</v>
      </c>
      <c r="O1692">
        <v>0</v>
      </c>
      <c r="P1692">
        <v>0</v>
      </c>
      <c r="Q1692">
        <v>0</v>
      </c>
      <c r="S1692">
        <v>0</v>
      </c>
      <c r="T1692">
        <v>0</v>
      </c>
      <c r="U1692">
        <v>0</v>
      </c>
      <c r="W1692" t="s">
        <v>146</v>
      </c>
    </row>
    <row r="1693" spans="1:42" x14ac:dyDescent="0.35">
      <c r="A1693" t="s">
        <v>45</v>
      </c>
      <c r="B1693" t="s">
        <v>3779</v>
      </c>
      <c r="C1693" t="s">
        <v>58</v>
      </c>
      <c r="D1693" t="s">
        <v>3256</v>
      </c>
      <c r="E1693" t="s">
        <v>3256</v>
      </c>
      <c r="F1693" t="s">
        <v>49</v>
      </c>
      <c r="G1693" t="s">
        <v>3809</v>
      </c>
      <c r="H1693" t="s">
        <v>3810</v>
      </c>
      <c r="J1693" t="str">
        <f>HYPERLINK("https://www.youtube.com/watch?v=frNjsvJGcLA","https://www.youtube.com/watch?v=frNjsvJGcLA")</f>
        <v>https://www.youtube.com/watch?v=frNjsvJGcLA</v>
      </c>
      <c r="O1693">
        <v>0</v>
      </c>
      <c r="P1693">
        <v>0</v>
      </c>
      <c r="Q1693">
        <v>0</v>
      </c>
      <c r="S1693">
        <v>0</v>
      </c>
      <c r="T1693">
        <v>0</v>
      </c>
      <c r="U1693">
        <v>0</v>
      </c>
      <c r="W1693" t="s">
        <v>106</v>
      </c>
    </row>
    <row r="1694" spans="1:42" x14ac:dyDescent="0.35">
      <c r="A1694" t="s">
        <v>45</v>
      </c>
      <c r="B1694" t="s">
        <v>3779</v>
      </c>
      <c r="C1694" t="s">
        <v>63</v>
      </c>
      <c r="D1694" t="s">
        <v>186</v>
      </c>
      <c r="E1694" t="s">
        <v>186</v>
      </c>
      <c r="F1694" t="s">
        <v>49</v>
      </c>
      <c r="G1694" t="s">
        <v>3811</v>
      </c>
      <c r="H1694" t="s">
        <v>3812</v>
      </c>
      <c r="J1694" t="str">
        <f>HYPERLINK("https://www.instagram.com/p/C4CQ9bPCr8U/","https://www.instagram.com/p/C4CQ9bPCr8U/")</f>
        <v>https://www.instagram.com/p/C4CQ9bPCr8U/</v>
      </c>
      <c r="O1694">
        <v>0</v>
      </c>
      <c r="P1694">
        <v>0</v>
      </c>
      <c r="Q1694">
        <v>0</v>
      </c>
      <c r="S1694">
        <v>0</v>
      </c>
      <c r="T1694">
        <v>80</v>
      </c>
      <c r="U1694">
        <v>0</v>
      </c>
      <c r="W1694" t="s">
        <v>106</v>
      </c>
    </row>
    <row r="1695" spans="1:42" x14ac:dyDescent="0.35">
      <c r="A1695" t="s">
        <v>45</v>
      </c>
      <c r="B1695" t="s">
        <v>3779</v>
      </c>
      <c r="C1695" t="s">
        <v>139</v>
      </c>
      <c r="D1695" t="s">
        <v>190</v>
      </c>
      <c r="E1695" t="s">
        <v>45</v>
      </c>
      <c r="F1695" t="s">
        <v>49</v>
      </c>
      <c r="G1695" t="s">
        <v>3813</v>
      </c>
      <c r="H1695" t="s">
        <v>3814</v>
      </c>
      <c r="J1695" t="str">
        <f>HYPERLINK("https://twitter.com/FinoPaymntsBank/status/1764115981394379247","https://twitter.com/FinoPaymntsBank/status/1764115981394379247")</f>
        <v>https://twitter.com/FinoPaymntsBank/status/1764115981394379247</v>
      </c>
      <c r="K1695" t="s">
        <v>145</v>
      </c>
      <c r="O1695">
        <v>0</v>
      </c>
      <c r="P1695">
        <v>0</v>
      </c>
      <c r="Q1695">
        <v>8413</v>
      </c>
      <c r="R1695" t="s">
        <v>193</v>
      </c>
      <c r="S1695">
        <v>0</v>
      </c>
      <c r="T1695">
        <v>0</v>
      </c>
      <c r="U1695">
        <v>0</v>
      </c>
      <c r="W1695" t="s">
        <v>146</v>
      </c>
    </row>
    <row r="1696" spans="1:42" x14ac:dyDescent="0.35">
      <c r="A1696" t="s">
        <v>45</v>
      </c>
      <c r="B1696" t="s">
        <v>3779</v>
      </c>
      <c r="C1696" t="s">
        <v>58</v>
      </c>
      <c r="D1696" t="s">
        <v>885</v>
      </c>
      <c r="E1696" t="s">
        <v>885</v>
      </c>
      <c r="F1696" t="s">
        <v>49</v>
      </c>
      <c r="G1696" t="s">
        <v>3815</v>
      </c>
      <c r="H1696" t="s">
        <v>3816</v>
      </c>
      <c r="J1696" t="str">
        <f>HYPERLINK("https://www.youtube.com/watch?v=iYnCY0AD36c","https://www.youtube.com/watch?v=iYnCY0AD36c")</f>
        <v>https://www.youtube.com/watch?v=iYnCY0AD36c</v>
      </c>
      <c r="O1696">
        <v>0</v>
      </c>
      <c r="P1696">
        <v>0</v>
      </c>
      <c r="Q1696">
        <v>0</v>
      </c>
      <c r="S1696">
        <v>0</v>
      </c>
      <c r="T1696">
        <v>0</v>
      </c>
      <c r="U1696">
        <v>0</v>
      </c>
      <c r="W1696" t="s">
        <v>106</v>
      </c>
    </row>
    <row r="1697" spans="1:42" x14ac:dyDescent="0.35">
      <c r="A1697" t="s">
        <v>45</v>
      </c>
      <c r="B1697" t="s">
        <v>3779</v>
      </c>
      <c r="C1697" t="s">
        <v>58</v>
      </c>
      <c r="D1697" t="s">
        <v>3340</v>
      </c>
      <c r="E1697" t="s">
        <v>3340</v>
      </c>
      <c r="F1697" t="s">
        <v>49</v>
      </c>
      <c r="G1697" t="s">
        <v>3817</v>
      </c>
      <c r="H1697" t="s">
        <v>3818</v>
      </c>
      <c r="J1697" t="str">
        <f>HYPERLINK("https://www.youtube.com/watch?v=pIA3DB-obwY","https://www.youtube.com/watch?v=pIA3DB-obwY")</f>
        <v>https://www.youtube.com/watch?v=pIA3DB-obwY</v>
      </c>
      <c r="O1697">
        <v>0</v>
      </c>
      <c r="P1697">
        <v>0</v>
      </c>
      <c r="Q1697">
        <v>0</v>
      </c>
      <c r="S1697">
        <v>0</v>
      </c>
      <c r="T1697">
        <v>0</v>
      </c>
      <c r="U1697">
        <v>0</v>
      </c>
      <c r="W1697" t="s">
        <v>106</v>
      </c>
    </row>
    <row r="1698" spans="1:42" x14ac:dyDescent="0.35">
      <c r="A1698" t="s">
        <v>45</v>
      </c>
      <c r="B1698" t="s">
        <v>3779</v>
      </c>
      <c r="C1698" t="s">
        <v>102</v>
      </c>
      <c r="D1698" t="s">
        <v>3819</v>
      </c>
      <c r="E1698" t="s">
        <v>3819</v>
      </c>
      <c r="F1698" t="s">
        <v>76</v>
      </c>
      <c r="G1698" t="s">
        <v>3820</v>
      </c>
      <c r="H1698" t="s">
        <v>3821</v>
      </c>
      <c r="J1698" t="str">
        <f>HYPERLINK("https://www.linkedin.com/feed/update/urn:li:ugcPost:7169798396453470208","https://www.linkedin.com/feed/update/urn:li:ugcPost:7169798396453470208")</f>
        <v>https://www.linkedin.com/feed/update/urn:li:ugcPost:7169798396453470208</v>
      </c>
      <c r="O1698">
        <v>0</v>
      </c>
      <c r="P1698">
        <v>0</v>
      </c>
      <c r="Q1698">
        <v>0</v>
      </c>
      <c r="S1698">
        <v>0</v>
      </c>
      <c r="T1698">
        <v>0</v>
      </c>
      <c r="U1698">
        <v>0</v>
      </c>
      <c r="W1698" t="s">
        <v>106</v>
      </c>
    </row>
    <row r="1699" spans="1:42" x14ac:dyDescent="0.35">
      <c r="A1699" t="s">
        <v>45</v>
      </c>
      <c r="B1699" t="s">
        <v>3779</v>
      </c>
      <c r="C1699" t="s">
        <v>47</v>
      </c>
      <c r="D1699" t="s">
        <v>3822</v>
      </c>
      <c r="E1699" t="s">
        <v>3822</v>
      </c>
      <c r="F1699" t="s">
        <v>49</v>
      </c>
      <c r="G1699" t="s">
        <v>373</v>
      </c>
      <c r="H1699" t="s">
        <v>3823</v>
      </c>
      <c r="J1699" t="str">
        <f>HYPERLINK("https://www.facebook.com/357267201017935/inbox/7111305242280730/","https://www.facebook.com/357267201017935/inbox/7111305242280730/")</f>
        <v>https://www.facebook.com/357267201017935/inbox/7111305242280730/</v>
      </c>
      <c r="O1699">
        <v>0</v>
      </c>
      <c r="P1699">
        <v>0</v>
      </c>
      <c r="Q1699">
        <v>0</v>
      </c>
      <c r="S1699">
        <v>0</v>
      </c>
      <c r="T1699">
        <v>0</v>
      </c>
      <c r="U1699">
        <v>0</v>
      </c>
      <c r="W1699" t="s">
        <v>52</v>
      </c>
    </row>
    <row r="1700" spans="1:42" x14ac:dyDescent="0.35">
      <c r="A1700" t="s">
        <v>45</v>
      </c>
      <c r="B1700" t="s">
        <v>3824</v>
      </c>
      <c r="C1700" t="s">
        <v>47</v>
      </c>
      <c r="D1700" t="s">
        <v>3751</v>
      </c>
      <c r="E1700" t="s">
        <v>3751</v>
      </c>
      <c r="F1700" t="s">
        <v>49</v>
      </c>
      <c r="G1700" t="s">
        <v>3825</v>
      </c>
      <c r="H1700" t="s">
        <v>3826</v>
      </c>
      <c r="J1700" t="str">
        <f>HYPERLINK("https://www.facebook.com/454965103328545/posts/771262205032165?comment_id=366927459479051&amp;reply_comment_id=707603364865791","https://www.facebook.com/454965103328545/posts/771262205032165?comment_id=366927459479051&amp;reply_comment_id=707603364865791")</f>
        <v>https://www.facebook.com/454965103328545/posts/771262205032165?comment_id=366927459479051&amp;reply_comment_id=707603364865791</v>
      </c>
      <c r="O1700">
        <v>0</v>
      </c>
      <c r="P1700">
        <v>0</v>
      </c>
      <c r="Q1700">
        <v>0</v>
      </c>
      <c r="S1700">
        <v>0</v>
      </c>
      <c r="T1700">
        <v>0</v>
      </c>
      <c r="U1700">
        <v>0</v>
      </c>
      <c r="W1700" t="s">
        <v>62</v>
      </c>
    </row>
    <row r="1701" spans="1:42" x14ac:dyDescent="0.35">
      <c r="A1701" t="s">
        <v>45</v>
      </c>
      <c r="B1701" t="s">
        <v>3824</v>
      </c>
      <c r="C1701" t="s">
        <v>47</v>
      </c>
      <c r="D1701" t="s">
        <v>3751</v>
      </c>
      <c r="E1701" t="s">
        <v>3751</v>
      </c>
      <c r="F1701" t="s">
        <v>49</v>
      </c>
      <c r="G1701" t="s">
        <v>3827</v>
      </c>
      <c r="H1701" t="s">
        <v>3828</v>
      </c>
      <c r="J1701" t="str">
        <f>HYPERLINK("https://www.facebook.com/454965103328545/posts/771262205032165?comment_id=366927459479051&amp;reply_comment_id=785304096985116","https://www.facebook.com/454965103328545/posts/771262205032165?comment_id=366927459479051&amp;reply_comment_id=785304096985116")</f>
        <v>https://www.facebook.com/454965103328545/posts/771262205032165?comment_id=366927459479051&amp;reply_comment_id=785304096985116</v>
      </c>
      <c r="O1701">
        <v>0</v>
      </c>
      <c r="P1701">
        <v>0</v>
      </c>
      <c r="Q1701">
        <v>0</v>
      </c>
      <c r="S1701">
        <v>0</v>
      </c>
      <c r="T1701">
        <v>0</v>
      </c>
      <c r="U1701">
        <v>0</v>
      </c>
      <c r="W1701" t="s">
        <v>62</v>
      </c>
      <c r="AP1701" t="s">
        <v>94</v>
      </c>
    </row>
    <row r="1702" spans="1:42" x14ac:dyDescent="0.35">
      <c r="A1702" t="s">
        <v>45</v>
      </c>
      <c r="B1702" t="s">
        <v>3824</v>
      </c>
      <c r="C1702" t="s">
        <v>63</v>
      </c>
      <c r="D1702" t="s">
        <v>3829</v>
      </c>
      <c r="E1702" t="s">
        <v>3829</v>
      </c>
      <c r="F1702" t="s">
        <v>49</v>
      </c>
      <c r="G1702" t="s">
        <v>3830</v>
      </c>
      <c r="H1702" t="s">
        <v>3831</v>
      </c>
      <c r="J1702" t="str">
        <f>HYPERLINK("https://www.instagram.com/p/C3VES0FgrdQ/","https://www.instagram.com/p/C3VES0FgrdQ/")</f>
        <v>https://www.instagram.com/p/C3VES0FgrdQ/</v>
      </c>
      <c r="O1702">
        <v>0</v>
      </c>
      <c r="P1702">
        <v>0</v>
      </c>
      <c r="Q1702">
        <v>0</v>
      </c>
      <c r="S1702">
        <v>0</v>
      </c>
      <c r="T1702">
        <v>0</v>
      </c>
      <c r="U1702">
        <v>0</v>
      </c>
      <c r="W1702" t="s">
        <v>62</v>
      </c>
    </row>
    <row r="1703" spans="1:42" x14ac:dyDescent="0.35">
      <c r="A1703" t="s">
        <v>45</v>
      </c>
      <c r="B1703" t="s">
        <v>3824</v>
      </c>
      <c r="C1703" t="s">
        <v>47</v>
      </c>
      <c r="D1703" t="s">
        <v>2907</v>
      </c>
      <c r="E1703" t="s">
        <v>2907</v>
      </c>
      <c r="F1703" t="s">
        <v>49</v>
      </c>
      <c r="G1703" t="s">
        <v>2326</v>
      </c>
      <c r="H1703" t="s">
        <v>3832</v>
      </c>
      <c r="J1703" t="str">
        <f>HYPERLINK("https://www.facebook.com/454965103328545/posts/780754084082977?comment_id=1441113106514871","https://www.facebook.com/454965103328545/posts/780754084082977?comment_id=1441113106514871")</f>
        <v>https://www.facebook.com/454965103328545/posts/780754084082977?comment_id=1441113106514871</v>
      </c>
      <c r="O1703">
        <v>0</v>
      </c>
      <c r="P1703">
        <v>0</v>
      </c>
      <c r="Q1703">
        <v>0</v>
      </c>
      <c r="S1703">
        <v>0</v>
      </c>
      <c r="T1703">
        <v>0</v>
      </c>
      <c r="U1703">
        <v>0</v>
      </c>
      <c r="W1703" t="s">
        <v>62</v>
      </c>
    </row>
    <row r="1704" spans="1:42" x14ac:dyDescent="0.35">
      <c r="A1704" t="s">
        <v>45</v>
      </c>
      <c r="B1704" t="s">
        <v>3824</v>
      </c>
      <c r="C1704" t="s">
        <v>139</v>
      </c>
      <c r="D1704" t="s">
        <v>3833</v>
      </c>
      <c r="E1704" t="s">
        <v>3834</v>
      </c>
      <c r="F1704" t="s">
        <v>49</v>
      </c>
      <c r="G1704" t="s">
        <v>3835</v>
      </c>
      <c r="H1704" t="s">
        <v>3836</v>
      </c>
      <c r="J1704" t="str">
        <f>HYPERLINK("https://twitter.com/Yours_Puli/status/1763979324540203503","https://twitter.com/Yours_Puli/status/1763979324540203503")</f>
        <v>https://twitter.com/Yours_Puli/status/1763979324540203503</v>
      </c>
      <c r="O1704">
        <v>0</v>
      </c>
      <c r="P1704">
        <v>0</v>
      </c>
      <c r="Q1704">
        <v>42</v>
      </c>
      <c r="R1704" t="s">
        <v>3837</v>
      </c>
      <c r="S1704">
        <v>0</v>
      </c>
      <c r="T1704">
        <v>0</v>
      </c>
      <c r="U1704">
        <v>0</v>
      </c>
      <c r="W1704" t="s">
        <v>52</v>
      </c>
    </row>
    <row r="1705" spans="1:42" x14ac:dyDescent="0.35">
      <c r="A1705" t="s">
        <v>45</v>
      </c>
      <c r="B1705" t="s">
        <v>3824</v>
      </c>
      <c r="C1705" t="s">
        <v>102</v>
      </c>
      <c r="D1705" t="s">
        <v>3838</v>
      </c>
      <c r="E1705" t="s">
        <v>3838</v>
      </c>
      <c r="F1705" t="s">
        <v>76</v>
      </c>
      <c r="G1705" t="s">
        <v>3839</v>
      </c>
      <c r="H1705" t="s">
        <v>3840</v>
      </c>
      <c r="J1705" t="str">
        <f>HYPERLINK("https://www.linkedin.com/feed/update/urn:li:activity:7169722861660688384","https://www.linkedin.com/feed/update/urn:li:activity:7169722861660688384")</f>
        <v>https://www.linkedin.com/feed/update/urn:li:activity:7169722861660688384</v>
      </c>
      <c r="O1705">
        <v>0</v>
      </c>
      <c r="P1705">
        <v>0</v>
      </c>
      <c r="Q1705">
        <v>0</v>
      </c>
      <c r="S1705">
        <v>0</v>
      </c>
      <c r="T1705">
        <v>0</v>
      </c>
      <c r="U1705">
        <v>0</v>
      </c>
      <c r="W1705" t="s">
        <v>106</v>
      </c>
    </row>
    <row r="1706" spans="1:42" x14ac:dyDescent="0.35">
      <c r="A1706" t="s">
        <v>45</v>
      </c>
      <c r="B1706" t="s">
        <v>3824</v>
      </c>
      <c r="C1706" t="s">
        <v>102</v>
      </c>
      <c r="D1706" t="s">
        <v>3838</v>
      </c>
      <c r="E1706" t="s">
        <v>3838</v>
      </c>
      <c r="F1706" t="s">
        <v>76</v>
      </c>
      <c r="G1706" t="s">
        <v>3841</v>
      </c>
      <c r="H1706" t="s">
        <v>3842</v>
      </c>
      <c r="J1706" t="str">
        <f>HYPERLINK("https://www.linkedin.com/feed/update/urn:li:ugcPost:7169721986108043264","https://www.linkedin.com/feed/update/urn:li:ugcPost:7169721986108043264")</f>
        <v>https://www.linkedin.com/feed/update/urn:li:ugcPost:7169721986108043264</v>
      </c>
      <c r="O1706">
        <v>0</v>
      </c>
      <c r="P1706">
        <v>0</v>
      </c>
      <c r="Q1706">
        <v>0</v>
      </c>
      <c r="S1706">
        <v>0</v>
      </c>
      <c r="T1706">
        <v>0</v>
      </c>
      <c r="U1706">
        <v>0</v>
      </c>
      <c r="W1706" t="s">
        <v>106</v>
      </c>
    </row>
    <row r="1707" spans="1:42" x14ac:dyDescent="0.35">
      <c r="A1707" t="s">
        <v>45</v>
      </c>
      <c r="B1707" t="s">
        <v>3824</v>
      </c>
      <c r="C1707" t="s">
        <v>47</v>
      </c>
      <c r="D1707" t="s">
        <v>3843</v>
      </c>
      <c r="E1707" t="s">
        <v>3843</v>
      </c>
      <c r="F1707" t="s">
        <v>49</v>
      </c>
      <c r="G1707" t="s">
        <v>3844</v>
      </c>
      <c r="H1707" t="s">
        <v>3845</v>
      </c>
      <c r="J1707" t="str">
        <f>HYPERLINK("https://www.facebook.com/357267201017935/inbox/7012421342169121/","https://www.facebook.com/357267201017935/inbox/7012421342169121/")</f>
        <v>https://www.facebook.com/357267201017935/inbox/7012421342169121/</v>
      </c>
      <c r="O1707">
        <v>0</v>
      </c>
      <c r="P1707">
        <v>0</v>
      </c>
      <c r="Q1707">
        <v>0</v>
      </c>
      <c r="S1707">
        <v>0</v>
      </c>
      <c r="T1707">
        <v>0</v>
      </c>
      <c r="U1707">
        <v>0</v>
      </c>
      <c r="W1707" t="s">
        <v>52</v>
      </c>
    </row>
    <row r="1708" spans="1:42" x14ac:dyDescent="0.35">
      <c r="A1708" t="s">
        <v>45</v>
      </c>
      <c r="B1708" t="s">
        <v>3824</v>
      </c>
      <c r="C1708" t="s">
        <v>47</v>
      </c>
      <c r="D1708" t="s">
        <v>3843</v>
      </c>
      <c r="E1708" t="s">
        <v>3843</v>
      </c>
      <c r="F1708" t="s">
        <v>49</v>
      </c>
      <c r="G1708" t="s">
        <v>3846</v>
      </c>
      <c r="H1708" t="s">
        <v>3847</v>
      </c>
      <c r="J1708" t="str">
        <f>HYPERLINK("https://www.facebook.com/357267201017935/inbox/7012421342169121/","https://www.facebook.com/357267201017935/inbox/7012421342169121/")</f>
        <v>https://www.facebook.com/357267201017935/inbox/7012421342169121/</v>
      </c>
      <c r="O1708">
        <v>0</v>
      </c>
      <c r="P1708">
        <v>0</v>
      </c>
      <c r="Q1708">
        <v>0</v>
      </c>
      <c r="S1708">
        <v>0</v>
      </c>
      <c r="T1708">
        <v>0</v>
      </c>
      <c r="U1708">
        <v>0</v>
      </c>
      <c r="W1708" t="s">
        <v>52</v>
      </c>
    </row>
    <row r="1709" spans="1:42" x14ac:dyDescent="0.35">
      <c r="A1709" t="s">
        <v>45</v>
      </c>
      <c r="B1709" t="s">
        <v>3824</v>
      </c>
      <c r="C1709" t="s">
        <v>47</v>
      </c>
      <c r="D1709" t="s">
        <v>3848</v>
      </c>
      <c r="E1709" t="s">
        <v>3848</v>
      </c>
      <c r="F1709" t="s">
        <v>49</v>
      </c>
      <c r="G1709" t="s">
        <v>3849</v>
      </c>
      <c r="H1709" t="s">
        <v>3850</v>
      </c>
      <c r="J1709" t="str">
        <f>HYPERLINK("https://www.facebook.com/357267201017935/inbox/7110622862348968/","https://www.facebook.com/357267201017935/inbox/7110622862348968/")</f>
        <v>https://www.facebook.com/357267201017935/inbox/7110622862348968/</v>
      </c>
      <c r="O1709">
        <v>0</v>
      </c>
      <c r="P1709">
        <v>0</v>
      </c>
      <c r="Q1709">
        <v>0</v>
      </c>
      <c r="S1709">
        <v>0</v>
      </c>
      <c r="T1709">
        <v>0</v>
      </c>
      <c r="U1709">
        <v>0</v>
      </c>
      <c r="W1709" t="s">
        <v>52</v>
      </c>
    </row>
    <row r="1710" spans="1:42" x14ac:dyDescent="0.35">
      <c r="A1710" t="s">
        <v>45</v>
      </c>
      <c r="B1710" t="s">
        <v>3824</v>
      </c>
      <c r="C1710" t="s">
        <v>47</v>
      </c>
      <c r="D1710" t="s">
        <v>3848</v>
      </c>
      <c r="E1710" t="s">
        <v>3848</v>
      </c>
      <c r="F1710" t="s">
        <v>49</v>
      </c>
      <c r="G1710" t="s">
        <v>3851</v>
      </c>
      <c r="H1710" t="s">
        <v>3852</v>
      </c>
      <c r="J1710" t="str">
        <f>HYPERLINK("https://www.facebook.com/357267201017935/inbox/7110622862348968/","https://www.facebook.com/357267201017935/inbox/7110622862348968/")</f>
        <v>https://www.facebook.com/357267201017935/inbox/7110622862348968/</v>
      </c>
      <c r="O1710">
        <v>0</v>
      </c>
      <c r="P1710">
        <v>0</v>
      </c>
      <c r="Q1710">
        <v>0</v>
      </c>
      <c r="S1710">
        <v>0</v>
      </c>
      <c r="T1710">
        <v>0</v>
      </c>
      <c r="U1710">
        <v>0</v>
      </c>
      <c r="W1710" t="s">
        <v>52</v>
      </c>
    </row>
    <row r="1711" spans="1:42" x14ac:dyDescent="0.35">
      <c r="A1711" t="s">
        <v>45</v>
      </c>
      <c r="B1711" t="s">
        <v>3824</v>
      </c>
      <c r="C1711" t="s">
        <v>47</v>
      </c>
      <c r="D1711" t="s">
        <v>3848</v>
      </c>
      <c r="E1711" t="s">
        <v>3848</v>
      </c>
      <c r="F1711" t="s">
        <v>49</v>
      </c>
      <c r="G1711" t="s">
        <v>3853</v>
      </c>
      <c r="H1711" t="s">
        <v>3854</v>
      </c>
      <c r="J1711" t="str">
        <f>HYPERLINK("https://www.facebook.com/357267201017935/inbox/7110622862348968/","https://www.facebook.com/357267201017935/inbox/7110622862348968/")</f>
        <v>https://www.facebook.com/357267201017935/inbox/7110622862348968/</v>
      </c>
      <c r="O1711">
        <v>0</v>
      </c>
      <c r="P1711">
        <v>0</v>
      </c>
      <c r="Q1711">
        <v>0</v>
      </c>
      <c r="S1711">
        <v>0</v>
      </c>
      <c r="T1711">
        <v>0</v>
      </c>
      <c r="U1711">
        <v>0</v>
      </c>
      <c r="W1711" t="s">
        <v>52</v>
      </c>
    </row>
    <row r="1712" spans="1:42" x14ac:dyDescent="0.35">
      <c r="A1712" t="s">
        <v>45</v>
      </c>
      <c r="B1712" t="s">
        <v>3824</v>
      </c>
      <c r="C1712" t="s">
        <v>139</v>
      </c>
      <c r="D1712" t="s">
        <v>3833</v>
      </c>
      <c r="E1712" t="s">
        <v>3834</v>
      </c>
      <c r="F1712" t="s">
        <v>142</v>
      </c>
      <c r="G1712" t="s">
        <v>3855</v>
      </c>
      <c r="H1712" t="s">
        <v>3856</v>
      </c>
      <c r="J1712" t="str">
        <f>HYPERLINK("https://twitter.com/Yours_Puli/status/1763938982378053888","https://twitter.com/Yours_Puli/status/1763938982378053888")</f>
        <v>https://twitter.com/Yours_Puli/status/1763938982378053888</v>
      </c>
      <c r="O1712">
        <v>0</v>
      </c>
      <c r="P1712">
        <v>0</v>
      </c>
      <c r="Q1712">
        <v>42</v>
      </c>
      <c r="R1712" t="s">
        <v>3837</v>
      </c>
      <c r="S1712">
        <v>0</v>
      </c>
      <c r="T1712">
        <v>0</v>
      </c>
      <c r="U1712">
        <v>0</v>
      </c>
      <c r="W1712" t="s">
        <v>52</v>
      </c>
      <c r="AP1712" t="s">
        <v>147</v>
      </c>
    </row>
    <row r="1713" spans="1:42" x14ac:dyDescent="0.35">
      <c r="A1713" t="s">
        <v>45</v>
      </c>
      <c r="B1713" t="s">
        <v>3824</v>
      </c>
      <c r="C1713" t="s">
        <v>63</v>
      </c>
      <c r="D1713" t="s">
        <v>3857</v>
      </c>
      <c r="E1713" t="s">
        <v>3857</v>
      </c>
      <c r="F1713" t="s">
        <v>49</v>
      </c>
      <c r="G1713" t="s">
        <v>3858</v>
      </c>
      <c r="H1713" t="s">
        <v>3859</v>
      </c>
      <c r="J1713" t="str">
        <f>HYPERLINK("https://www.instagram.com/p/C3VES0FgrdQ/","https://www.instagram.com/p/C3VES0FgrdQ/")</f>
        <v>https://www.instagram.com/p/C3VES0FgrdQ/</v>
      </c>
      <c r="O1713">
        <v>0</v>
      </c>
      <c r="P1713">
        <v>0</v>
      </c>
      <c r="Q1713">
        <v>0</v>
      </c>
      <c r="S1713">
        <v>0</v>
      </c>
      <c r="T1713">
        <v>1</v>
      </c>
      <c r="U1713">
        <v>0</v>
      </c>
      <c r="W1713" t="s">
        <v>62</v>
      </c>
    </row>
    <row r="1714" spans="1:42" x14ac:dyDescent="0.35">
      <c r="A1714" t="s">
        <v>45</v>
      </c>
      <c r="B1714" t="s">
        <v>3824</v>
      </c>
      <c r="C1714" t="s">
        <v>58</v>
      </c>
      <c r="D1714" t="s">
        <v>3860</v>
      </c>
      <c r="E1714" t="s">
        <v>3860</v>
      </c>
      <c r="F1714" t="s">
        <v>49</v>
      </c>
      <c r="G1714" t="s">
        <v>3861</v>
      </c>
      <c r="H1714" t="s">
        <v>3862</v>
      </c>
      <c r="J1714" t="str">
        <f>HYPERLINK("https://www.youtube.com/watch?v=N7T1eLQCWn8","https://www.youtube.com/watch?v=N7T1eLQCWn8")</f>
        <v>https://www.youtube.com/watch?v=N7T1eLQCWn8</v>
      </c>
      <c r="O1714">
        <v>0</v>
      </c>
      <c r="P1714">
        <v>0</v>
      </c>
      <c r="Q1714">
        <v>0</v>
      </c>
      <c r="S1714">
        <v>0</v>
      </c>
      <c r="T1714">
        <v>0</v>
      </c>
      <c r="U1714">
        <v>0</v>
      </c>
      <c r="W1714" t="s">
        <v>106</v>
      </c>
    </row>
    <row r="1715" spans="1:42" x14ac:dyDescent="0.35">
      <c r="A1715" t="s">
        <v>45</v>
      </c>
      <c r="B1715" t="s">
        <v>3824</v>
      </c>
      <c r="C1715" t="s">
        <v>47</v>
      </c>
      <c r="D1715" t="s">
        <v>3863</v>
      </c>
      <c r="E1715" t="s">
        <v>3863</v>
      </c>
      <c r="F1715" t="s">
        <v>49</v>
      </c>
      <c r="G1715" t="s">
        <v>3864</v>
      </c>
      <c r="H1715" t="s">
        <v>3865</v>
      </c>
      <c r="J1715" t="str">
        <f>HYPERLINK("https://www.facebook.com/454965103328545/posts/771881191636933?comment_id=1455606361971137","https://www.facebook.com/454965103328545/posts/771881191636933?comment_id=1455606361971137")</f>
        <v>https://www.facebook.com/454965103328545/posts/771881191636933?comment_id=1455606361971137</v>
      </c>
      <c r="O1715">
        <v>0</v>
      </c>
      <c r="P1715">
        <v>0</v>
      </c>
      <c r="Q1715">
        <v>0</v>
      </c>
      <c r="S1715">
        <v>0</v>
      </c>
      <c r="T1715">
        <v>0</v>
      </c>
      <c r="U1715">
        <v>0</v>
      </c>
      <c r="W1715" t="s">
        <v>62</v>
      </c>
      <c r="AP1715" t="s">
        <v>94</v>
      </c>
    </row>
    <row r="1716" spans="1:42" x14ac:dyDescent="0.35">
      <c r="A1716" t="s">
        <v>45</v>
      </c>
      <c r="B1716" t="s">
        <v>3824</v>
      </c>
      <c r="C1716" t="s">
        <v>63</v>
      </c>
      <c r="D1716" t="s">
        <v>3866</v>
      </c>
      <c r="E1716" t="s">
        <v>3866</v>
      </c>
      <c r="F1716" t="s">
        <v>49</v>
      </c>
      <c r="G1716" t="s">
        <v>866</v>
      </c>
      <c r="H1716" t="s">
        <v>3867</v>
      </c>
      <c r="J1716" t="str">
        <f>HYPERLINK("https://www.instagram.com/p/C3VES0FgrdQ/","https://www.instagram.com/p/C3VES0FgrdQ/")</f>
        <v>https://www.instagram.com/p/C3VES0FgrdQ/</v>
      </c>
      <c r="O1716">
        <v>0</v>
      </c>
      <c r="P1716">
        <v>0</v>
      </c>
      <c r="Q1716">
        <v>0</v>
      </c>
      <c r="S1716">
        <v>0</v>
      </c>
      <c r="T1716">
        <v>0</v>
      </c>
      <c r="U1716">
        <v>0</v>
      </c>
      <c r="W1716" t="s">
        <v>62</v>
      </c>
    </row>
    <row r="1717" spans="1:42" x14ac:dyDescent="0.35">
      <c r="A1717" t="s">
        <v>45</v>
      </c>
      <c r="B1717" t="s">
        <v>3824</v>
      </c>
      <c r="C1717" t="s">
        <v>63</v>
      </c>
      <c r="D1717" t="s">
        <v>3866</v>
      </c>
      <c r="E1717" t="s">
        <v>3866</v>
      </c>
      <c r="F1717" t="s">
        <v>49</v>
      </c>
      <c r="G1717" t="s">
        <v>860</v>
      </c>
      <c r="H1717" t="s">
        <v>3868</v>
      </c>
      <c r="J1717" t="str">
        <f>HYPERLINK("https://www.instagram.com/p/C3VES0FgrdQ/","https://www.instagram.com/p/C3VES0FgrdQ/")</f>
        <v>https://www.instagram.com/p/C3VES0FgrdQ/</v>
      </c>
      <c r="O1717">
        <v>0</v>
      </c>
      <c r="P1717">
        <v>0</v>
      </c>
      <c r="Q1717">
        <v>0</v>
      </c>
      <c r="S1717">
        <v>0</v>
      </c>
      <c r="T1717">
        <v>0</v>
      </c>
      <c r="U1717">
        <v>0</v>
      </c>
      <c r="W1717" t="s">
        <v>62</v>
      </c>
    </row>
    <row r="1718" spans="1:42" x14ac:dyDescent="0.35">
      <c r="A1718" t="s">
        <v>45</v>
      </c>
      <c r="B1718" t="s">
        <v>3824</v>
      </c>
      <c r="C1718" t="s">
        <v>58</v>
      </c>
      <c r="D1718" t="s">
        <v>3869</v>
      </c>
      <c r="E1718" t="s">
        <v>3869</v>
      </c>
      <c r="F1718" t="s">
        <v>49</v>
      </c>
      <c r="G1718" t="s">
        <v>3870</v>
      </c>
      <c r="H1718" t="s">
        <v>3871</v>
      </c>
      <c r="J1718" t="str">
        <f>HYPERLINK("https://www.youtube.com/watch?v=YCjojUmqoz4","https://www.youtube.com/watch?v=YCjojUmqoz4")</f>
        <v>https://www.youtube.com/watch?v=YCjojUmqoz4</v>
      </c>
      <c r="O1718">
        <v>0</v>
      </c>
      <c r="P1718">
        <v>0</v>
      </c>
      <c r="Q1718">
        <v>0</v>
      </c>
      <c r="S1718">
        <v>0</v>
      </c>
      <c r="T1718">
        <v>0</v>
      </c>
      <c r="U1718">
        <v>0</v>
      </c>
      <c r="W1718" t="s">
        <v>106</v>
      </c>
    </row>
    <row r="1719" spans="1:42" x14ac:dyDescent="0.35">
      <c r="A1719" t="s">
        <v>45</v>
      </c>
      <c r="B1719" t="s">
        <v>3824</v>
      </c>
      <c r="C1719" t="s">
        <v>58</v>
      </c>
      <c r="D1719" t="s">
        <v>3256</v>
      </c>
      <c r="E1719" t="s">
        <v>3256</v>
      </c>
      <c r="F1719" t="s">
        <v>142</v>
      </c>
      <c r="G1719" t="s">
        <v>3872</v>
      </c>
      <c r="H1719" t="s">
        <v>3873</v>
      </c>
      <c r="J1719" t="str">
        <f>HYPERLINK("https://www.youtube.com/watch?v=JUY_UfBkqEY","https://www.youtube.com/watch?v=JUY_UfBkqEY")</f>
        <v>https://www.youtube.com/watch?v=JUY_UfBkqEY</v>
      </c>
      <c r="O1719">
        <v>0</v>
      </c>
      <c r="P1719">
        <v>0</v>
      </c>
      <c r="Q1719">
        <v>0</v>
      </c>
      <c r="S1719">
        <v>0</v>
      </c>
      <c r="T1719">
        <v>0</v>
      </c>
      <c r="U1719">
        <v>0</v>
      </c>
      <c r="W1719" t="s">
        <v>106</v>
      </c>
    </row>
    <row r="1720" spans="1:42" x14ac:dyDescent="0.35">
      <c r="A1720" t="s">
        <v>45</v>
      </c>
      <c r="B1720" t="s">
        <v>3824</v>
      </c>
      <c r="C1720" t="s">
        <v>139</v>
      </c>
      <c r="D1720" t="s">
        <v>3805</v>
      </c>
      <c r="E1720" t="s">
        <v>3806</v>
      </c>
      <c r="F1720" t="s">
        <v>49</v>
      </c>
      <c r="G1720" t="s">
        <v>3874</v>
      </c>
      <c r="H1720" t="s">
        <v>3875</v>
      </c>
      <c r="J1720" t="str">
        <f>HYPERLINK("https://twitter.com/manoj72467/status/1763910490227712287","https://twitter.com/manoj72467/status/1763910490227712287")</f>
        <v>https://twitter.com/manoj72467/status/1763910490227712287</v>
      </c>
      <c r="K1720" t="s">
        <v>145</v>
      </c>
      <c r="O1720">
        <v>0</v>
      </c>
      <c r="P1720">
        <v>0</v>
      </c>
      <c r="Q1720">
        <v>0</v>
      </c>
      <c r="S1720">
        <v>0</v>
      </c>
      <c r="T1720">
        <v>0</v>
      </c>
      <c r="U1720">
        <v>0</v>
      </c>
      <c r="W1720" t="s">
        <v>146</v>
      </c>
    </row>
    <row r="1721" spans="1:42" x14ac:dyDescent="0.35">
      <c r="A1721" t="s">
        <v>45</v>
      </c>
      <c r="B1721" t="s">
        <v>3824</v>
      </c>
      <c r="C1721" t="s">
        <v>58</v>
      </c>
      <c r="D1721" t="s">
        <v>3256</v>
      </c>
      <c r="E1721" t="s">
        <v>3256</v>
      </c>
      <c r="F1721" t="s">
        <v>49</v>
      </c>
      <c r="G1721" t="s">
        <v>3876</v>
      </c>
      <c r="H1721" t="s">
        <v>3877</v>
      </c>
      <c r="J1721" t="str">
        <f>HYPERLINK("https://www.youtube.com/watch?v=yXd0BLIdNgQ","https://www.youtube.com/watch?v=yXd0BLIdNgQ")</f>
        <v>https://www.youtube.com/watch?v=yXd0BLIdNgQ</v>
      </c>
      <c r="O1721">
        <v>0</v>
      </c>
      <c r="P1721">
        <v>0</v>
      </c>
      <c r="Q1721">
        <v>0</v>
      </c>
      <c r="S1721">
        <v>0</v>
      </c>
      <c r="T1721">
        <v>0</v>
      </c>
      <c r="U1721">
        <v>0</v>
      </c>
      <c r="W1721" t="s">
        <v>106</v>
      </c>
    </row>
    <row r="1722" spans="1:42" x14ac:dyDescent="0.35">
      <c r="A1722" t="s">
        <v>45</v>
      </c>
      <c r="B1722" t="s">
        <v>3824</v>
      </c>
      <c r="C1722" t="s">
        <v>139</v>
      </c>
      <c r="D1722" t="s">
        <v>3805</v>
      </c>
      <c r="E1722" t="s">
        <v>3806</v>
      </c>
      <c r="F1722" t="s">
        <v>142</v>
      </c>
      <c r="G1722" t="s">
        <v>3878</v>
      </c>
      <c r="H1722" t="s">
        <v>3879</v>
      </c>
      <c r="J1722" t="str">
        <f>HYPERLINK("https://twitter.com/manoj72467/status/1763909044216250853","https://twitter.com/manoj72467/status/1763909044216250853")</f>
        <v>https://twitter.com/manoj72467/status/1763909044216250853</v>
      </c>
      <c r="K1722" t="s">
        <v>145</v>
      </c>
      <c r="O1722">
        <v>0</v>
      </c>
      <c r="P1722">
        <v>0</v>
      </c>
      <c r="Q1722">
        <v>0</v>
      </c>
      <c r="S1722">
        <v>0</v>
      </c>
      <c r="T1722">
        <v>0</v>
      </c>
      <c r="U1722">
        <v>0</v>
      </c>
      <c r="W1722" t="s">
        <v>146</v>
      </c>
    </row>
    <row r="1723" spans="1:42" x14ac:dyDescent="0.35">
      <c r="A1723" t="s">
        <v>45</v>
      </c>
      <c r="B1723" t="s">
        <v>3824</v>
      </c>
      <c r="C1723" t="s">
        <v>58</v>
      </c>
      <c r="D1723" t="s">
        <v>3112</v>
      </c>
      <c r="E1723" t="s">
        <v>3112</v>
      </c>
      <c r="F1723" t="s">
        <v>49</v>
      </c>
      <c r="G1723" t="s">
        <v>3880</v>
      </c>
      <c r="H1723" t="s">
        <v>3881</v>
      </c>
      <c r="J1723" t="str">
        <f>HYPERLINK("https://www.youtube.com/watch?v=c_Znr46xg0g","https://www.youtube.com/watch?v=c_Znr46xg0g")</f>
        <v>https://www.youtube.com/watch?v=c_Znr46xg0g</v>
      </c>
      <c r="O1723">
        <v>0</v>
      </c>
      <c r="P1723">
        <v>0</v>
      </c>
      <c r="Q1723">
        <v>0</v>
      </c>
      <c r="S1723">
        <v>0</v>
      </c>
      <c r="T1723">
        <v>0</v>
      </c>
      <c r="U1723">
        <v>0</v>
      </c>
      <c r="W1723" t="s">
        <v>106</v>
      </c>
      <c r="AP1723" t="s">
        <v>101</v>
      </c>
    </row>
    <row r="1724" spans="1:42" x14ac:dyDescent="0.35">
      <c r="A1724" t="s">
        <v>45</v>
      </c>
      <c r="B1724" t="s">
        <v>3824</v>
      </c>
      <c r="C1724" t="s">
        <v>47</v>
      </c>
      <c r="D1724" t="s">
        <v>3882</v>
      </c>
      <c r="E1724" t="s">
        <v>3882</v>
      </c>
      <c r="F1724" t="s">
        <v>49</v>
      </c>
      <c r="G1724" t="s">
        <v>3883</v>
      </c>
      <c r="H1724" t="s">
        <v>3884</v>
      </c>
      <c r="J1724" t="str">
        <f>HYPERLINK("https://www.facebook.com/357267201017935/inbox/7103624829715438/","https://www.facebook.com/357267201017935/inbox/7103624829715438/")</f>
        <v>https://www.facebook.com/357267201017935/inbox/7103624829715438/</v>
      </c>
      <c r="O1724">
        <v>0</v>
      </c>
      <c r="P1724">
        <v>0</v>
      </c>
      <c r="Q1724">
        <v>0</v>
      </c>
      <c r="S1724">
        <v>0</v>
      </c>
      <c r="T1724">
        <v>0</v>
      </c>
      <c r="U1724">
        <v>0</v>
      </c>
      <c r="W1724" t="s">
        <v>52</v>
      </c>
    </row>
    <row r="1725" spans="1:42" x14ac:dyDescent="0.35">
      <c r="A1725" t="s">
        <v>45</v>
      </c>
      <c r="B1725" t="s">
        <v>3824</v>
      </c>
      <c r="C1725" t="s">
        <v>47</v>
      </c>
      <c r="D1725" t="s">
        <v>3885</v>
      </c>
      <c r="E1725" t="s">
        <v>3885</v>
      </c>
      <c r="F1725" t="s">
        <v>49</v>
      </c>
      <c r="G1725" t="s">
        <v>3886</v>
      </c>
      <c r="H1725" t="s">
        <v>3887</v>
      </c>
      <c r="J1725" t="str">
        <f>HYPERLINK("https://www.facebook.com/357267201017935/inbox/7109837852427469/","https://www.facebook.com/357267201017935/inbox/7109837852427469/")</f>
        <v>https://www.facebook.com/357267201017935/inbox/7109837852427469/</v>
      </c>
      <c r="O1725">
        <v>0</v>
      </c>
      <c r="P1725">
        <v>0</v>
      </c>
      <c r="Q1725">
        <v>0</v>
      </c>
      <c r="S1725">
        <v>0</v>
      </c>
      <c r="T1725">
        <v>0</v>
      </c>
      <c r="U1725">
        <v>0</v>
      </c>
      <c r="W1725" t="s">
        <v>52</v>
      </c>
    </row>
    <row r="1726" spans="1:42" x14ac:dyDescent="0.35">
      <c r="A1726" t="s">
        <v>45</v>
      </c>
      <c r="B1726" t="s">
        <v>3824</v>
      </c>
      <c r="C1726" t="s">
        <v>47</v>
      </c>
      <c r="D1726" t="s">
        <v>3885</v>
      </c>
      <c r="E1726" t="s">
        <v>3885</v>
      </c>
      <c r="F1726" t="s">
        <v>49</v>
      </c>
      <c r="G1726" t="s">
        <v>50</v>
      </c>
      <c r="H1726" t="s">
        <v>3888</v>
      </c>
      <c r="J1726" t="str">
        <f>HYPERLINK("https://www.facebook.com/357267201017935/inbox/7109837852427469/","https://www.facebook.com/357267201017935/inbox/7109837852427469/")</f>
        <v>https://www.facebook.com/357267201017935/inbox/7109837852427469/</v>
      </c>
      <c r="O1726">
        <v>0</v>
      </c>
      <c r="P1726">
        <v>0</v>
      </c>
      <c r="Q1726">
        <v>0</v>
      </c>
      <c r="S1726">
        <v>0</v>
      </c>
      <c r="T1726">
        <v>0</v>
      </c>
      <c r="U1726">
        <v>0</v>
      </c>
      <c r="W1726" t="s">
        <v>52</v>
      </c>
    </row>
    <row r="1727" spans="1:42" x14ac:dyDescent="0.35">
      <c r="A1727" t="s">
        <v>45</v>
      </c>
      <c r="B1727" t="s">
        <v>3824</v>
      </c>
      <c r="C1727" t="s">
        <v>58</v>
      </c>
      <c r="D1727" t="s">
        <v>3889</v>
      </c>
      <c r="E1727" t="s">
        <v>3889</v>
      </c>
      <c r="F1727" t="s">
        <v>49</v>
      </c>
      <c r="G1727" t="s">
        <v>3890</v>
      </c>
      <c r="H1727" t="s">
        <v>3891</v>
      </c>
      <c r="J1727" t="str">
        <f>HYPERLINK("https://www.youtube.com/watch?v=MzVrQmbY1n8","https://www.youtube.com/watch?v=MzVrQmbY1n8")</f>
        <v>https://www.youtube.com/watch?v=MzVrQmbY1n8</v>
      </c>
      <c r="O1727">
        <v>0</v>
      </c>
      <c r="P1727">
        <v>0</v>
      </c>
      <c r="Q1727">
        <v>0</v>
      </c>
      <c r="S1727">
        <v>0</v>
      </c>
      <c r="T1727">
        <v>0</v>
      </c>
      <c r="U1727">
        <v>0</v>
      </c>
      <c r="W1727" t="s">
        <v>106</v>
      </c>
      <c r="AO1727" t="s">
        <v>67</v>
      </c>
    </row>
    <row r="1728" spans="1:42" x14ac:dyDescent="0.35">
      <c r="A1728" t="s">
        <v>45</v>
      </c>
      <c r="B1728" t="s">
        <v>3824</v>
      </c>
      <c r="C1728" t="s">
        <v>47</v>
      </c>
      <c r="D1728" t="s">
        <v>3892</v>
      </c>
      <c r="E1728" t="s">
        <v>3892</v>
      </c>
      <c r="F1728" t="s">
        <v>49</v>
      </c>
      <c r="G1728" t="s">
        <v>3893</v>
      </c>
      <c r="H1728" t="s">
        <v>3894</v>
      </c>
      <c r="J1728" t="str">
        <f>HYPERLINK("https://www.facebook.com/357267201017935/inbox/7109813892429865/","https://www.facebook.com/357267201017935/inbox/7109813892429865/")</f>
        <v>https://www.facebook.com/357267201017935/inbox/7109813892429865/</v>
      </c>
      <c r="O1728">
        <v>0</v>
      </c>
      <c r="P1728">
        <v>0</v>
      </c>
      <c r="Q1728">
        <v>0</v>
      </c>
      <c r="S1728">
        <v>0</v>
      </c>
      <c r="T1728">
        <v>0</v>
      </c>
      <c r="U1728">
        <v>0</v>
      </c>
      <c r="W1728" t="s">
        <v>52</v>
      </c>
    </row>
    <row r="1729" spans="1:42" x14ac:dyDescent="0.35">
      <c r="A1729" t="s">
        <v>45</v>
      </c>
      <c r="B1729" t="s">
        <v>3824</v>
      </c>
      <c r="C1729" t="s">
        <v>47</v>
      </c>
      <c r="D1729" t="s">
        <v>1954</v>
      </c>
      <c r="E1729" t="s">
        <v>1954</v>
      </c>
      <c r="F1729" t="s">
        <v>49</v>
      </c>
      <c r="G1729" t="s">
        <v>3895</v>
      </c>
      <c r="H1729" t="s">
        <v>3896</v>
      </c>
      <c r="J1729" t="str">
        <f>HYPERLINK("https://www.facebook.com/454965103328545/posts/780222857469433?comment_id=945699356903424&amp;reply_comment_id=911702393748596","https://www.facebook.com/454965103328545/posts/780222857469433?comment_id=945699356903424&amp;reply_comment_id=911702393748596")</f>
        <v>https://www.facebook.com/454965103328545/posts/780222857469433?comment_id=945699356903424&amp;reply_comment_id=911702393748596</v>
      </c>
      <c r="O1729">
        <v>0</v>
      </c>
      <c r="P1729">
        <v>0</v>
      </c>
      <c r="Q1729">
        <v>0</v>
      </c>
      <c r="S1729">
        <v>0</v>
      </c>
      <c r="T1729">
        <v>0</v>
      </c>
      <c r="U1729">
        <v>0</v>
      </c>
      <c r="W1729" t="s">
        <v>62</v>
      </c>
    </row>
    <row r="1730" spans="1:42" x14ac:dyDescent="0.35">
      <c r="A1730" t="s">
        <v>45</v>
      </c>
      <c r="B1730" t="s">
        <v>3824</v>
      </c>
      <c r="C1730" t="s">
        <v>47</v>
      </c>
      <c r="D1730" t="s">
        <v>1954</v>
      </c>
      <c r="E1730" t="s">
        <v>1954</v>
      </c>
      <c r="F1730" t="s">
        <v>49</v>
      </c>
      <c r="G1730" t="s">
        <v>3897</v>
      </c>
      <c r="H1730" t="s">
        <v>3898</v>
      </c>
      <c r="J1730" t="str">
        <f>HYPERLINK("https://www.facebook.com/454965103328545/posts/773139534844432?comment_id=409898861779136&amp;reply_comment_id=1083167502763456","https://www.facebook.com/454965103328545/posts/773139534844432?comment_id=409898861779136&amp;reply_comment_id=1083167502763456")</f>
        <v>https://www.facebook.com/454965103328545/posts/773139534844432?comment_id=409898861779136&amp;reply_comment_id=1083167502763456</v>
      </c>
      <c r="O1730">
        <v>0</v>
      </c>
      <c r="P1730">
        <v>0</v>
      </c>
      <c r="Q1730">
        <v>0</v>
      </c>
      <c r="S1730">
        <v>0</v>
      </c>
      <c r="T1730">
        <v>0</v>
      </c>
      <c r="U1730">
        <v>0</v>
      </c>
      <c r="W1730" t="s">
        <v>62</v>
      </c>
    </row>
    <row r="1731" spans="1:42" x14ac:dyDescent="0.35">
      <c r="A1731" t="s">
        <v>45</v>
      </c>
      <c r="B1731" t="s">
        <v>3824</v>
      </c>
      <c r="C1731" t="s">
        <v>47</v>
      </c>
      <c r="D1731" t="s">
        <v>3899</v>
      </c>
      <c r="E1731" t="s">
        <v>3899</v>
      </c>
      <c r="F1731" t="s">
        <v>49</v>
      </c>
      <c r="G1731" t="s">
        <v>3900</v>
      </c>
      <c r="H1731" t="s">
        <v>3901</v>
      </c>
      <c r="J1731" t="str">
        <f>HYPERLINK("https://www.facebook.com/454965103328545/posts/780754084082977?comment_id=920653286267260&amp;reply_comment_id=285532421050673","https://www.facebook.com/454965103328545/posts/780754084082977?comment_id=920653286267260&amp;reply_comment_id=285532421050673")</f>
        <v>https://www.facebook.com/454965103328545/posts/780754084082977?comment_id=920653286267260&amp;reply_comment_id=285532421050673</v>
      </c>
      <c r="O1731">
        <v>0</v>
      </c>
      <c r="P1731">
        <v>0</v>
      </c>
      <c r="Q1731">
        <v>0</v>
      </c>
      <c r="S1731">
        <v>0</v>
      </c>
      <c r="T1731">
        <v>0</v>
      </c>
      <c r="U1731">
        <v>0</v>
      </c>
      <c r="W1731" t="s">
        <v>62</v>
      </c>
    </row>
    <row r="1732" spans="1:42" x14ac:dyDescent="0.35">
      <c r="A1732" t="s">
        <v>45</v>
      </c>
      <c r="B1732" t="s">
        <v>3824</v>
      </c>
      <c r="C1732" t="s">
        <v>47</v>
      </c>
      <c r="D1732" t="s">
        <v>3899</v>
      </c>
      <c r="E1732" t="s">
        <v>3899</v>
      </c>
      <c r="F1732" t="s">
        <v>49</v>
      </c>
      <c r="G1732" t="s">
        <v>3902</v>
      </c>
      <c r="H1732" t="s">
        <v>3903</v>
      </c>
      <c r="J1732" t="str">
        <f>HYPERLINK("https://www.facebook.com/454965103328545/posts/780754084082977?comment_id=705864694769351&amp;reply_comment_id=342272668143209","https://www.facebook.com/454965103328545/posts/780754084082977?comment_id=705864694769351&amp;reply_comment_id=342272668143209")</f>
        <v>https://www.facebook.com/454965103328545/posts/780754084082977?comment_id=705864694769351&amp;reply_comment_id=342272668143209</v>
      </c>
      <c r="O1732">
        <v>0</v>
      </c>
      <c r="P1732">
        <v>0</v>
      </c>
      <c r="Q1732">
        <v>0</v>
      </c>
      <c r="S1732">
        <v>0</v>
      </c>
      <c r="T1732">
        <v>0</v>
      </c>
      <c r="U1732">
        <v>0</v>
      </c>
      <c r="W1732" t="s">
        <v>62</v>
      </c>
    </row>
    <row r="1733" spans="1:42" x14ac:dyDescent="0.35">
      <c r="A1733" t="s">
        <v>45</v>
      </c>
      <c r="B1733" t="s">
        <v>3824</v>
      </c>
      <c r="C1733" t="s">
        <v>63</v>
      </c>
      <c r="D1733" t="s">
        <v>3904</v>
      </c>
      <c r="E1733" t="s">
        <v>3904</v>
      </c>
      <c r="F1733" t="s">
        <v>49</v>
      </c>
      <c r="G1733" t="s">
        <v>3905</v>
      </c>
      <c r="H1733" t="s">
        <v>3906</v>
      </c>
      <c r="J1733" t="str">
        <f>HYPERLINK("https://www.instagram.com/p/C32Wxgyh-8B/","https://www.instagram.com/p/C32Wxgyh-8B/")</f>
        <v>https://www.instagram.com/p/C32Wxgyh-8B/</v>
      </c>
      <c r="O1733">
        <v>0</v>
      </c>
      <c r="P1733">
        <v>0</v>
      </c>
      <c r="Q1733">
        <v>0</v>
      </c>
      <c r="S1733">
        <v>0</v>
      </c>
      <c r="T1733">
        <v>0</v>
      </c>
      <c r="U1733">
        <v>0</v>
      </c>
      <c r="W1733" t="s">
        <v>62</v>
      </c>
    </row>
    <row r="1734" spans="1:42" x14ac:dyDescent="0.35">
      <c r="A1734" t="s">
        <v>45</v>
      </c>
      <c r="B1734" t="s">
        <v>3824</v>
      </c>
      <c r="C1734" t="s">
        <v>47</v>
      </c>
      <c r="D1734" t="s">
        <v>3587</v>
      </c>
      <c r="E1734" t="s">
        <v>3587</v>
      </c>
      <c r="F1734" t="s">
        <v>49</v>
      </c>
      <c r="G1734" t="s">
        <v>3851</v>
      </c>
      <c r="H1734" t="s">
        <v>3907</v>
      </c>
      <c r="J1734" t="str">
        <f>HYPERLINK("https://www.facebook.com/357267201017935/inbox/7097546976989890/","https://www.facebook.com/357267201017935/inbox/7097546976989890/")</f>
        <v>https://www.facebook.com/357267201017935/inbox/7097546976989890/</v>
      </c>
      <c r="O1734">
        <v>0</v>
      </c>
      <c r="P1734">
        <v>0</v>
      </c>
      <c r="Q1734">
        <v>0</v>
      </c>
      <c r="S1734">
        <v>0</v>
      </c>
      <c r="T1734">
        <v>0</v>
      </c>
      <c r="U1734">
        <v>0</v>
      </c>
      <c r="W1734" t="s">
        <v>52</v>
      </c>
    </row>
    <row r="1735" spans="1:42" x14ac:dyDescent="0.35">
      <c r="A1735" t="s">
        <v>45</v>
      </c>
      <c r="B1735" t="s">
        <v>3824</v>
      </c>
      <c r="C1735" t="s">
        <v>47</v>
      </c>
      <c r="D1735" t="s">
        <v>3587</v>
      </c>
      <c r="E1735" t="s">
        <v>3587</v>
      </c>
      <c r="F1735" t="s">
        <v>49</v>
      </c>
      <c r="G1735" t="s">
        <v>3908</v>
      </c>
      <c r="H1735" t="s">
        <v>3909</v>
      </c>
      <c r="J1735" t="str">
        <f>HYPERLINK("https://www.facebook.com/357267201017935/inbox/7097546976989890/","https://www.facebook.com/357267201017935/inbox/7097546976989890/")</f>
        <v>https://www.facebook.com/357267201017935/inbox/7097546976989890/</v>
      </c>
      <c r="O1735">
        <v>0</v>
      </c>
      <c r="P1735">
        <v>0</v>
      </c>
      <c r="Q1735">
        <v>0</v>
      </c>
      <c r="S1735">
        <v>0</v>
      </c>
      <c r="T1735">
        <v>0</v>
      </c>
      <c r="U1735">
        <v>0</v>
      </c>
      <c r="W1735" t="s">
        <v>52</v>
      </c>
      <c r="AP1735" t="s">
        <v>147</v>
      </c>
    </row>
    <row r="1736" spans="1:42" x14ac:dyDescent="0.35">
      <c r="A1736" t="s">
        <v>45</v>
      </c>
      <c r="B1736" t="s">
        <v>3824</v>
      </c>
      <c r="C1736" t="s">
        <v>47</v>
      </c>
      <c r="D1736" t="s">
        <v>3587</v>
      </c>
      <c r="E1736" t="s">
        <v>3587</v>
      </c>
      <c r="F1736" t="s">
        <v>49</v>
      </c>
      <c r="G1736" t="s">
        <v>3910</v>
      </c>
      <c r="H1736" t="s">
        <v>3911</v>
      </c>
      <c r="J1736" t="str">
        <f>HYPERLINK("https://www.facebook.com/357267201017935/inbox/7097546976989890/","https://www.facebook.com/357267201017935/inbox/7097546976989890/")</f>
        <v>https://www.facebook.com/357267201017935/inbox/7097546976989890/</v>
      </c>
      <c r="O1736">
        <v>0</v>
      </c>
      <c r="P1736">
        <v>0</v>
      </c>
      <c r="Q1736">
        <v>0</v>
      </c>
      <c r="S1736">
        <v>0</v>
      </c>
      <c r="T1736">
        <v>0</v>
      </c>
      <c r="U1736">
        <v>0</v>
      </c>
      <c r="W1736" t="s">
        <v>52</v>
      </c>
    </row>
    <row r="1737" spans="1:42" x14ac:dyDescent="0.35">
      <c r="A1737" t="s">
        <v>45</v>
      </c>
      <c r="B1737" t="s">
        <v>3824</v>
      </c>
      <c r="C1737" t="s">
        <v>47</v>
      </c>
      <c r="D1737" t="s">
        <v>3912</v>
      </c>
      <c r="E1737" t="s">
        <v>3912</v>
      </c>
      <c r="F1737" t="s">
        <v>49</v>
      </c>
      <c r="G1737" t="s">
        <v>1235</v>
      </c>
      <c r="H1737" t="s">
        <v>3913</v>
      </c>
      <c r="J1737" t="str">
        <f>HYPERLINK("https://www.facebook.com/454965103328545/posts/780754084082977?comment_id=920653286267260","https://www.facebook.com/454965103328545/posts/780754084082977?comment_id=920653286267260")</f>
        <v>https://www.facebook.com/454965103328545/posts/780754084082977?comment_id=920653286267260</v>
      </c>
      <c r="O1737">
        <v>0</v>
      </c>
      <c r="P1737">
        <v>0</v>
      </c>
      <c r="Q1737">
        <v>0</v>
      </c>
      <c r="S1737">
        <v>0</v>
      </c>
      <c r="T1737">
        <v>0</v>
      </c>
      <c r="U1737">
        <v>0</v>
      </c>
      <c r="W1737" t="s">
        <v>62</v>
      </c>
    </row>
    <row r="1738" spans="1:42" x14ac:dyDescent="0.35">
      <c r="A1738" t="s">
        <v>45</v>
      </c>
      <c r="B1738" t="s">
        <v>3824</v>
      </c>
      <c r="C1738" t="s">
        <v>47</v>
      </c>
      <c r="D1738" t="s">
        <v>3587</v>
      </c>
      <c r="E1738" t="s">
        <v>3587</v>
      </c>
      <c r="F1738" t="s">
        <v>49</v>
      </c>
      <c r="G1738" t="s">
        <v>3914</v>
      </c>
      <c r="H1738" t="s">
        <v>3915</v>
      </c>
      <c r="J1738" t="str">
        <f>HYPERLINK("https://www.facebook.com/357267201017935/inbox/7097546976989890/","https://www.facebook.com/357267201017935/inbox/7097546976989890/")</f>
        <v>https://www.facebook.com/357267201017935/inbox/7097546976989890/</v>
      </c>
      <c r="O1738">
        <v>0</v>
      </c>
      <c r="P1738">
        <v>0</v>
      </c>
      <c r="Q1738">
        <v>0</v>
      </c>
      <c r="S1738">
        <v>0</v>
      </c>
      <c r="T1738">
        <v>0</v>
      </c>
      <c r="U1738">
        <v>0</v>
      </c>
      <c r="W1738" t="s">
        <v>52</v>
      </c>
    </row>
    <row r="1739" spans="1:42" x14ac:dyDescent="0.35">
      <c r="A1739" t="s">
        <v>45</v>
      </c>
      <c r="B1739" t="s">
        <v>3824</v>
      </c>
      <c r="C1739" t="s">
        <v>47</v>
      </c>
      <c r="D1739" t="s">
        <v>3587</v>
      </c>
      <c r="E1739" t="s">
        <v>3587</v>
      </c>
      <c r="F1739" t="s">
        <v>49</v>
      </c>
      <c r="G1739" t="s">
        <v>3916</v>
      </c>
      <c r="H1739" t="s">
        <v>3917</v>
      </c>
      <c r="J1739" t="str">
        <f>HYPERLINK("https://www.facebook.com/357267201017935/inbox/7097546976989890/","https://www.facebook.com/357267201017935/inbox/7097546976989890/")</f>
        <v>https://www.facebook.com/357267201017935/inbox/7097546976989890/</v>
      </c>
      <c r="O1739">
        <v>0</v>
      </c>
      <c r="P1739">
        <v>0</v>
      </c>
      <c r="Q1739">
        <v>0</v>
      </c>
      <c r="S1739">
        <v>0</v>
      </c>
      <c r="T1739">
        <v>0</v>
      </c>
      <c r="U1739">
        <v>0</v>
      </c>
      <c r="W1739" t="s">
        <v>52</v>
      </c>
    </row>
    <row r="1740" spans="1:42" x14ac:dyDescent="0.35">
      <c r="A1740" t="s">
        <v>45</v>
      </c>
      <c r="B1740" t="s">
        <v>3824</v>
      </c>
      <c r="C1740" t="s">
        <v>47</v>
      </c>
      <c r="D1740" t="s">
        <v>3918</v>
      </c>
      <c r="E1740" t="s">
        <v>3918</v>
      </c>
      <c r="F1740" t="s">
        <v>49</v>
      </c>
      <c r="G1740" t="s">
        <v>3919</v>
      </c>
      <c r="H1740" t="s">
        <v>3920</v>
      </c>
      <c r="J1740" t="str">
        <f>HYPERLINK("https://www.facebook.com/454965103328545/posts/780222857469433?comment_id=384446184213875","https://www.facebook.com/454965103328545/posts/780222857469433?comment_id=384446184213875")</f>
        <v>https://www.facebook.com/454965103328545/posts/780222857469433?comment_id=384446184213875</v>
      </c>
      <c r="O1740">
        <v>0</v>
      </c>
      <c r="P1740">
        <v>0</v>
      </c>
      <c r="Q1740">
        <v>0</v>
      </c>
      <c r="S1740">
        <v>0</v>
      </c>
      <c r="T1740">
        <v>0</v>
      </c>
      <c r="U1740">
        <v>0</v>
      </c>
      <c r="W1740" t="s">
        <v>62</v>
      </c>
    </row>
    <row r="1741" spans="1:42" x14ac:dyDescent="0.35">
      <c r="A1741" t="s">
        <v>45</v>
      </c>
      <c r="B1741" t="s">
        <v>3824</v>
      </c>
      <c r="C1741" t="s">
        <v>58</v>
      </c>
      <c r="D1741" t="s">
        <v>3921</v>
      </c>
      <c r="E1741" t="s">
        <v>3921</v>
      </c>
      <c r="F1741" t="s">
        <v>49</v>
      </c>
      <c r="G1741" t="s">
        <v>3922</v>
      </c>
      <c r="H1741" t="s">
        <v>3923</v>
      </c>
      <c r="J1741" t="str">
        <f>HYPERLINK("https://www.youtube.com/watch?v=yE6zegUp7ZY","https://www.youtube.com/watch?v=yE6zegUp7ZY")</f>
        <v>https://www.youtube.com/watch?v=yE6zegUp7ZY</v>
      </c>
      <c r="O1741">
        <v>0</v>
      </c>
      <c r="P1741">
        <v>0</v>
      </c>
      <c r="Q1741">
        <v>0</v>
      </c>
      <c r="S1741">
        <v>0</v>
      </c>
      <c r="T1741">
        <v>0</v>
      </c>
      <c r="U1741">
        <v>0</v>
      </c>
      <c r="W1741" t="s">
        <v>106</v>
      </c>
      <c r="AO1741" t="s">
        <v>119</v>
      </c>
    </row>
    <row r="1742" spans="1:42" x14ac:dyDescent="0.35">
      <c r="A1742" t="s">
        <v>45</v>
      </c>
      <c r="B1742" t="s">
        <v>3824</v>
      </c>
      <c r="C1742" t="s">
        <v>47</v>
      </c>
      <c r="D1742" t="s">
        <v>3899</v>
      </c>
      <c r="E1742" t="s">
        <v>3899</v>
      </c>
      <c r="F1742" t="s">
        <v>49</v>
      </c>
      <c r="G1742" t="s">
        <v>3924</v>
      </c>
      <c r="H1742" t="s">
        <v>3925</v>
      </c>
      <c r="J1742" t="str">
        <f>HYPERLINK("https://www.facebook.com/454965103328545/posts/773139534844432?comment_id=409898861779136&amp;reply_comment_id=1699577643902094","https://www.facebook.com/454965103328545/posts/773139534844432?comment_id=409898861779136&amp;reply_comment_id=1699577643902094")</f>
        <v>https://www.facebook.com/454965103328545/posts/773139534844432?comment_id=409898861779136&amp;reply_comment_id=1699577643902094</v>
      </c>
      <c r="O1742">
        <v>0</v>
      </c>
      <c r="P1742">
        <v>0</v>
      </c>
      <c r="Q1742">
        <v>0</v>
      </c>
      <c r="S1742">
        <v>0</v>
      </c>
      <c r="T1742">
        <v>0</v>
      </c>
      <c r="U1742">
        <v>0</v>
      </c>
      <c r="W1742" t="s">
        <v>62</v>
      </c>
      <c r="AP1742" t="s">
        <v>101</v>
      </c>
    </row>
    <row r="1743" spans="1:42" x14ac:dyDescent="0.35">
      <c r="A1743" t="s">
        <v>45</v>
      </c>
      <c r="B1743" t="s">
        <v>3824</v>
      </c>
      <c r="C1743" t="s">
        <v>139</v>
      </c>
      <c r="D1743" t="s">
        <v>3926</v>
      </c>
      <c r="E1743" t="s">
        <v>3927</v>
      </c>
      <c r="F1743" t="s">
        <v>142</v>
      </c>
      <c r="G1743" t="s">
        <v>3928</v>
      </c>
      <c r="H1743" t="s">
        <v>3929</v>
      </c>
      <c r="J1743" t="str">
        <f>HYPERLINK("https://twitter.com/AmanSingh131917/status/1763852492595753196","https://twitter.com/AmanSingh131917/status/1763852492595753196")</f>
        <v>https://twitter.com/AmanSingh131917/status/1763852492595753196</v>
      </c>
      <c r="K1743" t="s">
        <v>145</v>
      </c>
      <c r="O1743">
        <v>0</v>
      </c>
      <c r="P1743">
        <v>0</v>
      </c>
      <c r="Q1743">
        <v>0</v>
      </c>
      <c r="S1743">
        <v>0</v>
      </c>
      <c r="T1743">
        <v>0</v>
      </c>
      <c r="U1743">
        <v>0</v>
      </c>
      <c r="W1743" t="s">
        <v>146</v>
      </c>
      <c r="AP1743" t="s">
        <v>147</v>
      </c>
    </row>
    <row r="1744" spans="1:42" x14ac:dyDescent="0.35">
      <c r="A1744" t="s">
        <v>45</v>
      </c>
      <c r="B1744" t="s">
        <v>3824</v>
      </c>
      <c r="C1744" t="s">
        <v>47</v>
      </c>
      <c r="D1744" t="s">
        <v>3930</v>
      </c>
      <c r="E1744" t="s">
        <v>3930</v>
      </c>
      <c r="F1744" t="s">
        <v>49</v>
      </c>
      <c r="G1744" t="s">
        <v>3931</v>
      </c>
      <c r="H1744" t="s">
        <v>3932</v>
      </c>
      <c r="J1744" t="str">
        <f>HYPERLINK("https://www.facebook.com/357267201017935/inbox/7109342645810323/","https://www.facebook.com/357267201017935/inbox/7109342645810323/")</f>
        <v>https://www.facebook.com/357267201017935/inbox/7109342645810323/</v>
      </c>
      <c r="O1744">
        <v>0</v>
      </c>
      <c r="P1744">
        <v>0</v>
      </c>
      <c r="Q1744">
        <v>0</v>
      </c>
      <c r="S1744">
        <v>0</v>
      </c>
      <c r="T1744">
        <v>0</v>
      </c>
      <c r="U1744">
        <v>0</v>
      </c>
      <c r="W1744" t="s">
        <v>52</v>
      </c>
    </row>
    <row r="1745" spans="1:42" x14ac:dyDescent="0.35">
      <c r="A1745" t="s">
        <v>45</v>
      </c>
      <c r="B1745" t="s">
        <v>3824</v>
      </c>
      <c r="C1745" t="s">
        <v>63</v>
      </c>
      <c r="D1745" t="s">
        <v>3933</v>
      </c>
      <c r="E1745" t="s">
        <v>3933</v>
      </c>
      <c r="F1745" t="s">
        <v>49</v>
      </c>
      <c r="G1745" t="s">
        <v>3934</v>
      </c>
      <c r="H1745" t="s">
        <v>3935</v>
      </c>
      <c r="J1745" t="str">
        <f>HYPERLINK("https://www.instagram.com/p/C2w6aNLgipi/","https://www.instagram.com/p/C2w6aNLgipi/")</f>
        <v>https://www.instagram.com/p/C2w6aNLgipi/</v>
      </c>
      <c r="O1745">
        <v>0</v>
      </c>
      <c r="P1745">
        <v>0</v>
      </c>
      <c r="Q1745">
        <v>0</v>
      </c>
      <c r="S1745">
        <v>0</v>
      </c>
      <c r="T1745">
        <v>0</v>
      </c>
      <c r="U1745">
        <v>0</v>
      </c>
      <c r="W1745" t="s">
        <v>62</v>
      </c>
    </row>
    <row r="1746" spans="1:42" x14ac:dyDescent="0.35">
      <c r="A1746" t="s">
        <v>45</v>
      </c>
      <c r="B1746" t="s">
        <v>3824</v>
      </c>
      <c r="C1746" t="s">
        <v>58</v>
      </c>
      <c r="D1746" t="s">
        <v>3936</v>
      </c>
      <c r="E1746" t="s">
        <v>3936</v>
      </c>
      <c r="F1746" t="s">
        <v>76</v>
      </c>
      <c r="G1746" t="s">
        <v>3937</v>
      </c>
      <c r="H1746" t="s">
        <v>3938</v>
      </c>
      <c r="J1746" t="str">
        <f>HYPERLINK("https://www.youtube.com/watch?v=lvyScm2ITxg","https://www.youtube.com/watch?v=lvyScm2ITxg")</f>
        <v>https://www.youtube.com/watch?v=lvyScm2ITxg</v>
      </c>
      <c r="O1746">
        <v>0</v>
      </c>
      <c r="P1746">
        <v>0</v>
      </c>
      <c r="Q1746">
        <v>0</v>
      </c>
      <c r="S1746">
        <v>0</v>
      </c>
      <c r="T1746">
        <v>0</v>
      </c>
      <c r="U1746">
        <v>0</v>
      </c>
      <c r="W1746" t="s">
        <v>106</v>
      </c>
    </row>
    <row r="1747" spans="1:42" x14ac:dyDescent="0.35">
      <c r="A1747" t="s">
        <v>45</v>
      </c>
      <c r="B1747" t="s">
        <v>3824</v>
      </c>
      <c r="C1747" t="s">
        <v>47</v>
      </c>
      <c r="D1747" t="s">
        <v>3939</v>
      </c>
      <c r="E1747" t="s">
        <v>3939</v>
      </c>
      <c r="F1747" t="s">
        <v>49</v>
      </c>
      <c r="G1747" t="s">
        <v>253</v>
      </c>
      <c r="H1747" t="s">
        <v>3940</v>
      </c>
      <c r="J1747" t="str">
        <f>HYPERLINK("https://www.facebook.com/357267201017935/inbox/7095663633844891/","https://www.facebook.com/357267201017935/inbox/7095663633844891/")</f>
        <v>https://www.facebook.com/357267201017935/inbox/7095663633844891/</v>
      </c>
      <c r="O1747">
        <v>0</v>
      </c>
      <c r="P1747">
        <v>0</v>
      </c>
      <c r="Q1747">
        <v>0</v>
      </c>
      <c r="S1747">
        <v>0</v>
      </c>
      <c r="T1747">
        <v>0</v>
      </c>
      <c r="U1747">
        <v>0</v>
      </c>
      <c r="W1747" t="s">
        <v>52</v>
      </c>
    </row>
    <row r="1748" spans="1:42" x14ac:dyDescent="0.35">
      <c r="A1748" t="s">
        <v>45</v>
      </c>
      <c r="B1748" t="s">
        <v>3824</v>
      </c>
      <c r="C1748" t="s">
        <v>47</v>
      </c>
      <c r="D1748" t="s">
        <v>3941</v>
      </c>
      <c r="E1748" t="s">
        <v>3941</v>
      </c>
      <c r="F1748" t="s">
        <v>49</v>
      </c>
      <c r="G1748" t="s">
        <v>3942</v>
      </c>
      <c r="H1748" t="s">
        <v>3943</v>
      </c>
      <c r="J1748" t="str">
        <f>HYPERLINK("https://www.facebook.com/454965103328545/posts/780222857469433?comment_id=945699356903424&amp;reply_comment_id=1134012590931493","https://www.facebook.com/454965103328545/posts/780222857469433?comment_id=945699356903424&amp;reply_comment_id=1134012590931493")</f>
        <v>https://www.facebook.com/454965103328545/posts/780222857469433?comment_id=945699356903424&amp;reply_comment_id=1134012590931493</v>
      </c>
      <c r="O1748">
        <v>0</v>
      </c>
      <c r="P1748">
        <v>0</v>
      </c>
      <c r="Q1748">
        <v>0</v>
      </c>
      <c r="S1748">
        <v>0</v>
      </c>
      <c r="T1748">
        <v>0</v>
      </c>
      <c r="U1748">
        <v>0</v>
      </c>
      <c r="W1748" t="s">
        <v>62</v>
      </c>
    </row>
    <row r="1749" spans="1:42" x14ac:dyDescent="0.35">
      <c r="A1749" t="s">
        <v>45</v>
      </c>
      <c r="B1749" t="s">
        <v>3824</v>
      </c>
      <c r="C1749" t="s">
        <v>47</v>
      </c>
      <c r="D1749" t="s">
        <v>811</v>
      </c>
      <c r="E1749" t="s">
        <v>811</v>
      </c>
      <c r="F1749" t="s">
        <v>49</v>
      </c>
      <c r="G1749" t="s">
        <v>1348</v>
      </c>
      <c r="H1749" t="s">
        <v>3944</v>
      </c>
      <c r="J1749" t="str">
        <f>HYPERLINK("https://www.facebook.com/454965103328545/posts/780754084082977?comment_id=971143757713705","https://www.facebook.com/454965103328545/posts/780754084082977?comment_id=971143757713705")</f>
        <v>https://www.facebook.com/454965103328545/posts/780754084082977?comment_id=971143757713705</v>
      </c>
      <c r="O1749">
        <v>0</v>
      </c>
      <c r="P1749">
        <v>0</v>
      </c>
      <c r="Q1749">
        <v>0</v>
      </c>
      <c r="S1749">
        <v>0</v>
      </c>
      <c r="T1749">
        <v>0</v>
      </c>
      <c r="U1749">
        <v>0</v>
      </c>
      <c r="W1749" t="s">
        <v>62</v>
      </c>
    </row>
    <row r="1750" spans="1:42" x14ac:dyDescent="0.35">
      <c r="A1750" t="s">
        <v>45</v>
      </c>
      <c r="B1750" t="s">
        <v>3824</v>
      </c>
      <c r="C1750" t="s">
        <v>47</v>
      </c>
      <c r="D1750" t="s">
        <v>151</v>
      </c>
      <c r="E1750" t="s">
        <v>151</v>
      </c>
      <c r="F1750" t="s">
        <v>49</v>
      </c>
      <c r="H1750" t="s">
        <v>3945</v>
      </c>
      <c r="J1750" t="str">
        <f>HYPERLINK("https://www.facebook.com/454965103328545/posts/780222857469433?comment_id=1456806115232181","https://www.facebook.com/454965103328545/posts/780222857469433?comment_id=1456806115232181")</f>
        <v>https://www.facebook.com/454965103328545/posts/780222857469433?comment_id=1456806115232181</v>
      </c>
      <c r="O1750">
        <v>0</v>
      </c>
      <c r="P1750">
        <v>0</v>
      </c>
      <c r="Q1750">
        <v>0</v>
      </c>
      <c r="S1750">
        <v>0</v>
      </c>
      <c r="T1750">
        <v>0</v>
      </c>
      <c r="U1750">
        <v>0</v>
      </c>
      <c r="W1750" t="s">
        <v>62</v>
      </c>
    </row>
    <row r="1751" spans="1:42" x14ac:dyDescent="0.35">
      <c r="A1751" t="s">
        <v>45</v>
      </c>
      <c r="B1751" t="s">
        <v>3824</v>
      </c>
      <c r="C1751" t="s">
        <v>47</v>
      </c>
      <c r="D1751" t="s">
        <v>3946</v>
      </c>
      <c r="E1751" t="s">
        <v>3946</v>
      </c>
      <c r="F1751" t="s">
        <v>49</v>
      </c>
      <c r="G1751" t="s">
        <v>3947</v>
      </c>
      <c r="H1751" t="s">
        <v>3948</v>
      </c>
      <c r="J1751" t="str">
        <f>HYPERLINK("https://www.facebook.com/357267201017935/inbox/7109126942498560/","https://www.facebook.com/357267201017935/inbox/7109126942498560/")</f>
        <v>https://www.facebook.com/357267201017935/inbox/7109126942498560/</v>
      </c>
      <c r="O1751">
        <v>0</v>
      </c>
      <c r="P1751">
        <v>0</v>
      </c>
      <c r="Q1751">
        <v>0</v>
      </c>
      <c r="S1751">
        <v>0</v>
      </c>
      <c r="T1751">
        <v>0</v>
      </c>
      <c r="U1751">
        <v>0</v>
      </c>
      <c r="W1751" t="s">
        <v>52</v>
      </c>
    </row>
    <row r="1752" spans="1:42" x14ac:dyDescent="0.35">
      <c r="A1752" t="s">
        <v>45</v>
      </c>
      <c r="B1752" t="s">
        <v>3824</v>
      </c>
      <c r="C1752" t="s">
        <v>47</v>
      </c>
      <c r="D1752" t="s">
        <v>3949</v>
      </c>
      <c r="E1752" t="s">
        <v>3949</v>
      </c>
      <c r="F1752" t="s">
        <v>49</v>
      </c>
      <c r="G1752" t="s">
        <v>3950</v>
      </c>
      <c r="H1752" t="s">
        <v>3951</v>
      </c>
      <c r="J1752" t="str">
        <f>HYPERLINK("https://www.facebook.com/357267201017935/posts/3069910089753619/?comment_id=752182406882640","https://www.facebook.com/357267201017935/posts/3069910089753619/?comment_id=752182406882640")</f>
        <v>https://www.facebook.com/357267201017935/posts/3069910089753619/?comment_id=752182406882640</v>
      </c>
      <c r="O1752">
        <v>0</v>
      </c>
      <c r="P1752">
        <v>0</v>
      </c>
      <c r="Q1752">
        <v>0</v>
      </c>
      <c r="S1752">
        <v>0</v>
      </c>
      <c r="T1752">
        <v>0</v>
      </c>
      <c r="U1752">
        <v>0</v>
      </c>
      <c r="W1752" t="s">
        <v>62</v>
      </c>
    </row>
    <row r="1753" spans="1:42" x14ac:dyDescent="0.35">
      <c r="A1753" t="s">
        <v>45</v>
      </c>
      <c r="B1753" t="s">
        <v>3824</v>
      </c>
      <c r="C1753" t="s">
        <v>47</v>
      </c>
      <c r="D1753" t="s">
        <v>3952</v>
      </c>
      <c r="E1753" t="s">
        <v>3952</v>
      </c>
      <c r="F1753" t="s">
        <v>76</v>
      </c>
      <c r="G1753" t="s">
        <v>2121</v>
      </c>
      <c r="H1753" t="s">
        <v>3953</v>
      </c>
      <c r="J1753" t="str">
        <f>HYPERLINK("https://www.facebook.com/454965103328545/videos/779106373749556?comment_id=3745893892335824","https://www.facebook.com/454965103328545/videos/779106373749556?comment_id=3745893892335824")</f>
        <v>https://www.facebook.com/454965103328545/videos/779106373749556?comment_id=3745893892335824</v>
      </c>
      <c r="O1753">
        <v>0</v>
      </c>
      <c r="P1753">
        <v>0</v>
      </c>
      <c r="Q1753">
        <v>0</v>
      </c>
      <c r="S1753">
        <v>0</v>
      </c>
      <c r="T1753">
        <v>0</v>
      </c>
      <c r="U1753">
        <v>0</v>
      </c>
      <c r="W1753" t="s">
        <v>62</v>
      </c>
    </row>
    <row r="1754" spans="1:42" x14ac:dyDescent="0.35">
      <c r="A1754" t="s">
        <v>45</v>
      </c>
      <c r="B1754" t="s">
        <v>3824</v>
      </c>
      <c r="C1754" t="s">
        <v>47</v>
      </c>
      <c r="D1754" t="s">
        <v>3954</v>
      </c>
      <c r="E1754" t="s">
        <v>3954</v>
      </c>
      <c r="F1754" t="s">
        <v>49</v>
      </c>
      <c r="G1754" t="s">
        <v>3919</v>
      </c>
      <c r="H1754" t="s">
        <v>3955</v>
      </c>
      <c r="J1754" t="str">
        <f>HYPERLINK("https://www.facebook.com/454965103328545/posts/780222857469433?comment_id=275579792231635","https://www.facebook.com/454965103328545/posts/780222857469433?comment_id=275579792231635")</f>
        <v>https://www.facebook.com/454965103328545/posts/780222857469433?comment_id=275579792231635</v>
      </c>
      <c r="O1754">
        <v>0</v>
      </c>
      <c r="P1754">
        <v>0</v>
      </c>
      <c r="Q1754">
        <v>0</v>
      </c>
      <c r="S1754">
        <v>0</v>
      </c>
      <c r="T1754">
        <v>0</v>
      </c>
      <c r="U1754">
        <v>0</v>
      </c>
      <c r="W1754" t="s">
        <v>62</v>
      </c>
    </row>
    <row r="1755" spans="1:42" x14ac:dyDescent="0.35">
      <c r="A1755" t="s">
        <v>45</v>
      </c>
      <c r="B1755" t="s">
        <v>3824</v>
      </c>
      <c r="C1755" t="s">
        <v>47</v>
      </c>
      <c r="D1755" t="s">
        <v>45</v>
      </c>
      <c r="E1755" t="s">
        <v>45</v>
      </c>
      <c r="F1755" t="s">
        <v>49</v>
      </c>
      <c r="G1755" t="s">
        <v>3956</v>
      </c>
      <c r="H1755" t="s">
        <v>3957</v>
      </c>
      <c r="J1755" t="str">
        <f>HYPERLINK("https://www.facebook.com/357267201017935/inbox/7095663633844891/","https://www.facebook.com/357267201017935/inbox/7095663633844891/")</f>
        <v>https://www.facebook.com/357267201017935/inbox/7095663633844891/</v>
      </c>
      <c r="O1755">
        <v>0</v>
      </c>
      <c r="P1755">
        <v>0</v>
      </c>
      <c r="Q1755">
        <v>0</v>
      </c>
      <c r="S1755">
        <v>0</v>
      </c>
      <c r="T1755">
        <v>0</v>
      </c>
      <c r="U1755">
        <v>0</v>
      </c>
      <c r="W1755" t="s">
        <v>52</v>
      </c>
    </row>
    <row r="1756" spans="1:42" x14ac:dyDescent="0.35">
      <c r="A1756" t="s">
        <v>45</v>
      </c>
      <c r="B1756" t="s">
        <v>3824</v>
      </c>
      <c r="C1756" t="s">
        <v>47</v>
      </c>
      <c r="D1756" t="s">
        <v>2587</v>
      </c>
      <c r="E1756" t="s">
        <v>2587</v>
      </c>
      <c r="F1756" t="s">
        <v>49</v>
      </c>
      <c r="G1756" t="s">
        <v>3958</v>
      </c>
      <c r="H1756" t="s">
        <v>3959</v>
      </c>
      <c r="J1756" t="str">
        <f>HYPERLINK("https://www.facebook.com/454965103328545/posts/768713601953692?comment_id=1373223803565419&amp;reply_comment_id=782635397091983","https://www.facebook.com/454965103328545/posts/768713601953692?comment_id=1373223803565419&amp;reply_comment_id=782635397091983")</f>
        <v>https://www.facebook.com/454965103328545/posts/768713601953692?comment_id=1373223803565419&amp;reply_comment_id=782635397091983</v>
      </c>
      <c r="O1756">
        <v>0</v>
      </c>
      <c r="P1756">
        <v>0</v>
      </c>
      <c r="Q1756">
        <v>0</v>
      </c>
      <c r="S1756">
        <v>0</v>
      </c>
      <c r="T1756">
        <v>0</v>
      </c>
      <c r="U1756">
        <v>0</v>
      </c>
      <c r="W1756" t="s">
        <v>62</v>
      </c>
    </row>
    <row r="1757" spans="1:42" x14ac:dyDescent="0.35">
      <c r="A1757" t="s">
        <v>45</v>
      </c>
      <c r="B1757" t="s">
        <v>3824</v>
      </c>
      <c r="C1757" t="s">
        <v>63</v>
      </c>
      <c r="D1757" t="s">
        <v>186</v>
      </c>
      <c r="E1757" t="s">
        <v>186</v>
      </c>
      <c r="F1757" t="s">
        <v>49</v>
      </c>
      <c r="G1757" t="s">
        <v>3960</v>
      </c>
      <c r="H1757" t="s">
        <v>3961</v>
      </c>
      <c r="J1757" t="str">
        <f>HYPERLINK("https://www.instagram.com/p/C32Wxgyh-8B/","https://www.instagram.com/p/C32Wxgyh-8B/")</f>
        <v>https://www.instagram.com/p/C32Wxgyh-8B/</v>
      </c>
      <c r="O1757">
        <v>0</v>
      </c>
      <c r="P1757">
        <v>0</v>
      </c>
      <c r="Q1757">
        <v>0</v>
      </c>
      <c r="S1757">
        <v>0</v>
      </c>
      <c r="T1757">
        <v>0</v>
      </c>
      <c r="U1757">
        <v>0</v>
      </c>
      <c r="W1757" t="s">
        <v>62</v>
      </c>
    </row>
    <row r="1758" spans="1:42" x14ac:dyDescent="0.35">
      <c r="A1758" t="s">
        <v>45</v>
      </c>
      <c r="B1758" t="s">
        <v>3824</v>
      </c>
      <c r="C1758" t="s">
        <v>47</v>
      </c>
      <c r="D1758" t="s">
        <v>45</v>
      </c>
      <c r="E1758" t="s">
        <v>45</v>
      </c>
      <c r="F1758" t="s">
        <v>49</v>
      </c>
      <c r="G1758" t="s">
        <v>278</v>
      </c>
      <c r="H1758" t="s">
        <v>3962</v>
      </c>
      <c r="J1758" t="str">
        <f>HYPERLINK("https://www.facebook.com/454965103328545/posts/490024586489263?comment_id=366512619509928&amp;reply_comment_id=2316902355172715","https://www.facebook.com/454965103328545/posts/490024586489263?comment_id=366512619509928&amp;reply_comment_id=2316902355172715")</f>
        <v>https://www.facebook.com/454965103328545/posts/490024586489263?comment_id=366512619509928&amp;reply_comment_id=2316902355172715</v>
      </c>
      <c r="O1758">
        <v>0</v>
      </c>
      <c r="P1758">
        <v>0</v>
      </c>
      <c r="Q1758">
        <v>0</v>
      </c>
      <c r="S1758">
        <v>0</v>
      </c>
      <c r="T1758">
        <v>0</v>
      </c>
      <c r="U1758">
        <v>0</v>
      </c>
      <c r="W1758" t="s">
        <v>62</v>
      </c>
    </row>
    <row r="1759" spans="1:42" x14ac:dyDescent="0.35">
      <c r="A1759" t="s">
        <v>45</v>
      </c>
      <c r="B1759" t="s">
        <v>3824</v>
      </c>
      <c r="C1759" t="s">
        <v>47</v>
      </c>
      <c r="D1759" t="s">
        <v>45</v>
      </c>
      <c r="E1759" t="s">
        <v>45</v>
      </c>
      <c r="F1759" t="s">
        <v>49</v>
      </c>
      <c r="G1759" t="s">
        <v>3963</v>
      </c>
      <c r="H1759" t="s">
        <v>3964</v>
      </c>
      <c r="J1759" t="str">
        <f>HYPERLINK("https://www.facebook.com/357267201017935/inbox/7096339140444007/","https://www.facebook.com/357267201017935/inbox/7096339140444007/")</f>
        <v>https://www.facebook.com/357267201017935/inbox/7096339140444007/</v>
      </c>
      <c r="O1759">
        <v>0</v>
      </c>
      <c r="P1759">
        <v>0</v>
      </c>
      <c r="Q1759">
        <v>0</v>
      </c>
      <c r="S1759">
        <v>0</v>
      </c>
      <c r="T1759">
        <v>0</v>
      </c>
      <c r="U1759">
        <v>0</v>
      </c>
      <c r="W1759" t="s">
        <v>52</v>
      </c>
      <c r="AP1759" t="s">
        <v>101</v>
      </c>
    </row>
    <row r="1760" spans="1:42" x14ac:dyDescent="0.35">
      <c r="A1760" t="s">
        <v>45</v>
      </c>
      <c r="B1760" t="s">
        <v>3824</v>
      </c>
      <c r="C1760" t="s">
        <v>47</v>
      </c>
      <c r="D1760" t="s">
        <v>45</v>
      </c>
      <c r="E1760" t="s">
        <v>45</v>
      </c>
      <c r="F1760" t="s">
        <v>49</v>
      </c>
      <c r="G1760" t="s">
        <v>2965</v>
      </c>
      <c r="H1760" t="s">
        <v>3965</v>
      </c>
      <c r="J1760" t="str">
        <f>HYPERLINK("https://www.facebook.com/357267201017935/inbox/7097486290329292/","https://www.facebook.com/357267201017935/inbox/7097486290329292/")</f>
        <v>https://www.facebook.com/357267201017935/inbox/7097486290329292/</v>
      </c>
      <c r="O1760">
        <v>0</v>
      </c>
      <c r="P1760">
        <v>0</v>
      </c>
      <c r="Q1760">
        <v>0</v>
      </c>
      <c r="S1760">
        <v>0</v>
      </c>
      <c r="T1760">
        <v>0</v>
      </c>
      <c r="U1760">
        <v>0</v>
      </c>
      <c r="W1760" t="s">
        <v>52</v>
      </c>
    </row>
    <row r="1761" spans="1:42" x14ac:dyDescent="0.35">
      <c r="A1761" t="s">
        <v>45</v>
      </c>
      <c r="B1761" t="s">
        <v>3824</v>
      </c>
      <c r="C1761" t="s">
        <v>102</v>
      </c>
      <c r="D1761" t="s">
        <v>965</v>
      </c>
      <c r="E1761" t="s">
        <v>965</v>
      </c>
      <c r="F1761" t="s">
        <v>49</v>
      </c>
      <c r="G1761" t="s">
        <v>3966</v>
      </c>
      <c r="H1761" t="s">
        <v>3965</v>
      </c>
      <c r="J1761" t="str">
        <f>HYPERLINK("https://www.linkedin.com/feed/update/urn:li:share:7169578955971194880","https://www.linkedin.com/feed/update/urn:li:share:7169578955971194880")</f>
        <v>https://www.linkedin.com/feed/update/urn:li:share:7169578955971194880</v>
      </c>
      <c r="O1761">
        <v>0</v>
      </c>
      <c r="P1761">
        <v>0</v>
      </c>
      <c r="Q1761">
        <v>0</v>
      </c>
      <c r="S1761">
        <v>0</v>
      </c>
      <c r="T1761">
        <v>35</v>
      </c>
      <c r="U1761">
        <v>0</v>
      </c>
      <c r="W1761" t="s">
        <v>106</v>
      </c>
    </row>
    <row r="1762" spans="1:42" x14ac:dyDescent="0.35">
      <c r="A1762" t="s">
        <v>45</v>
      </c>
      <c r="B1762" t="s">
        <v>3824</v>
      </c>
      <c r="C1762" t="s">
        <v>47</v>
      </c>
      <c r="D1762" t="s">
        <v>45</v>
      </c>
      <c r="E1762" t="s">
        <v>45</v>
      </c>
      <c r="F1762" t="s">
        <v>49</v>
      </c>
      <c r="G1762" t="s">
        <v>3967</v>
      </c>
      <c r="H1762" t="s">
        <v>3968</v>
      </c>
      <c r="J1762" t="str">
        <f>HYPERLINK("https://www.facebook.com/357267201017935/inbox/7097525010325420/","https://www.facebook.com/357267201017935/inbox/7097525010325420/")</f>
        <v>https://www.facebook.com/357267201017935/inbox/7097525010325420/</v>
      </c>
      <c r="O1762">
        <v>0</v>
      </c>
      <c r="P1762">
        <v>0</v>
      </c>
      <c r="Q1762">
        <v>0</v>
      </c>
      <c r="S1762">
        <v>0</v>
      </c>
      <c r="T1762">
        <v>0</v>
      </c>
      <c r="U1762">
        <v>0</v>
      </c>
      <c r="W1762" t="s">
        <v>52</v>
      </c>
    </row>
    <row r="1763" spans="1:42" x14ac:dyDescent="0.35">
      <c r="A1763" t="s">
        <v>45</v>
      </c>
      <c r="B1763" t="s">
        <v>3824</v>
      </c>
      <c r="C1763" t="s">
        <v>47</v>
      </c>
      <c r="D1763" t="s">
        <v>45</v>
      </c>
      <c r="E1763" t="s">
        <v>45</v>
      </c>
      <c r="F1763" t="s">
        <v>49</v>
      </c>
      <c r="G1763" t="s">
        <v>3969</v>
      </c>
      <c r="H1763" t="s">
        <v>3970</v>
      </c>
      <c r="J1763" t="str">
        <f>HYPERLINK("https://www.facebook.com/357267201017935/inbox/7097546976989890/","https://www.facebook.com/357267201017935/inbox/7097546976989890/")</f>
        <v>https://www.facebook.com/357267201017935/inbox/7097546976989890/</v>
      </c>
      <c r="O1763">
        <v>0</v>
      </c>
      <c r="P1763">
        <v>0</v>
      </c>
      <c r="Q1763">
        <v>0</v>
      </c>
      <c r="S1763">
        <v>0</v>
      </c>
      <c r="T1763">
        <v>0</v>
      </c>
      <c r="U1763">
        <v>0</v>
      </c>
      <c r="W1763" t="s">
        <v>52</v>
      </c>
    </row>
    <row r="1764" spans="1:42" x14ac:dyDescent="0.35">
      <c r="A1764" t="s">
        <v>45</v>
      </c>
      <c r="B1764" t="s">
        <v>3824</v>
      </c>
      <c r="C1764" t="s">
        <v>47</v>
      </c>
      <c r="D1764" t="s">
        <v>45</v>
      </c>
      <c r="E1764" t="s">
        <v>45</v>
      </c>
      <c r="F1764" t="s">
        <v>49</v>
      </c>
      <c r="G1764" t="s">
        <v>3971</v>
      </c>
      <c r="H1764" t="s">
        <v>3972</v>
      </c>
      <c r="J1764" t="str">
        <f>HYPERLINK("https://www.facebook.com/357267201017935/inbox/7097591496985438/","https://www.facebook.com/357267201017935/inbox/7097591496985438/")</f>
        <v>https://www.facebook.com/357267201017935/inbox/7097591496985438/</v>
      </c>
      <c r="O1764">
        <v>0</v>
      </c>
      <c r="P1764">
        <v>0</v>
      </c>
      <c r="Q1764">
        <v>0</v>
      </c>
      <c r="S1764">
        <v>0</v>
      </c>
      <c r="T1764">
        <v>0</v>
      </c>
      <c r="U1764">
        <v>0</v>
      </c>
      <c r="W1764" t="s">
        <v>52</v>
      </c>
    </row>
    <row r="1765" spans="1:42" x14ac:dyDescent="0.35">
      <c r="A1765" t="s">
        <v>45</v>
      </c>
      <c r="B1765" t="s">
        <v>3824</v>
      </c>
      <c r="C1765" t="s">
        <v>47</v>
      </c>
      <c r="D1765" t="s">
        <v>45</v>
      </c>
      <c r="E1765" t="s">
        <v>45</v>
      </c>
      <c r="F1765" t="s">
        <v>49</v>
      </c>
      <c r="G1765" t="s">
        <v>3973</v>
      </c>
      <c r="H1765" t="s">
        <v>3974</v>
      </c>
      <c r="J1765" t="str">
        <f>HYPERLINK("https://www.facebook.com/357267201017935/inbox/7097772496967338/","https://www.facebook.com/357267201017935/inbox/7097772496967338/")</f>
        <v>https://www.facebook.com/357267201017935/inbox/7097772496967338/</v>
      </c>
      <c r="O1765">
        <v>0</v>
      </c>
      <c r="P1765">
        <v>0</v>
      </c>
      <c r="Q1765">
        <v>0</v>
      </c>
      <c r="S1765">
        <v>0</v>
      </c>
      <c r="T1765">
        <v>0</v>
      </c>
      <c r="U1765">
        <v>0</v>
      </c>
      <c r="W1765" t="s">
        <v>52</v>
      </c>
    </row>
    <row r="1766" spans="1:42" x14ac:dyDescent="0.35">
      <c r="A1766" t="s">
        <v>45</v>
      </c>
      <c r="B1766" t="s">
        <v>3824</v>
      </c>
      <c r="C1766" t="s">
        <v>47</v>
      </c>
      <c r="D1766" t="s">
        <v>45</v>
      </c>
      <c r="E1766" t="s">
        <v>45</v>
      </c>
      <c r="F1766" t="s">
        <v>49</v>
      </c>
      <c r="G1766" t="s">
        <v>3975</v>
      </c>
      <c r="H1766" t="s">
        <v>3976</v>
      </c>
      <c r="J1766" t="str">
        <f>HYPERLINK("https://www.facebook.com/454965103328545/posts/773122238179495?comment_id=739113998208716&amp;reply_comment_id=721557893300805","https://www.facebook.com/454965103328545/posts/773122238179495?comment_id=739113998208716&amp;reply_comment_id=721557893300805")</f>
        <v>https://www.facebook.com/454965103328545/posts/773122238179495?comment_id=739113998208716&amp;reply_comment_id=721557893300805</v>
      </c>
      <c r="O1766">
        <v>0</v>
      </c>
      <c r="P1766">
        <v>0</v>
      </c>
      <c r="Q1766">
        <v>0</v>
      </c>
      <c r="S1766">
        <v>0</v>
      </c>
      <c r="T1766">
        <v>0</v>
      </c>
      <c r="U1766">
        <v>0</v>
      </c>
      <c r="W1766" t="s">
        <v>62</v>
      </c>
      <c r="AP1766" t="s">
        <v>147</v>
      </c>
    </row>
    <row r="1767" spans="1:42" x14ac:dyDescent="0.35">
      <c r="A1767" t="s">
        <v>45</v>
      </c>
      <c r="B1767" t="s">
        <v>3824</v>
      </c>
      <c r="C1767" t="s">
        <v>58</v>
      </c>
      <c r="D1767" t="s">
        <v>277</v>
      </c>
      <c r="E1767" t="s">
        <v>277</v>
      </c>
      <c r="F1767" t="s">
        <v>49</v>
      </c>
      <c r="G1767" t="s">
        <v>320</v>
      </c>
      <c r="H1767" t="s">
        <v>3977</v>
      </c>
      <c r="J1767" t="str">
        <f>HYPERLINK("https://www.youtube.com/watch?v=4Z5xcbphLMQ&amp;lc=Ugxh5trp43Gn-YIaEFJ4AaABAg.A0NzhpJg4DEA0TbgX8YjsC","https://www.youtube.com/watch?v=4Z5xcbphLMQ&amp;lc=Ugxh5trp43Gn-YIaEFJ4AaABAg.A0NzhpJg4DEA0TbgX8YjsC")</f>
        <v>https://www.youtube.com/watch?v=4Z5xcbphLMQ&amp;lc=Ugxh5trp43Gn-YIaEFJ4AaABAg.A0NzhpJg4DEA0TbgX8YjsC</v>
      </c>
      <c r="O1767">
        <v>0</v>
      </c>
      <c r="P1767">
        <v>0</v>
      </c>
      <c r="Q1767">
        <v>0</v>
      </c>
      <c r="S1767">
        <v>0</v>
      </c>
      <c r="T1767">
        <v>0</v>
      </c>
      <c r="U1767">
        <v>0</v>
      </c>
      <c r="W1767" t="s">
        <v>62</v>
      </c>
    </row>
    <row r="1768" spans="1:42" x14ac:dyDescent="0.35">
      <c r="A1768" t="s">
        <v>45</v>
      </c>
      <c r="B1768" t="s">
        <v>3824</v>
      </c>
      <c r="C1768" t="s">
        <v>47</v>
      </c>
      <c r="D1768" t="s">
        <v>3978</v>
      </c>
      <c r="E1768" t="s">
        <v>3978</v>
      </c>
      <c r="F1768" t="s">
        <v>49</v>
      </c>
      <c r="G1768" t="s">
        <v>3979</v>
      </c>
      <c r="H1768" t="s">
        <v>3980</v>
      </c>
      <c r="J1768" t="str">
        <f>HYPERLINK("https://www.facebook.com/357267201017935/posts/3069910089753619/?comment_id=1077462610190976&amp;reply_comment_id=1551885735604736","https://www.facebook.com/357267201017935/posts/3069910089753619/?comment_id=1077462610190976&amp;reply_comment_id=1551885735604736")</f>
        <v>https://www.facebook.com/357267201017935/posts/3069910089753619/?comment_id=1077462610190976&amp;reply_comment_id=1551885735604736</v>
      </c>
      <c r="O1768">
        <v>0</v>
      </c>
      <c r="P1768">
        <v>0</v>
      </c>
      <c r="Q1768">
        <v>0</v>
      </c>
      <c r="S1768">
        <v>0</v>
      </c>
      <c r="T1768">
        <v>0</v>
      </c>
      <c r="U1768">
        <v>0</v>
      </c>
      <c r="W1768" t="s">
        <v>62</v>
      </c>
    </row>
    <row r="1769" spans="1:42" x14ac:dyDescent="0.35">
      <c r="A1769" t="s">
        <v>45</v>
      </c>
      <c r="B1769" t="s">
        <v>3824</v>
      </c>
      <c r="C1769" t="s">
        <v>47</v>
      </c>
      <c r="D1769" t="s">
        <v>3978</v>
      </c>
      <c r="E1769" t="s">
        <v>3978</v>
      </c>
      <c r="F1769" t="s">
        <v>49</v>
      </c>
      <c r="G1769" t="s">
        <v>45</v>
      </c>
      <c r="H1769" t="s">
        <v>3981</v>
      </c>
      <c r="J1769" t="str">
        <f>HYPERLINK("https://www.facebook.com/357267201017935/posts/3069910089753619/?comment_id=1077462610190976&amp;reply_comment_id=1104086860637045","https://www.facebook.com/357267201017935/posts/3069910089753619/?comment_id=1077462610190976&amp;reply_comment_id=1104086860637045")</f>
        <v>https://www.facebook.com/357267201017935/posts/3069910089753619/?comment_id=1077462610190976&amp;reply_comment_id=1104086860637045</v>
      </c>
      <c r="O1769">
        <v>0</v>
      </c>
      <c r="P1769">
        <v>0</v>
      </c>
      <c r="Q1769">
        <v>0</v>
      </c>
      <c r="S1769">
        <v>0</v>
      </c>
      <c r="T1769">
        <v>0</v>
      </c>
      <c r="U1769">
        <v>0</v>
      </c>
      <c r="W1769" t="s">
        <v>62</v>
      </c>
    </row>
    <row r="1770" spans="1:42" x14ac:dyDescent="0.35">
      <c r="A1770" t="s">
        <v>45</v>
      </c>
      <c r="B1770" t="s">
        <v>3824</v>
      </c>
      <c r="C1770" t="s">
        <v>47</v>
      </c>
      <c r="D1770" t="s">
        <v>45</v>
      </c>
      <c r="E1770" t="s">
        <v>45</v>
      </c>
      <c r="F1770" t="s">
        <v>49</v>
      </c>
      <c r="G1770" t="s">
        <v>3982</v>
      </c>
      <c r="H1770" t="s">
        <v>3983</v>
      </c>
      <c r="J1770" t="str">
        <f>HYPERLINK("https://www.facebook.com/357267201017935/inbox/7100208116723776/","https://www.facebook.com/357267201017935/inbox/7100208116723776/")</f>
        <v>https://www.facebook.com/357267201017935/inbox/7100208116723776/</v>
      </c>
      <c r="O1770">
        <v>0</v>
      </c>
      <c r="P1770">
        <v>0</v>
      </c>
      <c r="Q1770">
        <v>0</v>
      </c>
      <c r="S1770">
        <v>0</v>
      </c>
      <c r="T1770">
        <v>0</v>
      </c>
      <c r="U1770">
        <v>0</v>
      </c>
      <c r="W1770" t="s">
        <v>52</v>
      </c>
    </row>
    <row r="1771" spans="1:42" x14ac:dyDescent="0.35">
      <c r="A1771" t="s">
        <v>45</v>
      </c>
      <c r="B1771" t="s">
        <v>3824</v>
      </c>
      <c r="C1771" t="s">
        <v>47</v>
      </c>
      <c r="D1771" t="s">
        <v>45</v>
      </c>
      <c r="E1771" t="s">
        <v>45</v>
      </c>
      <c r="F1771" t="s">
        <v>49</v>
      </c>
      <c r="G1771" t="s">
        <v>3982</v>
      </c>
      <c r="H1771" t="s">
        <v>3984</v>
      </c>
      <c r="J1771" t="str">
        <f>HYPERLINK("https://www.facebook.com/357267201017935/inbox/7100208116723776/","https://www.facebook.com/357267201017935/inbox/7100208116723776/")</f>
        <v>https://www.facebook.com/357267201017935/inbox/7100208116723776/</v>
      </c>
      <c r="O1771">
        <v>0</v>
      </c>
      <c r="P1771">
        <v>0</v>
      </c>
      <c r="Q1771">
        <v>0</v>
      </c>
      <c r="S1771">
        <v>0</v>
      </c>
      <c r="T1771">
        <v>0</v>
      </c>
      <c r="U1771">
        <v>0</v>
      </c>
      <c r="W1771" t="s">
        <v>52</v>
      </c>
    </row>
    <row r="1772" spans="1:42" x14ac:dyDescent="0.35">
      <c r="A1772" t="s">
        <v>45</v>
      </c>
      <c r="B1772" t="s">
        <v>3824</v>
      </c>
      <c r="C1772" t="s">
        <v>139</v>
      </c>
      <c r="D1772" t="s">
        <v>190</v>
      </c>
      <c r="E1772" t="s">
        <v>45</v>
      </c>
      <c r="F1772" t="s">
        <v>49</v>
      </c>
      <c r="G1772" t="s">
        <v>3985</v>
      </c>
      <c r="H1772" t="s">
        <v>3986</v>
      </c>
      <c r="J1772" t="str">
        <f>HYPERLINK("https://twitter.com/FinoPaymntsBank/status/1763811777484300661","https://twitter.com/FinoPaymntsBank/status/1763811777484300661")</f>
        <v>https://twitter.com/FinoPaymntsBank/status/1763811777484300661</v>
      </c>
      <c r="K1772" t="s">
        <v>145</v>
      </c>
      <c r="O1772">
        <v>0</v>
      </c>
      <c r="P1772">
        <v>0</v>
      </c>
      <c r="Q1772">
        <v>8411</v>
      </c>
      <c r="R1772" t="s">
        <v>193</v>
      </c>
      <c r="S1772">
        <v>0</v>
      </c>
      <c r="T1772">
        <v>0</v>
      </c>
      <c r="U1772">
        <v>0</v>
      </c>
      <c r="W1772" t="s">
        <v>146</v>
      </c>
    </row>
    <row r="1773" spans="1:42" x14ac:dyDescent="0.35">
      <c r="A1773" t="s">
        <v>45</v>
      </c>
      <c r="B1773" t="s">
        <v>3824</v>
      </c>
      <c r="C1773" t="s">
        <v>139</v>
      </c>
      <c r="D1773" t="s">
        <v>190</v>
      </c>
      <c r="E1773" t="s">
        <v>45</v>
      </c>
      <c r="F1773" t="s">
        <v>49</v>
      </c>
      <c r="G1773" t="s">
        <v>3987</v>
      </c>
      <c r="H1773" t="s">
        <v>3988</v>
      </c>
      <c r="J1773" t="str">
        <f>HYPERLINK("https://twitter.com/FinoPaymntsBank/status/1763811377670721767","https://twitter.com/FinoPaymntsBank/status/1763811377670721767")</f>
        <v>https://twitter.com/FinoPaymntsBank/status/1763811377670721767</v>
      </c>
      <c r="K1773" t="s">
        <v>145</v>
      </c>
      <c r="O1773">
        <v>0</v>
      </c>
      <c r="P1773">
        <v>0</v>
      </c>
      <c r="Q1773">
        <v>8411</v>
      </c>
      <c r="R1773" t="s">
        <v>193</v>
      </c>
      <c r="S1773">
        <v>0</v>
      </c>
      <c r="T1773">
        <v>0</v>
      </c>
      <c r="U1773">
        <v>0</v>
      </c>
      <c r="W1773" t="s">
        <v>146</v>
      </c>
    </row>
    <row r="1774" spans="1:42" x14ac:dyDescent="0.35">
      <c r="A1774" t="s">
        <v>45</v>
      </c>
      <c r="B1774" t="s">
        <v>3824</v>
      </c>
      <c r="C1774" t="s">
        <v>47</v>
      </c>
      <c r="D1774" t="s">
        <v>45</v>
      </c>
      <c r="E1774" t="s">
        <v>45</v>
      </c>
      <c r="F1774" t="s">
        <v>49</v>
      </c>
      <c r="G1774" t="s">
        <v>3989</v>
      </c>
      <c r="H1774" t="s">
        <v>3990</v>
      </c>
      <c r="J1774" t="str">
        <f>HYPERLINK("https://www.facebook.com/454965103328545/posts/780222857469433?comment_id=945699356903424&amp;reply_comment_id=773527697582954","https://www.facebook.com/454965103328545/posts/780222857469433?comment_id=945699356903424&amp;reply_comment_id=773527697582954")</f>
        <v>https://www.facebook.com/454965103328545/posts/780222857469433?comment_id=945699356903424&amp;reply_comment_id=773527697582954</v>
      </c>
      <c r="O1774">
        <v>0</v>
      </c>
      <c r="P1774">
        <v>0</v>
      </c>
      <c r="Q1774">
        <v>0</v>
      </c>
      <c r="S1774">
        <v>0</v>
      </c>
      <c r="T1774">
        <v>0</v>
      </c>
      <c r="U1774">
        <v>0</v>
      </c>
      <c r="W1774" t="s">
        <v>62</v>
      </c>
    </row>
    <row r="1775" spans="1:42" x14ac:dyDescent="0.35">
      <c r="A1775" t="s">
        <v>45</v>
      </c>
      <c r="B1775" t="s">
        <v>3824</v>
      </c>
      <c r="C1775" t="s">
        <v>47</v>
      </c>
      <c r="D1775" t="s">
        <v>45</v>
      </c>
      <c r="E1775" t="s">
        <v>45</v>
      </c>
      <c r="F1775" t="s">
        <v>49</v>
      </c>
      <c r="G1775" t="s">
        <v>3991</v>
      </c>
      <c r="H1775" t="s">
        <v>3992</v>
      </c>
      <c r="J1775" t="str">
        <f>HYPERLINK("https://www.facebook.com/454965103328545/posts/768713601953692?comment_id=1571343960370205&amp;reply_comment_id=2207276726279320","https://www.facebook.com/454965103328545/posts/768713601953692?comment_id=1571343960370205&amp;reply_comment_id=2207276726279320")</f>
        <v>https://www.facebook.com/454965103328545/posts/768713601953692?comment_id=1571343960370205&amp;reply_comment_id=2207276726279320</v>
      </c>
      <c r="O1775">
        <v>0</v>
      </c>
      <c r="P1775">
        <v>0</v>
      </c>
      <c r="Q1775">
        <v>0</v>
      </c>
      <c r="S1775">
        <v>0</v>
      </c>
      <c r="T1775">
        <v>0</v>
      </c>
      <c r="U1775">
        <v>0</v>
      </c>
      <c r="W1775" t="s">
        <v>62</v>
      </c>
    </row>
    <row r="1776" spans="1:42" x14ac:dyDescent="0.35">
      <c r="A1776" t="s">
        <v>45</v>
      </c>
      <c r="B1776" t="s">
        <v>3824</v>
      </c>
      <c r="C1776" t="s">
        <v>139</v>
      </c>
      <c r="D1776" t="s">
        <v>190</v>
      </c>
      <c r="E1776" t="s">
        <v>45</v>
      </c>
      <c r="F1776" t="s">
        <v>49</v>
      </c>
      <c r="G1776" t="s">
        <v>3987</v>
      </c>
      <c r="H1776" t="s">
        <v>3993</v>
      </c>
      <c r="J1776" t="str">
        <f>HYPERLINK("https://twitter.com/FinoPaymntsBank/status/1763811096245530858","https://twitter.com/FinoPaymntsBank/status/1763811096245530858")</f>
        <v>https://twitter.com/FinoPaymntsBank/status/1763811096245530858</v>
      </c>
      <c r="K1776" t="s">
        <v>145</v>
      </c>
      <c r="O1776">
        <v>0</v>
      </c>
      <c r="P1776">
        <v>0</v>
      </c>
      <c r="Q1776">
        <v>8411</v>
      </c>
      <c r="R1776" t="s">
        <v>193</v>
      </c>
      <c r="S1776">
        <v>0</v>
      </c>
      <c r="T1776">
        <v>0</v>
      </c>
      <c r="U1776">
        <v>0</v>
      </c>
      <c r="W1776" t="s">
        <v>146</v>
      </c>
    </row>
    <row r="1777" spans="1:23" x14ac:dyDescent="0.35">
      <c r="A1777" t="s">
        <v>45</v>
      </c>
      <c r="B1777" t="s">
        <v>3824</v>
      </c>
      <c r="C1777" t="s">
        <v>63</v>
      </c>
      <c r="D1777" t="s">
        <v>186</v>
      </c>
      <c r="E1777" t="s">
        <v>186</v>
      </c>
      <c r="F1777" t="s">
        <v>49</v>
      </c>
      <c r="G1777" t="s">
        <v>3994</v>
      </c>
      <c r="H1777" t="s">
        <v>3995</v>
      </c>
      <c r="J1777" t="str">
        <f>HYPERLINK("https://www.instagram.com/p/C37gXZmpZWT/","https://www.instagram.com/p/C37gXZmpZWT/")</f>
        <v>https://www.instagram.com/p/C37gXZmpZWT/</v>
      </c>
      <c r="O1777">
        <v>0</v>
      </c>
      <c r="P1777">
        <v>0</v>
      </c>
      <c r="Q1777">
        <v>0</v>
      </c>
      <c r="S1777">
        <v>0</v>
      </c>
      <c r="T1777">
        <v>0</v>
      </c>
      <c r="U1777">
        <v>0</v>
      </c>
      <c r="W1777" t="s">
        <v>62</v>
      </c>
    </row>
    <row r="1778" spans="1:23" x14ac:dyDescent="0.35">
      <c r="A1778" t="s">
        <v>45</v>
      </c>
      <c r="B1778" t="s">
        <v>3824</v>
      </c>
      <c r="C1778" t="s">
        <v>63</v>
      </c>
      <c r="D1778" t="s">
        <v>186</v>
      </c>
      <c r="E1778" t="s">
        <v>186</v>
      </c>
      <c r="F1778" t="s">
        <v>49</v>
      </c>
      <c r="G1778" t="s">
        <v>3994</v>
      </c>
      <c r="H1778" t="s">
        <v>3996</v>
      </c>
      <c r="J1778" t="str">
        <f>HYPERLINK("https://www.instagram.com/p/C347kvDs160/","https://www.instagram.com/p/C347kvDs160/")</f>
        <v>https://www.instagram.com/p/C347kvDs160/</v>
      </c>
      <c r="O1778">
        <v>0</v>
      </c>
      <c r="P1778">
        <v>0</v>
      </c>
      <c r="Q1778">
        <v>0</v>
      </c>
      <c r="S1778">
        <v>0</v>
      </c>
      <c r="T1778">
        <v>0</v>
      </c>
      <c r="U1778">
        <v>0</v>
      </c>
      <c r="W1778" t="s">
        <v>62</v>
      </c>
    </row>
    <row r="1779" spans="1:23" x14ac:dyDescent="0.35">
      <c r="A1779" t="s">
        <v>45</v>
      </c>
      <c r="B1779" t="s">
        <v>3824</v>
      </c>
      <c r="C1779" t="s">
        <v>47</v>
      </c>
      <c r="D1779" t="s">
        <v>45</v>
      </c>
      <c r="E1779" t="s">
        <v>45</v>
      </c>
      <c r="F1779" t="s">
        <v>49</v>
      </c>
      <c r="G1779" t="s">
        <v>3997</v>
      </c>
      <c r="H1779" t="s">
        <v>3998</v>
      </c>
      <c r="J1779" t="str">
        <f>HYPERLINK("https://www.facebook.com/454965103328545/videos/3697954183759550?comment_id=423207943420749&amp;reply_comment_id=7323921807673950","https://www.facebook.com/454965103328545/videos/3697954183759550?comment_id=423207943420749&amp;reply_comment_id=7323921807673950")</f>
        <v>https://www.facebook.com/454965103328545/videos/3697954183759550?comment_id=423207943420749&amp;reply_comment_id=7323921807673950</v>
      </c>
      <c r="O1779">
        <v>0</v>
      </c>
      <c r="P1779">
        <v>0</v>
      </c>
      <c r="Q1779">
        <v>0</v>
      </c>
      <c r="S1779">
        <v>0</v>
      </c>
      <c r="T1779">
        <v>0</v>
      </c>
      <c r="U1779">
        <v>0</v>
      </c>
      <c r="W1779" t="s">
        <v>62</v>
      </c>
    </row>
    <row r="1780" spans="1:23" x14ac:dyDescent="0.35">
      <c r="A1780" t="s">
        <v>45</v>
      </c>
      <c r="B1780" t="s">
        <v>3824</v>
      </c>
      <c r="C1780" t="s">
        <v>139</v>
      </c>
      <c r="D1780" t="s">
        <v>190</v>
      </c>
      <c r="E1780" t="s">
        <v>45</v>
      </c>
      <c r="F1780" t="s">
        <v>49</v>
      </c>
      <c r="G1780" t="s">
        <v>2984</v>
      </c>
      <c r="H1780" t="s">
        <v>3999</v>
      </c>
      <c r="J1780" t="str">
        <f>HYPERLINK("https://twitter.com/FinoPaymntsBank/status/1763810659236761815","https://twitter.com/FinoPaymntsBank/status/1763810659236761815")</f>
        <v>https://twitter.com/FinoPaymntsBank/status/1763810659236761815</v>
      </c>
      <c r="K1780" t="s">
        <v>145</v>
      </c>
      <c r="O1780">
        <v>0</v>
      </c>
      <c r="P1780">
        <v>0</v>
      </c>
      <c r="Q1780">
        <v>8411</v>
      </c>
      <c r="R1780" t="s">
        <v>193</v>
      </c>
      <c r="S1780">
        <v>0</v>
      </c>
      <c r="T1780">
        <v>0</v>
      </c>
      <c r="U1780">
        <v>0</v>
      </c>
      <c r="W1780" t="s">
        <v>146</v>
      </c>
    </row>
    <row r="1781" spans="1:23" x14ac:dyDescent="0.35">
      <c r="A1781" t="s">
        <v>45</v>
      </c>
      <c r="B1781" t="s">
        <v>3824</v>
      </c>
      <c r="C1781" t="s">
        <v>63</v>
      </c>
      <c r="D1781" t="s">
        <v>186</v>
      </c>
      <c r="E1781" t="s">
        <v>186</v>
      </c>
      <c r="F1781" t="s">
        <v>49</v>
      </c>
      <c r="G1781" t="s">
        <v>4000</v>
      </c>
      <c r="H1781" t="s">
        <v>4001</v>
      </c>
      <c r="J1781" t="str">
        <f>HYPERLINK("https://www.instagram.com/p/C3STh5ugtpX/","https://www.instagram.com/p/C3STh5ugtpX/")</f>
        <v>https://www.instagram.com/p/C3STh5ugtpX/</v>
      </c>
      <c r="O1781">
        <v>0</v>
      </c>
      <c r="P1781">
        <v>0</v>
      </c>
      <c r="Q1781">
        <v>0</v>
      </c>
      <c r="S1781">
        <v>0</v>
      </c>
      <c r="T1781">
        <v>0</v>
      </c>
      <c r="U1781">
        <v>0</v>
      </c>
      <c r="W1781" t="s">
        <v>62</v>
      </c>
    </row>
    <row r="1782" spans="1:23" x14ac:dyDescent="0.35">
      <c r="A1782" t="s">
        <v>45</v>
      </c>
      <c r="B1782" t="s">
        <v>3824</v>
      </c>
      <c r="C1782" t="s">
        <v>47</v>
      </c>
      <c r="D1782" t="s">
        <v>4002</v>
      </c>
      <c r="E1782" t="s">
        <v>4002</v>
      </c>
      <c r="F1782" t="s">
        <v>49</v>
      </c>
      <c r="G1782" t="s">
        <v>4003</v>
      </c>
      <c r="H1782" t="s">
        <v>4004</v>
      </c>
      <c r="J1782" t="str">
        <f>HYPERLINK("https://www.facebook.com/357267201017935/inbox/7104988916245696/","https://www.facebook.com/357267201017935/inbox/7104988916245696/")</f>
        <v>https://www.facebook.com/357267201017935/inbox/7104988916245696/</v>
      </c>
      <c r="O1782">
        <v>0</v>
      </c>
      <c r="P1782">
        <v>0</v>
      </c>
      <c r="Q1782">
        <v>0</v>
      </c>
      <c r="S1782">
        <v>0</v>
      </c>
      <c r="T1782">
        <v>0</v>
      </c>
      <c r="U1782">
        <v>0</v>
      </c>
      <c r="W1782" t="s">
        <v>52</v>
      </c>
    </row>
    <row r="1783" spans="1:23" x14ac:dyDescent="0.35">
      <c r="A1783" t="s">
        <v>45</v>
      </c>
      <c r="B1783" t="s">
        <v>3824</v>
      </c>
      <c r="C1783" t="s">
        <v>47</v>
      </c>
      <c r="D1783" t="s">
        <v>4002</v>
      </c>
      <c r="E1783" t="s">
        <v>4002</v>
      </c>
      <c r="F1783" t="s">
        <v>49</v>
      </c>
      <c r="G1783" t="s">
        <v>56</v>
      </c>
      <c r="H1783" t="s">
        <v>4005</v>
      </c>
      <c r="J1783" t="str">
        <f>HYPERLINK("https://www.facebook.com/357267201017935/inbox/7104988916245696/","https://www.facebook.com/357267201017935/inbox/7104988916245696/")</f>
        <v>https://www.facebook.com/357267201017935/inbox/7104988916245696/</v>
      </c>
      <c r="O1783">
        <v>0</v>
      </c>
      <c r="P1783">
        <v>0</v>
      </c>
      <c r="Q1783">
        <v>0</v>
      </c>
      <c r="S1783">
        <v>0</v>
      </c>
      <c r="T1783">
        <v>0</v>
      </c>
      <c r="U1783">
        <v>0</v>
      </c>
      <c r="W1783" t="s">
        <v>52</v>
      </c>
    </row>
    <row r="1784" spans="1:23" x14ac:dyDescent="0.35">
      <c r="A1784" t="s">
        <v>45</v>
      </c>
      <c r="B1784" t="s">
        <v>3824</v>
      </c>
      <c r="C1784" t="s">
        <v>47</v>
      </c>
      <c r="D1784" t="s">
        <v>4002</v>
      </c>
      <c r="E1784" t="s">
        <v>4002</v>
      </c>
      <c r="F1784" t="s">
        <v>49</v>
      </c>
      <c r="G1784" t="s">
        <v>4006</v>
      </c>
      <c r="H1784" t="s">
        <v>4007</v>
      </c>
      <c r="J1784" t="str">
        <f>HYPERLINK("https://www.facebook.com/357267201017935/inbox/7104988916245696/","https://www.facebook.com/357267201017935/inbox/7104988916245696/")</f>
        <v>https://www.facebook.com/357267201017935/inbox/7104988916245696/</v>
      </c>
      <c r="O1784">
        <v>0</v>
      </c>
      <c r="P1784">
        <v>0</v>
      </c>
      <c r="Q1784">
        <v>0</v>
      </c>
      <c r="S1784">
        <v>0</v>
      </c>
      <c r="T1784">
        <v>0</v>
      </c>
      <c r="U1784">
        <v>0</v>
      </c>
      <c r="W1784" t="s">
        <v>52</v>
      </c>
    </row>
    <row r="1785" spans="1:23" x14ac:dyDescent="0.35">
      <c r="A1785" t="s">
        <v>45</v>
      </c>
      <c r="B1785" t="s">
        <v>3824</v>
      </c>
      <c r="C1785" t="s">
        <v>47</v>
      </c>
      <c r="D1785" t="s">
        <v>45</v>
      </c>
      <c r="E1785" t="s">
        <v>45</v>
      </c>
      <c r="F1785" t="s">
        <v>49</v>
      </c>
      <c r="G1785" t="s">
        <v>4008</v>
      </c>
      <c r="H1785" t="s">
        <v>4009</v>
      </c>
      <c r="J1785" t="str">
        <f>HYPERLINK("https://www.facebook.com/357267201017935/inbox/7103624829715438/","https://www.facebook.com/357267201017935/inbox/7103624829715438/")</f>
        <v>https://www.facebook.com/357267201017935/inbox/7103624829715438/</v>
      </c>
      <c r="O1785">
        <v>0</v>
      </c>
      <c r="P1785">
        <v>0</v>
      </c>
      <c r="Q1785">
        <v>0</v>
      </c>
      <c r="S1785">
        <v>0</v>
      </c>
      <c r="T1785">
        <v>0</v>
      </c>
      <c r="U1785">
        <v>0</v>
      </c>
      <c r="W1785" t="s">
        <v>52</v>
      </c>
    </row>
    <row r="1786" spans="1:23" x14ac:dyDescent="0.35">
      <c r="A1786" t="s">
        <v>45</v>
      </c>
      <c r="B1786" t="s">
        <v>3824</v>
      </c>
      <c r="C1786" t="s">
        <v>47</v>
      </c>
      <c r="D1786" t="s">
        <v>45</v>
      </c>
      <c r="E1786" t="s">
        <v>45</v>
      </c>
      <c r="F1786" t="s">
        <v>49</v>
      </c>
      <c r="G1786" t="s">
        <v>4010</v>
      </c>
      <c r="H1786" t="s">
        <v>4011</v>
      </c>
      <c r="J1786" t="str">
        <f>HYPERLINK("https://www.facebook.com/357267201017935/posts/3069910089753619/?comment_id=1077462610190976&amp;reply_comment_id=1757699544714333","https://www.facebook.com/357267201017935/posts/3069910089753619/?comment_id=1077462610190976&amp;reply_comment_id=1757699544714333")</f>
        <v>https://www.facebook.com/357267201017935/posts/3069910089753619/?comment_id=1077462610190976&amp;reply_comment_id=1757699544714333</v>
      </c>
      <c r="O1786">
        <v>0</v>
      </c>
      <c r="P1786">
        <v>0</v>
      </c>
      <c r="Q1786">
        <v>0</v>
      </c>
      <c r="S1786">
        <v>0</v>
      </c>
      <c r="T1786">
        <v>0</v>
      </c>
      <c r="U1786">
        <v>0</v>
      </c>
      <c r="W1786" t="s">
        <v>62</v>
      </c>
    </row>
    <row r="1787" spans="1:23" x14ac:dyDescent="0.35">
      <c r="A1787" t="s">
        <v>45</v>
      </c>
      <c r="B1787" t="s">
        <v>3824</v>
      </c>
      <c r="C1787" t="s">
        <v>47</v>
      </c>
      <c r="D1787" t="s">
        <v>45</v>
      </c>
      <c r="E1787" t="s">
        <v>45</v>
      </c>
      <c r="F1787" t="s">
        <v>49</v>
      </c>
      <c r="G1787" t="s">
        <v>4012</v>
      </c>
      <c r="H1787" t="s">
        <v>4013</v>
      </c>
      <c r="J1787" t="str">
        <f>HYPERLINK("https://www.facebook.com/357267201017935/inbox/7012421342169121/","https://www.facebook.com/357267201017935/inbox/7012421342169121/")</f>
        <v>https://www.facebook.com/357267201017935/inbox/7012421342169121/</v>
      </c>
      <c r="O1787">
        <v>0</v>
      </c>
      <c r="P1787">
        <v>0</v>
      </c>
      <c r="Q1787">
        <v>0</v>
      </c>
      <c r="S1787">
        <v>0</v>
      </c>
      <c r="T1787">
        <v>0</v>
      </c>
      <c r="U1787">
        <v>0</v>
      </c>
      <c r="W1787" t="s">
        <v>52</v>
      </c>
    </row>
    <row r="1788" spans="1:23" x14ac:dyDescent="0.35">
      <c r="A1788" t="s">
        <v>45</v>
      </c>
      <c r="B1788" t="s">
        <v>3824</v>
      </c>
      <c r="C1788" t="s">
        <v>47</v>
      </c>
      <c r="D1788" t="s">
        <v>4002</v>
      </c>
      <c r="E1788" t="s">
        <v>4002</v>
      </c>
      <c r="F1788" t="s">
        <v>49</v>
      </c>
      <c r="G1788" t="s">
        <v>4014</v>
      </c>
      <c r="H1788" t="s">
        <v>4015</v>
      </c>
      <c r="J1788" t="str">
        <f>HYPERLINK("https://www.facebook.com/357267201017935/inbox/7104988916245696/","https://www.facebook.com/357267201017935/inbox/7104988916245696/")</f>
        <v>https://www.facebook.com/357267201017935/inbox/7104988916245696/</v>
      </c>
      <c r="O1788">
        <v>0</v>
      </c>
      <c r="P1788">
        <v>0</v>
      </c>
      <c r="Q1788">
        <v>0</v>
      </c>
      <c r="S1788">
        <v>0</v>
      </c>
      <c r="T1788">
        <v>0</v>
      </c>
      <c r="U1788">
        <v>0</v>
      </c>
      <c r="W1788" t="s">
        <v>52</v>
      </c>
    </row>
    <row r="1789" spans="1:23" x14ac:dyDescent="0.35">
      <c r="A1789" t="s">
        <v>45</v>
      </c>
      <c r="B1789" t="s">
        <v>3824</v>
      </c>
      <c r="C1789" t="s">
        <v>47</v>
      </c>
      <c r="D1789" t="s">
        <v>45</v>
      </c>
      <c r="E1789" t="s">
        <v>45</v>
      </c>
      <c r="F1789" t="s">
        <v>49</v>
      </c>
      <c r="G1789" t="s">
        <v>4016</v>
      </c>
      <c r="H1789" t="s">
        <v>4017</v>
      </c>
      <c r="J1789" t="str">
        <f>HYPERLINK("https://www.facebook.com/454965103328545/posts/768713601953692?comment_id=1373223803565419&amp;reply_comment_id=1616316189197018","https://www.facebook.com/454965103328545/posts/768713601953692?comment_id=1373223803565419&amp;reply_comment_id=1616316189197018")</f>
        <v>https://www.facebook.com/454965103328545/posts/768713601953692?comment_id=1373223803565419&amp;reply_comment_id=1616316189197018</v>
      </c>
      <c r="O1789">
        <v>0</v>
      </c>
      <c r="P1789">
        <v>0</v>
      </c>
      <c r="Q1789">
        <v>0</v>
      </c>
      <c r="S1789">
        <v>0</v>
      </c>
      <c r="T1789">
        <v>0</v>
      </c>
      <c r="U1789">
        <v>0</v>
      </c>
      <c r="W1789" t="s">
        <v>62</v>
      </c>
    </row>
    <row r="1790" spans="1:23" x14ac:dyDescent="0.35">
      <c r="A1790" t="s">
        <v>45</v>
      </c>
      <c r="B1790" t="s">
        <v>3824</v>
      </c>
      <c r="C1790" t="s">
        <v>47</v>
      </c>
      <c r="D1790" t="s">
        <v>45</v>
      </c>
      <c r="E1790" t="s">
        <v>45</v>
      </c>
      <c r="F1790" t="s">
        <v>49</v>
      </c>
      <c r="G1790" t="s">
        <v>4016</v>
      </c>
      <c r="H1790" t="s">
        <v>4018</v>
      </c>
      <c r="J1790" t="str">
        <f>HYPERLINK("https://www.facebook.com/454965103328545/posts/768713601953692?comment_id=1373223803565419&amp;reply_comment_id=322812463657378","https://www.facebook.com/454965103328545/posts/768713601953692?comment_id=1373223803565419&amp;reply_comment_id=322812463657378")</f>
        <v>https://www.facebook.com/454965103328545/posts/768713601953692?comment_id=1373223803565419&amp;reply_comment_id=322812463657378</v>
      </c>
      <c r="O1790">
        <v>0</v>
      </c>
      <c r="P1790">
        <v>0</v>
      </c>
      <c r="Q1790">
        <v>0</v>
      </c>
      <c r="S1790">
        <v>0</v>
      </c>
      <c r="T1790">
        <v>0</v>
      </c>
      <c r="U1790">
        <v>0</v>
      </c>
      <c r="W1790" t="s">
        <v>62</v>
      </c>
    </row>
    <row r="1791" spans="1:23" x14ac:dyDescent="0.35">
      <c r="A1791" t="s">
        <v>45</v>
      </c>
      <c r="B1791" t="s">
        <v>3824</v>
      </c>
      <c r="C1791" t="s">
        <v>47</v>
      </c>
      <c r="D1791" t="s">
        <v>45</v>
      </c>
      <c r="E1791" t="s">
        <v>45</v>
      </c>
      <c r="F1791" t="s">
        <v>49</v>
      </c>
      <c r="G1791" t="s">
        <v>4019</v>
      </c>
      <c r="H1791" t="s">
        <v>4020</v>
      </c>
      <c r="J1791" t="str">
        <f>HYPERLINK("https://www.facebook.com/357267201017935/inbox/7104988916245696/","https://www.facebook.com/357267201017935/inbox/7104988916245696/")</f>
        <v>https://www.facebook.com/357267201017935/inbox/7104988916245696/</v>
      </c>
      <c r="O1791">
        <v>0</v>
      </c>
      <c r="P1791">
        <v>0</v>
      </c>
      <c r="Q1791">
        <v>0</v>
      </c>
      <c r="S1791">
        <v>0</v>
      </c>
      <c r="T1791">
        <v>0</v>
      </c>
      <c r="U1791">
        <v>0</v>
      </c>
      <c r="W1791" t="s">
        <v>52</v>
      </c>
    </row>
    <row r="1792" spans="1:23" x14ac:dyDescent="0.35">
      <c r="A1792" t="s">
        <v>45</v>
      </c>
      <c r="B1792" t="s">
        <v>3824</v>
      </c>
      <c r="C1792" t="s">
        <v>63</v>
      </c>
      <c r="D1792" t="s">
        <v>186</v>
      </c>
      <c r="E1792" t="s">
        <v>186</v>
      </c>
      <c r="F1792" t="s">
        <v>49</v>
      </c>
      <c r="G1792" t="s">
        <v>4021</v>
      </c>
      <c r="H1792" t="s">
        <v>4022</v>
      </c>
      <c r="J1792" t="str">
        <f>HYPERLINK("https://www.instagram.com/reel/C3-FSIDtNJZ/","https://www.instagram.com/reel/C3-FSIDtNJZ/")</f>
        <v>https://www.instagram.com/reel/C3-FSIDtNJZ/</v>
      </c>
      <c r="O1792">
        <v>0</v>
      </c>
      <c r="P1792">
        <v>0</v>
      </c>
      <c r="Q1792">
        <v>0</v>
      </c>
      <c r="S1792">
        <v>0</v>
      </c>
      <c r="T1792">
        <v>0</v>
      </c>
      <c r="U1792">
        <v>0</v>
      </c>
      <c r="W1792" t="s">
        <v>62</v>
      </c>
    </row>
    <row r="1793" spans="1:45" x14ac:dyDescent="0.35">
      <c r="A1793" t="s">
        <v>45</v>
      </c>
      <c r="B1793" t="s">
        <v>3824</v>
      </c>
      <c r="C1793" t="s">
        <v>102</v>
      </c>
      <c r="D1793" t="s">
        <v>965</v>
      </c>
      <c r="E1793" t="s">
        <v>965</v>
      </c>
      <c r="F1793" t="s">
        <v>49</v>
      </c>
      <c r="G1793" t="s">
        <v>4023</v>
      </c>
      <c r="H1793" t="s">
        <v>4024</v>
      </c>
      <c r="J1793" t="str">
        <f>HYPERLINK("https://www.linkedin.com/feed/update/urn:li:share:7169574438739427329","https://www.linkedin.com/feed/update/urn:li:share:7169574438739427329")</f>
        <v>https://www.linkedin.com/feed/update/urn:li:share:7169574438739427329</v>
      </c>
      <c r="O1793">
        <v>0</v>
      </c>
      <c r="P1793">
        <v>0</v>
      </c>
      <c r="Q1793">
        <v>0</v>
      </c>
      <c r="S1793">
        <v>0</v>
      </c>
      <c r="T1793">
        <v>121</v>
      </c>
      <c r="U1793">
        <v>0</v>
      </c>
      <c r="W1793" t="s">
        <v>106</v>
      </c>
    </row>
    <row r="1794" spans="1:45" x14ac:dyDescent="0.35">
      <c r="A1794" t="s">
        <v>45</v>
      </c>
      <c r="B1794" t="s">
        <v>3824</v>
      </c>
      <c r="C1794" t="s">
        <v>58</v>
      </c>
      <c r="D1794" t="s">
        <v>277</v>
      </c>
      <c r="E1794" t="s">
        <v>277</v>
      </c>
      <c r="F1794" t="s">
        <v>49</v>
      </c>
      <c r="G1794" t="s">
        <v>320</v>
      </c>
      <c r="H1794" t="s">
        <v>4025</v>
      </c>
      <c r="J1794" t="str">
        <f>HYPERLINK("https://www.youtube.com/watch?v=n3kQsgUvu1k&amp;lc=Ugz4oRA-LZuBVUN-s9h4AaABAg.A0RjkqD76GIA0T_mbvZqsy","https://www.youtube.com/watch?v=n3kQsgUvu1k&amp;lc=Ugz4oRA-LZuBVUN-s9h4AaABAg.A0RjkqD76GIA0T_mbvZqsy")</f>
        <v>https://www.youtube.com/watch?v=n3kQsgUvu1k&amp;lc=Ugz4oRA-LZuBVUN-s9h4AaABAg.A0RjkqD76GIA0T_mbvZqsy</v>
      </c>
      <c r="O1794">
        <v>0</v>
      </c>
      <c r="P1794">
        <v>0</v>
      </c>
      <c r="Q1794">
        <v>0</v>
      </c>
      <c r="S1794">
        <v>0</v>
      </c>
      <c r="T1794">
        <v>0</v>
      </c>
      <c r="U1794">
        <v>0</v>
      </c>
      <c r="W1794" t="s">
        <v>62</v>
      </c>
    </row>
    <row r="1795" spans="1:45" x14ac:dyDescent="0.35">
      <c r="A1795" t="s">
        <v>45</v>
      </c>
      <c r="B1795" t="s">
        <v>3824</v>
      </c>
      <c r="C1795" t="s">
        <v>58</v>
      </c>
      <c r="D1795" t="s">
        <v>277</v>
      </c>
      <c r="E1795" t="s">
        <v>277</v>
      </c>
      <c r="F1795" t="s">
        <v>49</v>
      </c>
      <c r="G1795" t="s">
        <v>320</v>
      </c>
      <c r="H1795" t="s">
        <v>4026</v>
      </c>
      <c r="J1795" t="str">
        <f>HYPERLINK("https://www.youtube.com/watch?v=n3kQsgUvu1k&amp;lc=UgwG4uoWGbQABe5gUaF4AaABAg.A0RlmX8gM-IA0T_kRc2e6H","https://www.youtube.com/watch?v=n3kQsgUvu1k&amp;lc=UgwG4uoWGbQABe5gUaF4AaABAg.A0RlmX8gM-IA0T_kRc2e6H")</f>
        <v>https://www.youtube.com/watch?v=n3kQsgUvu1k&amp;lc=UgwG4uoWGbQABe5gUaF4AaABAg.A0RlmX8gM-IA0T_kRc2e6H</v>
      </c>
      <c r="O1795">
        <v>0</v>
      </c>
      <c r="P1795">
        <v>0</v>
      </c>
      <c r="Q1795">
        <v>0</v>
      </c>
      <c r="S1795">
        <v>0</v>
      </c>
      <c r="T1795">
        <v>0</v>
      </c>
      <c r="U1795">
        <v>0</v>
      </c>
      <c r="W1795" t="s">
        <v>62</v>
      </c>
    </row>
    <row r="1796" spans="1:45" x14ac:dyDescent="0.35">
      <c r="A1796" t="s">
        <v>45</v>
      </c>
      <c r="B1796" t="s">
        <v>3824</v>
      </c>
      <c r="C1796" t="s">
        <v>47</v>
      </c>
      <c r="D1796" t="s">
        <v>45</v>
      </c>
      <c r="E1796" t="s">
        <v>45</v>
      </c>
      <c r="F1796" t="s">
        <v>49</v>
      </c>
      <c r="G1796" t="s">
        <v>3007</v>
      </c>
      <c r="H1796" t="s">
        <v>4027</v>
      </c>
      <c r="J1796" t="str">
        <f>HYPERLINK("https://www.facebook.com/454965103328545/posts/780754084082977?comment_id=705864694769351&amp;reply_comment_id=407184668527588","https://www.facebook.com/454965103328545/posts/780754084082977?comment_id=705864694769351&amp;reply_comment_id=407184668527588")</f>
        <v>https://www.facebook.com/454965103328545/posts/780754084082977?comment_id=705864694769351&amp;reply_comment_id=407184668527588</v>
      </c>
      <c r="O1796">
        <v>0</v>
      </c>
      <c r="P1796">
        <v>0</v>
      </c>
      <c r="Q1796">
        <v>0</v>
      </c>
      <c r="S1796">
        <v>0</v>
      </c>
      <c r="T1796">
        <v>0</v>
      </c>
      <c r="U1796">
        <v>0</v>
      </c>
      <c r="W1796" t="s">
        <v>62</v>
      </c>
    </row>
    <row r="1797" spans="1:45" x14ac:dyDescent="0.35">
      <c r="A1797" t="s">
        <v>45</v>
      </c>
      <c r="B1797" t="s">
        <v>3824</v>
      </c>
      <c r="C1797" t="s">
        <v>63</v>
      </c>
      <c r="D1797" t="s">
        <v>186</v>
      </c>
      <c r="E1797" t="s">
        <v>186</v>
      </c>
      <c r="F1797" t="s">
        <v>49</v>
      </c>
      <c r="G1797" t="s">
        <v>320</v>
      </c>
      <c r="H1797" t="s">
        <v>4028</v>
      </c>
      <c r="J1797" t="str">
        <f>HYPERLINK("https://www.instagram.com/p/C347kvDs160/","https://www.instagram.com/p/C347kvDs160/")</f>
        <v>https://www.instagram.com/p/C347kvDs160/</v>
      </c>
      <c r="O1797">
        <v>0</v>
      </c>
      <c r="P1797">
        <v>0</v>
      </c>
      <c r="Q1797">
        <v>0</v>
      </c>
      <c r="S1797">
        <v>0</v>
      </c>
      <c r="T1797">
        <v>0</v>
      </c>
      <c r="U1797">
        <v>0</v>
      </c>
      <c r="W1797" t="s">
        <v>62</v>
      </c>
    </row>
    <row r="1798" spans="1:45" x14ac:dyDescent="0.35">
      <c r="A1798" t="s">
        <v>45</v>
      </c>
      <c r="B1798" t="s">
        <v>3824</v>
      </c>
      <c r="C1798" t="s">
        <v>63</v>
      </c>
      <c r="D1798" t="s">
        <v>186</v>
      </c>
      <c r="E1798" t="s">
        <v>186</v>
      </c>
      <c r="F1798" t="s">
        <v>49</v>
      </c>
      <c r="G1798" t="s">
        <v>296</v>
      </c>
      <c r="H1798" t="s">
        <v>4029</v>
      </c>
      <c r="J1798" t="str">
        <f>HYPERLINK("https://www.instagram.com/p/C3U1uytgenK/","https://www.instagram.com/p/C3U1uytgenK/")</f>
        <v>https://www.instagram.com/p/C3U1uytgenK/</v>
      </c>
      <c r="O1798">
        <v>0</v>
      </c>
      <c r="P1798">
        <v>0</v>
      </c>
      <c r="Q1798">
        <v>0</v>
      </c>
      <c r="S1798">
        <v>0</v>
      </c>
      <c r="T1798">
        <v>0</v>
      </c>
      <c r="U1798">
        <v>0</v>
      </c>
      <c r="W1798" t="s">
        <v>62</v>
      </c>
    </row>
    <row r="1799" spans="1:45" x14ac:dyDescent="0.35">
      <c r="A1799" t="s">
        <v>45</v>
      </c>
      <c r="B1799" t="s">
        <v>3824</v>
      </c>
      <c r="C1799" t="s">
        <v>47</v>
      </c>
      <c r="D1799" t="s">
        <v>45</v>
      </c>
      <c r="E1799" t="s">
        <v>45</v>
      </c>
      <c r="F1799" t="s">
        <v>49</v>
      </c>
      <c r="G1799" t="s">
        <v>4030</v>
      </c>
      <c r="H1799" t="s">
        <v>4031</v>
      </c>
      <c r="J1799" t="str">
        <f>HYPERLINK("https://www.facebook.com/454965103328545/videos/3697954183759550?comment_id=3587881161433727&amp;reply_comment_id=2038557513190705","https://www.facebook.com/454965103328545/videos/3697954183759550?comment_id=3587881161433727&amp;reply_comment_id=2038557513190705")</f>
        <v>https://www.facebook.com/454965103328545/videos/3697954183759550?comment_id=3587881161433727&amp;reply_comment_id=2038557513190705</v>
      </c>
      <c r="O1799">
        <v>0</v>
      </c>
      <c r="P1799">
        <v>0</v>
      </c>
      <c r="Q1799">
        <v>0</v>
      </c>
      <c r="S1799">
        <v>0</v>
      </c>
      <c r="T1799">
        <v>0</v>
      </c>
      <c r="U1799">
        <v>0</v>
      </c>
      <c r="W1799" t="s">
        <v>62</v>
      </c>
    </row>
    <row r="1800" spans="1:45" x14ac:dyDescent="0.35">
      <c r="A1800" t="s">
        <v>45</v>
      </c>
      <c r="B1800" t="s">
        <v>3824</v>
      </c>
      <c r="C1800" t="s">
        <v>102</v>
      </c>
      <c r="D1800" t="s">
        <v>965</v>
      </c>
      <c r="E1800" t="s">
        <v>965</v>
      </c>
      <c r="F1800" t="s">
        <v>49</v>
      </c>
      <c r="G1800" t="s">
        <v>4032</v>
      </c>
      <c r="H1800" t="s">
        <v>4033</v>
      </c>
      <c r="J1800" t="str">
        <f>HYPERLINK("https://www.linkedin.com/feed/update/urn:li:share:7169571597127823360","https://www.linkedin.com/feed/update/urn:li:share:7169571597127823360")</f>
        <v>https://www.linkedin.com/feed/update/urn:li:share:7169571597127823360</v>
      </c>
      <c r="O1800">
        <v>0</v>
      </c>
      <c r="P1800">
        <v>0</v>
      </c>
      <c r="Q1800">
        <v>0</v>
      </c>
      <c r="S1800">
        <v>0</v>
      </c>
      <c r="T1800">
        <v>63</v>
      </c>
      <c r="U1800">
        <v>0</v>
      </c>
      <c r="W1800" t="s">
        <v>106</v>
      </c>
    </row>
    <row r="1801" spans="1:45" x14ac:dyDescent="0.35">
      <c r="A1801" t="s">
        <v>45</v>
      </c>
      <c r="B1801" t="s">
        <v>3824</v>
      </c>
      <c r="C1801" t="s">
        <v>47</v>
      </c>
      <c r="D1801" t="s">
        <v>45</v>
      </c>
      <c r="E1801" t="s">
        <v>45</v>
      </c>
      <c r="F1801" t="s">
        <v>49</v>
      </c>
      <c r="G1801" t="s">
        <v>3811</v>
      </c>
      <c r="H1801" t="s">
        <v>4034</v>
      </c>
      <c r="J1801" t="str">
        <f>HYPERLINK("https://www.facebook.com/357267201017935_781243094034076","https://www.facebook.com/357267201017935_781243094034076")</f>
        <v>https://www.facebook.com/357267201017935_781243094034076</v>
      </c>
      <c r="O1801">
        <v>0</v>
      </c>
      <c r="P1801">
        <v>0</v>
      </c>
      <c r="Q1801">
        <v>0</v>
      </c>
      <c r="S1801">
        <v>2</v>
      </c>
      <c r="T1801">
        <v>19</v>
      </c>
      <c r="U1801">
        <v>3</v>
      </c>
      <c r="W1801" t="s">
        <v>106</v>
      </c>
    </row>
    <row r="1802" spans="1:45" x14ac:dyDescent="0.35">
      <c r="A1802" t="s">
        <v>45</v>
      </c>
      <c r="B1802" t="s">
        <v>3824</v>
      </c>
      <c r="C1802" t="s">
        <v>47</v>
      </c>
      <c r="D1802" t="s">
        <v>4035</v>
      </c>
      <c r="E1802" t="s">
        <v>4035</v>
      </c>
      <c r="F1802" t="s">
        <v>49</v>
      </c>
      <c r="G1802" t="s">
        <v>4036</v>
      </c>
      <c r="H1802" t="s">
        <v>4037</v>
      </c>
      <c r="J1802" t="str">
        <f>HYPERLINK("https://www.facebook.com/454965103328545/videos/3697954183759550?comment_id=3587881161433727","https://www.facebook.com/454965103328545/videos/3697954183759550?comment_id=3587881161433727")</f>
        <v>https://www.facebook.com/454965103328545/videos/3697954183759550?comment_id=3587881161433727</v>
      </c>
      <c r="O1802">
        <v>0</v>
      </c>
      <c r="P1802">
        <v>0</v>
      </c>
      <c r="Q1802">
        <v>0</v>
      </c>
      <c r="S1802">
        <v>0</v>
      </c>
      <c r="T1802">
        <v>0</v>
      </c>
      <c r="U1802">
        <v>0</v>
      </c>
      <c r="W1802" t="s">
        <v>62</v>
      </c>
      <c r="AS1802" t="s">
        <v>375</v>
      </c>
    </row>
    <row r="1803" spans="1:45" x14ac:dyDescent="0.35">
      <c r="A1803" t="s">
        <v>45</v>
      </c>
      <c r="B1803" t="s">
        <v>3824</v>
      </c>
      <c r="C1803" t="s">
        <v>139</v>
      </c>
      <c r="D1803" t="s">
        <v>1820</v>
      </c>
      <c r="E1803" t="s">
        <v>1821</v>
      </c>
      <c r="F1803" t="s">
        <v>49</v>
      </c>
      <c r="G1803" t="s">
        <v>4038</v>
      </c>
      <c r="H1803" t="s">
        <v>4039</v>
      </c>
      <c r="J1803" t="str">
        <f>HYPERLINK("https://twitter.com/b_sakhi1935/status/1763794879111458870","https://twitter.com/b_sakhi1935/status/1763794879111458870")</f>
        <v>https://twitter.com/b_sakhi1935/status/1763794879111458870</v>
      </c>
      <c r="K1803" t="s">
        <v>1769</v>
      </c>
      <c r="O1803">
        <v>0</v>
      </c>
      <c r="P1803">
        <v>0</v>
      </c>
      <c r="Q1803">
        <v>0</v>
      </c>
      <c r="S1803">
        <v>0</v>
      </c>
      <c r="T1803">
        <v>0</v>
      </c>
      <c r="U1803">
        <v>0</v>
      </c>
      <c r="W1803" t="s">
        <v>146</v>
      </c>
      <c r="AO1803" t="s">
        <v>67</v>
      </c>
      <c r="AP1803" t="s">
        <v>101</v>
      </c>
    </row>
    <row r="1804" spans="1:45" x14ac:dyDescent="0.35">
      <c r="A1804" t="s">
        <v>45</v>
      </c>
      <c r="B1804" t="s">
        <v>3824</v>
      </c>
      <c r="C1804" t="s">
        <v>139</v>
      </c>
      <c r="D1804" t="s">
        <v>2013</v>
      </c>
      <c r="E1804" t="s">
        <v>2014</v>
      </c>
      <c r="F1804" t="s">
        <v>49</v>
      </c>
      <c r="G1804" t="s">
        <v>4040</v>
      </c>
      <c r="H1804" t="s">
        <v>4041</v>
      </c>
      <c r="J1804" t="str">
        <f>HYPERLINK("https://twitter.com/acpdileep/status/1763754035461648522","https://twitter.com/acpdileep/status/1763754035461648522")</f>
        <v>https://twitter.com/acpdileep/status/1763754035461648522</v>
      </c>
      <c r="O1804">
        <v>0</v>
      </c>
      <c r="P1804">
        <v>0</v>
      </c>
      <c r="Q1804">
        <v>97</v>
      </c>
      <c r="R1804" t="s">
        <v>582</v>
      </c>
      <c r="S1804">
        <v>0</v>
      </c>
      <c r="T1804">
        <v>0</v>
      </c>
      <c r="U1804">
        <v>0</v>
      </c>
      <c r="W1804" t="s">
        <v>146</v>
      </c>
    </row>
    <row r="1805" spans="1:45" x14ac:dyDescent="0.35">
      <c r="A1805" t="s">
        <v>45</v>
      </c>
      <c r="B1805" t="s">
        <v>3824</v>
      </c>
      <c r="C1805" t="s">
        <v>47</v>
      </c>
      <c r="D1805" t="s">
        <v>1954</v>
      </c>
      <c r="E1805" t="s">
        <v>1954</v>
      </c>
      <c r="F1805" t="s">
        <v>49</v>
      </c>
      <c r="G1805" t="s">
        <v>4042</v>
      </c>
      <c r="H1805" t="s">
        <v>4043</v>
      </c>
      <c r="J1805" t="str">
        <f>HYPERLINK("https://www.facebook.com/454965103328545/posts/773139534844432?comment_id=409898861779136&amp;reply_comment_id=3243043846001258","https://www.facebook.com/454965103328545/posts/773139534844432?comment_id=409898861779136&amp;reply_comment_id=3243043846001258")</f>
        <v>https://www.facebook.com/454965103328545/posts/773139534844432?comment_id=409898861779136&amp;reply_comment_id=3243043846001258</v>
      </c>
      <c r="O1805">
        <v>0</v>
      </c>
      <c r="P1805">
        <v>0</v>
      </c>
      <c r="Q1805">
        <v>0</v>
      </c>
      <c r="S1805">
        <v>0</v>
      </c>
      <c r="T1805">
        <v>0</v>
      </c>
      <c r="U1805">
        <v>0</v>
      </c>
      <c r="W1805" t="s">
        <v>62</v>
      </c>
    </row>
    <row r="1806" spans="1:45" x14ac:dyDescent="0.35">
      <c r="A1806" t="s">
        <v>45</v>
      </c>
      <c r="B1806" t="s">
        <v>3824</v>
      </c>
      <c r="C1806" t="s">
        <v>63</v>
      </c>
      <c r="D1806" t="s">
        <v>4044</v>
      </c>
      <c r="E1806" t="s">
        <v>4044</v>
      </c>
      <c r="F1806" t="s">
        <v>49</v>
      </c>
      <c r="G1806" t="s">
        <v>4045</v>
      </c>
      <c r="H1806" t="s">
        <v>4046</v>
      </c>
      <c r="J1806" t="str">
        <f>HYPERLINK("https://www.instagram.com/p/C3U1uytgenK/","https://www.instagram.com/p/C3U1uytgenK/")</f>
        <v>https://www.instagram.com/p/C3U1uytgenK/</v>
      </c>
      <c r="O1806">
        <v>0</v>
      </c>
      <c r="P1806">
        <v>0</v>
      </c>
      <c r="Q1806">
        <v>0</v>
      </c>
      <c r="S1806">
        <v>0</v>
      </c>
      <c r="T1806">
        <v>0</v>
      </c>
      <c r="U1806">
        <v>0</v>
      </c>
      <c r="W1806" t="s">
        <v>62</v>
      </c>
      <c r="AP1806" t="s">
        <v>94</v>
      </c>
      <c r="AS1806" t="s">
        <v>375</v>
      </c>
    </row>
    <row r="1807" spans="1:45" x14ac:dyDescent="0.35">
      <c r="A1807" t="s">
        <v>45</v>
      </c>
      <c r="B1807" t="s">
        <v>3824</v>
      </c>
      <c r="C1807" t="s">
        <v>47</v>
      </c>
      <c r="D1807" t="s">
        <v>4047</v>
      </c>
      <c r="E1807" t="s">
        <v>4047</v>
      </c>
      <c r="F1807" t="s">
        <v>49</v>
      </c>
      <c r="G1807" t="s">
        <v>2326</v>
      </c>
      <c r="H1807" t="s">
        <v>4048</v>
      </c>
      <c r="J1807" t="str">
        <f>HYPERLINK("https://www.facebook.com/454965103328545/posts/780754084082977?comment_id=422416686915367","https://www.facebook.com/454965103328545/posts/780754084082977?comment_id=422416686915367")</f>
        <v>https://www.facebook.com/454965103328545/posts/780754084082977?comment_id=422416686915367</v>
      </c>
      <c r="O1807">
        <v>0</v>
      </c>
      <c r="P1807">
        <v>0</v>
      </c>
      <c r="Q1807">
        <v>0</v>
      </c>
      <c r="S1807">
        <v>0</v>
      </c>
      <c r="T1807">
        <v>0</v>
      </c>
      <c r="U1807">
        <v>0</v>
      </c>
      <c r="W1807" t="s">
        <v>62</v>
      </c>
    </row>
    <row r="1808" spans="1:45" x14ac:dyDescent="0.35">
      <c r="A1808" t="s">
        <v>45</v>
      </c>
      <c r="B1808" t="s">
        <v>3824</v>
      </c>
      <c r="C1808" t="s">
        <v>47</v>
      </c>
      <c r="D1808" t="s">
        <v>4049</v>
      </c>
      <c r="E1808" t="s">
        <v>4049</v>
      </c>
      <c r="F1808" t="s">
        <v>49</v>
      </c>
      <c r="G1808" t="s">
        <v>253</v>
      </c>
      <c r="H1808" t="s">
        <v>4050</v>
      </c>
      <c r="J1808" t="str">
        <f>HYPERLINK("https://www.facebook.com/357267201017935/inbox/7107159509361970/","https://www.facebook.com/357267201017935/inbox/7107159509361970/")</f>
        <v>https://www.facebook.com/357267201017935/inbox/7107159509361970/</v>
      </c>
      <c r="O1808">
        <v>0</v>
      </c>
      <c r="P1808">
        <v>0</v>
      </c>
      <c r="Q1808">
        <v>0</v>
      </c>
      <c r="S1808">
        <v>0</v>
      </c>
      <c r="T1808">
        <v>0</v>
      </c>
      <c r="U1808">
        <v>0</v>
      </c>
      <c r="W1808" t="s">
        <v>52</v>
      </c>
    </row>
    <row r="1809" spans="1:45" x14ac:dyDescent="0.35">
      <c r="A1809" t="s">
        <v>45</v>
      </c>
      <c r="B1809" t="s">
        <v>4051</v>
      </c>
      <c r="C1809" t="s">
        <v>102</v>
      </c>
      <c r="D1809" t="s">
        <v>4052</v>
      </c>
      <c r="E1809" t="s">
        <v>4052</v>
      </c>
      <c r="F1809" t="s">
        <v>49</v>
      </c>
      <c r="G1809" t="s">
        <v>4053</v>
      </c>
      <c r="H1809" t="s">
        <v>4054</v>
      </c>
      <c r="J1809" t="str">
        <f>HYPERLINK("https://www.linkedin.com/feed/update/urn:li:ugcPost:7169391499946741762","https://www.linkedin.com/feed/update/urn:li:ugcPost:7169391499946741762")</f>
        <v>https://www.linkedin.com/feed/update/urn:li:ugcPost:7169391499946741762</v>
      </c>
      <c r="O1809">
        <v>0</v>
      </c>
      <c r="P1809">
        <v>0</v>
      </c>
      <c r="Q1809">
        <v>0</v>
      </c>
      <c r="S1809">
        <v>0</v>
      </c>
      <c r="T1809">
        <v>0</v>
      </c>
      <c r="U1809">
        <v>0</v>
      </c>
      <c r="W1809" t="s">
        <v>106</v>
      </c>
    </row>
    <row r="1810" spans="1:45" x14ac:dyDescent="0.35">
      <c r="A1810" t="s">
        <v>45</v>
      </c>
      <c r="B1810" t="s">
        <v>4051</v>
      </c>
      <c r="C1810" t="s">
        <v>102</v>
      </c>
      <c r="D1810" t="s">
        <v>4055</v>
      </c>
      <c r="E1810" t="s">
        <v>4055</v>
      </c>
      <c r="F1810" t="s">
        <v>49</v>
      </c>
      <c r="G1810" t="s">
        <v>4056</v>
      </c>
      <c r="H1810" t="s">
        <v>4057</v>
      </c>
      <c r="J1810" t="str">
        <f>HYPERLINK("https://www.linkedin.com/feed/update/urn:li:activity:7168921987141058562/?commentUrn=urn:li:comment:(urn:li:activity:7168921987141058562,7169391249781604353)","https://www.linkedin.com/feed/update/urn:li:activity:7168921987141058562/?commentUrn=urn:li:comment:(urn:li:activity:7168921987141058562,7169391249781604353)")</f>
        <v>https://www.linkedin.com/feed/update/urn:li:activity:7168921987141058562/?commentUrn=urn:li:comment:(urn:li:activity:7168921987141058562,7169391249781604353)</v>
      </c>
      <c r="O1810">
        <v>0</v>
      </c>
      <c r="P1810">
        <v>0</v>
      </c>
      <c r="Q1810">
        <v>0</v>
      </c>
      <c r="S1810">
        <v>0</v>
      </c>
      <c r="T1810">
        <v>0</v>
      </c>
      <c r="U1810">
        <v>0</v>
      </c>
      <c r="W1810" t="s">
        <v>62</v>
      </c>
    </row>
    <row r="1811" spans="1:45" x14ac:dyDescent="0.35">
      <c r="A1811" t="s">
        <v>45</v>
      </c>
      <c r="B1811" t="s">
        <v>4051</v>
      </c>
      <c r="C1811" t="s">
        <v>47</v>
      </c>
      <c r="D1811" t="s">
        <v>4058</v>
      </c>
      <c r="E1811" t="s">
        <v>4058</v>
      </c>
      <c r="F1811" t="s">
        <v>49</v>
      </c>
      <c r="G1811" t="s">
        <v>4059</v>
      </c>
      <c r="H1811" t="s">
        <v>4060</v>
      </c>
      <c r="J1811" t="str">
        <f>HYPERLINK("https://www.facebook.com/454965103328545/posts/780222857469433?comment_id=3672974886305573","https://www.facebook.com/454965103328545/posts/780222857469433?comment_id=3672974886305573")</f>
        <v>https://www.facebook.com/454965103328545/posts/780222857469433?comment_id=3672974886305573</v>
      </c>
      <c r="O1811">
        <v>0</v>
      </c>
      <c r="P1811">
        <v>0</v>
      </c>
      <c r="Q1811">
        <v>0</v>
      </c>
      <c r="S1811">
        <v>0</v>
      </c>
      <c r="T1811">
        <v>0</v>
      </c>
      <c r="U1811">
        <v>0</v>
      </c>
      <c r="W1811" t="s">
        <v>62</v>
      </c>
    </row>
    <row r="1812" spans="1:45" x14ac:dyDescent="0.35">
      <c r="A1812" t="s">
        <v>45</v>
      </c>
      <c r="B1812" t="s">
        <v>4051</v>
      </c>
      <c r="C1812" t="s">
        <v>47</v>
      </c>
      <c r="D1812" t="s">
        <v>4061</v>
      </c>
      <c r="E1812" t="s">
        <v>4061</v>
      </c>
      <c r="F1812" t="s">
        <v>49</v>
      </c>
      <c r="G1812" t="s">
        <v>4062</v>
      </c>
      <c r="H1812" t="s">
        <v>4063</v>
      </c>
      <c r="J1812" t="str">
        <f>HYPERLINK("https://www.facebook.com/454965103328545/posts/780222857469433?comment_id=721053000160068","https://www.facebook.com/454965103328545/posts/780222857469433?comment_id=721053000160068")</f>
        <v>https://www.facebook.com/454965103328545/posts/780222857469433?comment_id=721053000160068</v>
      </c>
      <c r="O1812">
        <v>0</v>
      </c>
      <c r="P1812">
        <v>0</v>
      </c>
      <c r="Q1812">
        <v>0</v>
      </c>
      <c r="S1812">
        <v>0</v>
      </c>
      <c r="T1812">
        <v>0</v>
      </c>
      <c r="U1812">
        <v>0</v>
      </c>
      <c r="W1812" t="s">
        <v>62</v>
      </c>
    </row>
    <row r="1813" spans="1:45" x14ac:dyDescent="0.35">
      <c r="A1813" t="s">
        <v>45</v>
      </c>
      <c r="B1813" t="s">
        <v>4051</v>
      </c>
      <c r="C1813" t="s">
        <v>63</v>
      </c>
      <c r="D1813" t="s">
        <v>4064</v>
      </c>
      <c r="E1813" t="s">
        <v>4064</v>
      </c>
      <c r="F1813" t="s">
        <v>49</v>
      </c>
      <c r="G1813" t="s">
        <v>4065</v>
      </c>
      <c r="H1813" t="s">
        <v>4066</v>
      </c>
      <c r="J1813" t="str">
        <f>HYPERLINK("https://www.instagram.com/p/C347kvDs160/","https://www.instagram.com/p/C347kvDs160/")</f>
        <v>https://www.instagram.com/p/C347kvDs160/</v>
      </c>
      <c r="O1813">
        <v>0</v>
      </c>
      <c r="P1813">
        <v>0</v>
      </c>
      <c r="Q1813">
        <v>0</v>
      </c>
      <c r="S1813">
        <v>0</v>
      </c>
      <c r="T1813">
        <v>0</v>
      </c>
      <c r="U1813">
        <v>0</v>
      </c>
      <c r="W1813" t="s">
        <v>62</v>
      </c>
      <c r="AS1813" t="s">
        <v>375</v>
      </c>
    </row>
    <row r="1814" spans="1:45" x14ac:dyDescent="0.35">
      <c r="A1814" t="s">
        <v>45</v>
      </c>
      <c r="B1814" t="s">
        <v>4051</v>
      </c>
      <c r="C1814" t="s">
        <v>47</v>
      </c>
      <c r="D1814" t="s">
        <v>4067</v>
      </c>
      <c r="E1814" t="s">
        <v>4067</v>
      </c>
      <c r="F1814" t="s">
        <v>49</v>
      </c>
      <c r="G1814" t="s">
        <v>4068</v>
      </c>
      <c r="H1814" t="s">
        <v>4069</v>
      </c>
      <c r="J1814" t="str">
        <f>HYPERLINK("https://www.facebook.com/454965103328545/posts/780222857469433?comment_id=372348012273843","https://www.facebook.com/454965103328545/posts/780222857469433?comment_id=372348012273843")</f>
        <v>https://www.facebook.com/454965103328545/posts/780222857469433?comment_id=372348012273843</v>
      </c>
      <c r="O1814">
        <v>0</v>
      </c>
      <c r="P1814">
        <v>0</v>
      </c>
      <c r="Q1814">
        <v>0</v>
      </c>
      <c r="S1814">
        <v>0</v>
      </c>
      <c r="T1814">
        <v>0</v>
      </c>
      <c r="U1814">
        <v>0</v>
      </c>
      <c r="W1814" t="s">
        <v>62</v>
      </c>
    </row>
    <row r="1815" spans="1:45" x14ac:dyDescent="0.35">
      <c r="A1815" t="s">
        <v>45</v>
      </c>
      <c r="B1815" t="s">
        <v>4051</v>
      </c>
      <c r="C1815" t="s">
        <v>47</v>
      </c>
      <c r="D1815" t="s">
        <v>1284</v>
      </c>
      <c r="E1815" t="s">
        <v>1284</v>
      </c>
      <c r="F1815" t="s">
        <v>49</v>
      </c>
      <c r="G1815" t="s">
        <v>4070</v>
      </c>
      <c r="H1815" t="s">
        <v>4071</v>
      </c>
      <c r="J1815" t="str">
        <f>HYPERLINK("https://www.facebook.com/454965103328545/posts/780754084082977?comment_id=705864694769351","https://www.facebook.com/454965103328545/posts/780754084082977?comment_id=705864694769351")</f>
        <v>https://www.facebook.com/454965103328545/posts/780754084082977?comment_id=705864694769351</v>
      </c>
      <c r="O1815">
        <v>0</v>
      </c>
      <c r="P1815">
        <v>0</v>
      </c>
      <c r="Q1815">
        <v>0</v>
      </c>
      <c r="S1815">
        <v>0</v>
      </c>
      <c r="T1815">
        <v>0</v>
      </c>
      <c r="U1815">
        <v>0</v>
      </c>
      <c r="W1815" t="s">
        <v>62</v>
      </c>
      <c r="AS1815" t="s">
        <v>375</v>
      </c>
    </row>
    <row r="1816" spans="1:45" x14ac:dyDescent="0.35">
      <c r="A1816" t="s">
        <v>45</v>
      </c>
      <c r="B1816" t="s">
        <v>4051</v>
      </c>
      <c r="C1816" t="s">
        <v>58</v>
      </c>
      <c r="D1816" t="s">
        <v>1374</v>
      </c>
      <c r="E1816" t="s">
        <v>1374</v>
      </c>
      <c r="F1816" t="s">
        <v>49</v>
      </c>
      <c r="G1816" t="s">
        <v>4072</v>
      </c>
      <c r="H1816" t="s">
        <v>4073</v>
      </c>
      <c r="J1816" t="str">
        <f>HYPERLINK("https://www.youtube.com/watch?v=v1FGNg5bvrk","https://www.youtube.com/watch?v=v1FGNg5bvrk")</f>
        <v>https://www.youtube.com/watch?v=v1FGNg5bvrk</v>
      </c>
      <c r="O1816">
        <v>0</v>
      </c>
      <c r="P1816">
        <v>0</v>
      </c>
      <c r="Q1816">
        <v>0</v>
      </c>
      <c r="S1816">
        <v>0</v>
      </c>
      <c r="T1816">
        <v>0</v>
      </c>
      <c r="U1816">
        <v>0</v>
      </c>
      <c r="W1816" t="s">
        <v>106</v>
      </c>
    </row>
    <row r="1817" spans="1:45" x14ac:dyDescent="0.35">
      <c r="A1817" t="s">
        <v>45</v>
      </c>
      <c r="B1817" t="s">
        <v>4051</v>
      </c>
      <c r="C1817" t="s">
        <v>58</v>
      </c>
      <c r="D1817" t="s">
        <v>3216</v>
      </c>
      <c r="E1817" t="s">
        <v>3216</v>
      </c>
      <c r="F1817" t="s">
        <v>49</v>
      </c>
      <c r="G1817" t="s">
        <v>4074</v>
      </c>
      <c r="H1817" t="s">
        <v>4075</v>
      </c>
      <c r="J1817" t="str">
        <f>HYPERLINK("https://www.youtube.com/watch?v=Tlo_D5dAoUM","https://www.youtube.com/watch?v=Tlo_D5dAoUM")</f>
        <v>https://www.youtube.com/watch?v=Tlo_D5dAoUM</v>
      </c>
      <c r="O1817">
        <v>0</v>
      </c>
      <c r="P1817">
        <v>0</v>
      </c>
      <c r="Q1817">
        <v>0</v>
      </c>
      <c r="S1817">
        <v>0</v>
      </c>
      <c r="T1817">
        <v>0</v>
      </c>
      <c r="U1817">
        <v>0</v>
      </c>
      <c r="W1817" t="s">
        <v>106</v>
      </c>
      <c r="AP1817" t="s">
        <v>101</v>
      </c>
    </row>
    <row r="1818" spans="1:45" x14ac:dyDescent="0.35">
      <c r="A1818" t="s">
        <v>45</v>
      </c>
      <c r="B1818" t="s">
        <v>4051</v>
      </c>
      <c r="C1818" t="s">
        <v>139</v>
      </c>
      <c r="D1818" t="s">
        <v>942</v>
      </c>
      <c r="E1818" t="s">
        <v>943</v>
      </c>
      <c r="F1818" t="s">
        <v>49</v>
      </c>
      <c r="G1818" t="s">
        <v>4076</v>
      </c>
      <c r="H1818" t="s">
        <v>4077</v>
      </c>
      <c r="J1818" t="str">
        <f>HYPERLINK("https://twitter.com/rajendras1819/status/1763570396421611730","https://twitter.com/rajendras1819/status/1763570396421611730")</f>
        <v>https://twitter.com/rajendras1819/status/1763570396421611730</v>
      </c>
      <c r="O1818">
        <v>0</v>
      </c>
      <c r="P1818">
        <v>0</v>
      </c>
      <c r="Q1818">
        <v>258</v>
      </c>
      <c r="R1818" t="s">
        <v>946</v>
      </c>
      <c r="S1818">
        <v>0</v>
      </c>
      <c r="T1818">
        <v>0</v>
      </c>
      <c r="U1818">
        <v>0</v>
      </c>
      <c r="W1818" t="s">
        <v>552</v>
      </c>
    </row>
    <row r="1819" spans="1:45" x14ac:dyDescent="0.35">
      <c r="A1819" t="s">
        <v>45</v>
      </c>
      <c r="B1819" t="s">
        <v>4051</v>
      </c>
      <c r="C1819" t="s">
        <v>139</v>
      </c>
      <c r="D1819" t="s">
        <v>942</v>
      </c>
      <c r="E1819" t="s">
        <v>943</v>
      </c>
      <c r="F1819" t="s">
        <v>49</v>
      </c>
      <c r="G1819" t="s">
        <v>4078</v>
      </c>
      <c r="H1819" t="s">
        <v>4079</v>
      </c>
      <c r="J1819" t="str">
        <f>HYPERLINK("https://twitter.com/rajendras1819/status/1763570348854006087","https://twitter.com/rajendras1819/status/1763570348854006087")</f>
        <v>https://twitter.com/rajendras1819/status/1763570348854006087</v>
      </c>
      <c r="O1819">
        <v>0</v>
      </c>
      <c r="P1819">
        <v>0</v>
      </c>
      <c r="Q1819">
        <v>258</v>
      </c>
      <c r="R1819" t="s">
        <v>946</v>
      </c>
      <c r="S1819">
        <v>0</v>
      </c>
      <c r="T1819">
        <v>0</v>
      </c>
      <c r="U1819">
        <v>0</v>
      </c>
      <c r="W1819" t="s">
        <v>552</v>
      </c>
    </row>
    <row r="1820" spans="1:45" x14ac:dyDescent="0.35">
      <c r="A1820" t="s">
        <v>45</v>
      </c>
      <c r="B1820" t="s">
        <v>4051</v>
      </c>
      <c r="C1820" t="s">
        <v>102</v>
      </c>
      <c r="D1820" t="s">
        <v>4080</v>
      </c>
      <c r="E1820" t="s">
        <v>4080</v>
      </c>
      <c r="F1820" t="s">
        <v>49</v>
      </c>
      <c r="G1820" t="s">
        <v>4081</v>
      </c>
      <c r="H1820" t="s">
        <v>4082</v>
      </c>
      <c r="J1820" t="str">
        <f>HYPERLINK("https://www.linkedin.com/feed/update/urn:li:activity:7168921987141058562/?commentUrn=urn:li:comment:(urn:li:activity:7168921987141058562,7169322586093273088)","https://www.linkedin.com/feed/update/urn:li:activity:7168921987141058562/?commentUrn=urn:li:comment:(urn:li:activity:7168921987141058562,7169322586093273088)")</f>
        <v>https://www.linkedin.com/feed/update/urn:li:activity:7168921987141058562/?commentUrn=urn:li:comment:(urn:li:activity:7168921987141058562,7169322586093273088)</v>
      </c>
      <c r="O1820">
        <v>0</v>
      </c>
      <c r="P1820">
        <v>0</v>
      </c>
      <c r="Q1820">
        <v>0</v>
      </c>
      <c r="S1820">
        <v>0</v>
      </c>
      <c r="T1820">
        <v>0</v>
      </c>
      <c r="U1820">
        <v>0</v>
      </c>
      <c r="W1820" t="s">
        <v>62</v>
      </c>
    </row>
    <row r="1821" spans="1:45" x14ac:dyDescent="0.35">
      <c r="A1821" t="s">
        <v>45</v>
      </c>
      <c r="B1821" t="s">
        <v>4051</v>
      </c>
      <c r="C1821" t="s">
        <v>47</v>
      </c>
      <c r="D1821" t="s">
        <v>3899</v>
      </c>
      <c r="E1821" t="s">
        <v>3899</v>
      </c>
      <c r="F1821" t="s">
        <v>49</v>
      </c>
      <c r="G1821" t="s">
        <v>4083</v>
      </c>
      <c r="H1821" t="s">
        <v>4084</v>
      </c>
      <c r="J1821" t="str">
        <f>HYPERLINK("https://www.facebook.com/454965103328545/posts/773139534844432?comment_id=409898861779136&amp;reply_comment_id=1748139749011366","https://www.facebook.com/454965103328545/posts/773139534844432?comment_id=409898861779136&amp;reply_comment_id=1748139749011366")</f>
        <v>https://www.facebook.com/454965103328545/posts/773139534844432?comment_id=409898861779136&amp;reply_comment_id=1748139749011366</v>
      </c>
      <c r="O1821">
        <v>0</v>
      </c>
      <c r="P1821">
        <v>0</v>
      </c>
      <c r="Q1821">
        <v>0</v>
      </c>
      <c r="S1821">
        <v>0</v>
      </c>
      <c r="T1821">
        <v>0</v>
      </c>
      <c r="U1821">
        <v>0</v>
      </c>
      <c r="W1821" t="s">
        <v>62</v>
      </c>
      <c r="AO1821" t="s">
        <v>119</v>
      </c>
    </row>
    <row r="1822" spans="1:45" x14ac:dyDescent="0.35">
      <c r="A1822" t="s">
        <v>45</v>
      </c>
      <c r="B1822" t="s">
        <v>4051</v>
      </c>
      <c r="C1822" t="s">
        <v>58</v>
      </c>
      <c r="D1822" t="s">
        <v>4085</v>
      </c>
      <c r="E1822" t="s">
        <v>4085</v>
      </c>
      <c r="F1822" t="s">
        <v>49</v>
      </c>
      <c r="G1822" t="s">
        <v>4086</v>
      </c>
      <c r="H1822" t="s">
        <v>4087</v>
      </c>
      <c r="J1822" t="str">
        <f>HYPERLINK("https://www.youtube.com/watch?v=n3kQsgUvu1k&amp;lc=UgwG4uoWGbQABe5gUaF4AaABAg","https://www.youtube.com/watch?v=n3kQsgUvu1k&amp;lc=UgwG4uoWGbQABe5gUaF4AaABAg")</f>
        <v>https://www.youtube.com/watch?v=n3kQsgUvu1k&amp;lc=UgwG4uoWGbQABe5gUaF4AaABAg</v>
      </c>
      <c r="O1822">
        <v>0</v>
      </c>
      <c r="P1822">
        <v>0</v>
      </c>
      <c r="Q1822">
        <v>0</v>
      </c>
      <c r="S1822">
        <v>0</v>
      </c>
      <c r="T1822">
        <v>0</v>
      </c>
      <c r="U1822">
        <v>0</v>
      </c>
      <c r="W1822" t="s">
        <v>62</v>
      </c>
      <c r="AS1822" t="s">
        <v>375</v>
      </c>
    </row>
    <row r="1823" spans="1:45" x14ac:dyDescent="0.35">
      <c r="A1823" t="s">
        <v>45</v>
      </c>
      <c r="B1823" t="s">
        <v>4051</v>
      </c>
      <c r="C1823" t="s">
        <v>58</v>
      </c>
      <c r="D1823" t="s">
        <v>4085</v>
      </c>
      <c r="E1823" t="s">
        <v>4085</v>
      </c>
      <c r="F1823" t="s">
        <v>49</v>
      </c>
      <c r="G1823" t="s">
        <v>4088</v>
      </c>
      <c r="H1823" t="s">
        <v>4089</v>
      </c>
      <c r="J1823" t="str">
        <f>HYPERLINK("https://www.youtube.com/watch?v=n3kQsgUvu1k&amp;lc=Ugz4oRA-LZuBVUN-s9h4AaABAg","https://www.youtube.com/watch?v=n3kQsgUvu1k&amp;lc=Ugz4oRA-LZuBVUN-s9h4AaABAg")</f>
        <v>https://www.youtube.com/watch?v=n3kQsgUvu1k&amp;lc=Ugz4oRA-LZuBVUN-s9h4AaABAg</v>
      </c>
      <c r="O1823">
        <v>0</v>
      </c>
      <c r="P1823">
        <v>0</v>
      </c>
      <c r="Q1823">
        <v>0</v>
      </c>
      <c r="S1823">
        <v>0</v>
      </c>
      <c r="T1823">
        <v>0</v>
      </c>
      <c r="U1823">
        <v>0</v>
      </c>
      <c r="W1823" t="s">
        <v>62</v>
      </c>
      <c r="AS1823" t="s">
        <v>375</v>
      </c>
    </row>
    <row r="1824" spans="1:45" x14ac:dyDescent="0.35">
      <c r="A1824" t="s">
        <v>45</v>
      </c>
      <c r="B1824" t="s">
        <v>4051</v>
      </c>
      <c r="C1824" t="s">
        <v>63</v>
      </c>
      <c r="D1824" t="s">
        <v>4090</v>
      </c>
      <c r="E1824" t="s">
        <v>4090</v>
      </c>
      <c r="F1824" t="s">
        <v>49</v>
      </c>
      <c r="G1824" t="s">
        <v>4091</v>
      </c>
      <c r="H1824" t="s">
        <v>4092</v>
      </c>
      <c r="J1824" t="str">
        <f>HYPERLINK("https://www.instagram.com/reel/C3-FSIDtNJZ/","https://www.instagram.com/reel/C3-FSIDtNJZ/")</f>
        <v>https://www.instagram.com/reel/C3-FSIDtNJZ/</v>
      </c>
      <c r="O1824">
        <v>0</v>
      </c>
      <c r="P1824">
        <v>0</v>
      </c>
      <c r="Q1824">
        <v>0</v>
      </c>
      <c r="S1824">
        <v>0</v>
      </c>
      <c r="T1824">
        <v>0</v>
      </c>
      <c r="U1824">
        <v>0</v>
      </c>
      <c r="W1824" t="s">
        <v>62</v>
      </c>
      <c r="AS1824" t="s">
        <v>375</v>
      </c>
    </row>
    <row r="1825" spans="1:45" x14ac:dyDescent="0.35">
      <c r="A1825" t="s">
        <v>45</v>
      </c>
      <c r="B1825" t="s">
        <v>4051</v>
      </c>
      <c r="C1825" t="s">
        <v>47</v>
      </c>
      <c r="D1825" t="s">
        <v>4093</v>
      </c>
      <c r="E1825" t="s">
        <v>4093</v>
      </c>
      <c r="F1825" t="s">
        <v>49</v>
      </c>
      <c r="G1825" t="s">
        <v>4094</v>
      </c>
      <c r="H1825" t="s">
        <v>4095</v>
      </c>
      <c r="J1825" t="str">
        <f>HYPERLINK("https://www.facebook.com/454965103328545/posts/780222857469433?comment_id=924945249365629","https://www.facebook.com/454965103328545/posts/780222857469433?comment_id=924945249365629")</f>
        <v>https://www.facebook.com/454965103328545/posts/780222857469433?comment_id=924945249365629</v>
      </c>
      <c r="O1825">
        <v>0</v>
      </c>
      <c r="P1825">
        <v>0</v>
      </c>
      <c r="Q1825">
        <v>0</v>
      </c>
      <c r="S1825">
        <v>0</v>
      </c>
      <c r="T1825">
        <v>0</v>
      </c>
      <c r="U1825">
        <v>0</v>
      </c>
      <c r="W1825" t="s">
        <v>62</v>
      </c>
    </row>
    <row r="1826" spans="1:45" x14ac:dyDescent="0.35">
      <c r="A1826" t="s">
        <v>45</v>
      </c>
      <c r="B1826" t="s">
        <v>4051</v>
      </c>
      <c r="C1826" t="s">
        <v>47</v>
      </c>
      <c r="D1826" t="s">
        <v>4093</v>
      </c>
      <c r="E1826" t="s">
        <v>4093</v>
      </c>
      <c r="F1826" t="s">
        <v>49</v>
      </c>
      <c r="G1826" t="s">
        <v>4096</v>
      </c>
      <c r="H1826" t="s">
        <v>4097</v>
      </c>
      <c r="J1826" t="str">
        <f>HYPERLINK("https://www.facebook.com/454965103328545/posts/780222857469433?comment_id=370124592495229","https://www.facebook.com/454965103328545/posts/780222857469433?comment_id=370124592495229")</f>
        <v>https://www.facebook.com/454965103328545/posts/780222857469433?comment_id=370124592495229</v>
      </c>
      <c r="K1826" t="s">
        <v>145</v>
      </c>
      <c r="O1826">
        <v>0</v>
      </c>
      <c r="P1826">
        <v>0</v>
      </c>
      <c r="Q1826">
        <v>0</v>
      </c>
      <c r="S1826">
        <v>0</v>
      </c>
      <c r="T1826">
        <v>0</v>
      </c>
      <c r="U1826">
        <v>0</v>
      </c>
      <c r="W1826" t="s">
        <v>62</v>
      </c>
    </row>
    <row r="1827" spans="1:45" x14ac:dyDescent="0.35">
      <c r="A1827" t="s">
        <v>45</v>
      </c>
      <c r="B1827" t="s">
        <v>4051</v>
      </c>
      <c r="C1827" t="s">
        <v>47</v>
      </c>
      <c r="D1827" t="s">
        <v>4093</v>
      </c>
      <c r="E1827" t="s">
        <v>4093</v>
      </c>
      <c r="F1827" t="s">
        <v>49</v>
      </c>
      <c r="G1827" t="s">
        <v>4098</v>
      </c>
      <c r="H1827" t="s">
        <v>4099</v>
      </c>
      <c r="J1827" t="str">
        <f>HYPERLINK("https://www.facebook.com/454965103328545/posts/780222857469433?comment_id=1179817903003567","https://www.facebook.com/454965103328545/posts/780222857469433?comment_id=1179817903003567")</f>
        <v>https://www.facebook.com/454965103328545/posts/780222857469433?comment_id=1179817903003567</v>
      </c>
      <c r="O1827">
        <v>0</v>
      </c>
      <c r="P1827">
        <v>0</v>
      </c>
      <c r="Q1827">
        <v>0</v>
      </c>
      <c r="S1827">
        <v>0</v>
      </c>
      <c r="T1827">
        <v>0</v>
      </c>
      <c r="U1827">
        <v>0</v>
      </c>
      <c r="W1827" t="s">
        <v>62</v>
      </c>
    </row>
    <row r="1828" spans="1:45" x14ac:dyDescent="0.35">
      <c r="A1828" t="s">
        <v>45</v>
      </c>
      <c r="B1828" t="s">
        <v>4051</v>
      </c>
      <c r="C1828" t="s">
        <v>47</v>
      </c>
      <c r="D1828" t="s">
        <v>4100</v>
      </c>
      <c r="E1828" t="s">
        <v>4100</v>
      </c>
      <c r="F1828" t="s">
        <v>49</v>
      </c>
      <c r="G1828" t="s">
        <v>4101</v>
      </c>
      <c r="H1828" t="s">
        <v>4102</v>
      </c>
      <c r="J1828" t="str">
        <f>HYPERLINK("https://www.facebook.com/465247695606581/posts/916693033795376","https://www.facebook.com/465247695606581/posts/916693033795376")</f>
        <v>https://www.facebook.com/465247695606581/posts/916693033795376</v>
      </c>
      <c r="O1828">
        <v>0</v>
      </c>
      <c r="P1828">
        <v>0</v>
      </c>
      <c r="Q1828">
        <v>0</v>
      </c>
      <c r="S1828">
        <v>0</v>
      </c>
      <c r="T1828">
        <v>1</v>
      </c>
      <c r="U1828">
        <v>0</v>
      </c>
      <c r="W1828" t="s">
        <v>106</v>
      </c>
    </row>
    <row r="1829" spans="1:45" x14ac:dyDescent="0.35">
      <c r="A1829" t="s">
        <v>45</v>
      </c>
      <c r="B1829" t="s">
        <v>4051</v>
      </c>
      <c r="C1829" t="s">
        <v>139</v>
      </c>
      <c r="D1829" t="s">
        <v>4103</v>
      </c>
      <c r="E1829" t="s">
        <v>4104</v>
      </c>
      <c r="F1829" t="s">
        <v>49</v>
      </c>
      <c r="G1829" t="s">
        <v>4105</v>
      </c>
      <c r="H1829" t="s">
        <v>4106</v>
      </c>
      <c r="J1829" t="str">
        <f>HYPERLINK("https://twitter.com/fiaks4knowledge/status/1763536129846874215","https://twitter.com/fiaks4knowledge/status/1763536129846874215")</f>
        <v>https://twitter.com/fiaks4knowledge/status/1763536129846874215</v>
      </c>
      <c r="O1829">
        <v>0</v>
      </c>
      <c r="P1829">
        <v>0</v>
      </c>
      <c r="Q1829">
        <v>157</v>
      </c>
      <c r="R1829" t="s">
        <v>1247</v>
      </c>
      <c r="S1829">
        <v>0</v>
      </c>
      <c r="T1829">
        <v>0</v>
      </c>
      <c r="U1829">
        <v>0</v>
      </c>
      <c r="W1829" t="s">
        <v>146</v>
      </c>
    </row>
    <row r="1830" spans="1:45" x14ac:dyDescent="0.35">
      <c r="A1830" t="s">
        <v>45</v>
      </c>
      <c r="B1830" t="s">
        <v>4051</v>
      </c>
      <c r="C1830" t="s">
        <v>63</v>
      </c>
      <c r="D1830" t="s">
        <v>4107</v>
      </c>
      <c r="E1830" t="s">
        <v>4107</v>
      </c>
      <c r="F1830" t="s">
        <v>49</v>
      </c>
      <c r="G1830" t="s">
        <v>4108</v>
      </c>
      <c r="H1830" t="s">
        <v>4109</v>
      </c>
      <c r="J1830" t="str">
        <f>HYPERLINK("https://www.instagram.com/reel/C3aCHENO4-0/","https://www.instagram.com/reel/C3aCHENO4-0/")</f>
        <v>https://www.instagram.com/reel/C3aCHENO4-0/</v>
      </c>
      <c r="O1830">
        <v>0</v>
      </c>
      <c r="P1830">
        <v>0</v>
      </c>
      <c r="Q1830">
        <v>0</v>
      </c>
      <c r="S1830">
        <v>0</v>
      </c>
      <c r="T1830">
        <v>0</v>
      </c>
      <c r="U1830">
        <v>0</v>
      </c>
      <c r="W1830" t="s">
        <v>62</v>
      </c>
    </row>
    <row r="1831" spans="1:45" x14ac:dyDescent="0.35">
      <c r="A1831" t="s">
        <v>45</v>
      </c>
      <c r="B1831" t="s">
        <v>4051</v>
      </c>
      <c r="C1831" t="s">
        <v>63</v>
      </c>
      <c r="D1831" t="s">
        <v>4107</v>
      </c>
      <c r="E1831" t="s">
        <v>4107</v>
      </c>
      <c r="F1831" t="s">
        <v>49</v>
      </c>
      <c r="G1831" t="s">
        <v>4108</v>
      </c>
      <c r="H1831" t="s">
        <v>4110</v>
      </c>
      <c r="J1831" t="str">
        <f>HYPERLINK("https://www.instagram.com/reel/C3aCHENO4-0/","https://www.instagram.com/reel/C3aCHENO4-0/")</f>
        <v>https://www.instagram.com/reel/C3aCHENO4-0/</v>
      </c>
      <c r="O1831">
        <v>0</v>
      </c>
      <c r="P1831">
        <v>0</v>
      </c>
      <c r="Q1831">
        <v>0</v>
      </c>
      <c r="S1831">
        <v>0</v>
      </c>
      <c r="T1831">
        <v>0</v>
      </c>
      <c r="U1831">
        <v>0</v>
      </c>
      <c r="W1831" t="s">
        <v>62</v>
      </c>
    </row>
    <row r="1832" spans="1:45" x14ac:dyDescent="0.35">
      <c r="A1832" t="s">
        <v>45</v>
      </c>
      <c r="B1832" t="s">
        <v>4051</v>
      </c>
      <c r="C1832" t="s">
        <v>63</v>
      </c>
      <c r="D1832" t="s">
        <v>4111</v>
      </c>
      <c r="E1832" t="s">
        <v>4111</v>
      </c>
      <c r="F1832" t="s">
        <v>49</v>
      </c>
      <c r="G1832" t="s">
        <v>1359</v>
      </c>
      <c r="H1832" t="s">
        <v>4112</v>
      </c>
      <c r="J1832" t="str">
        <f>HYPERLINK("https://www.instagram.com/reel/C3-FSIDtNJZ/","https://www.instagram.com/reel/C3-FSIDtNJZ/")</f>
        <v>https://www.instagram.com/reel/C3-FSIDtNJZ/</v>
      </c>
      <c r="O1832">
        <v>0</v>
      </c>
      <c r="P1832">
        <v>0</v>
      </c>
      <c r="Q1832">
        <v>0</v>
      </c>
      <c r="S1832">
        <v>0</v>
      </c>
      <c r="T1832">
        <v>0</v>
      </c>
      <c r="U1832">
        <v>0</v>
      </c>
      <c r="W1832" t="s">
        <v>62</v>
      </c>
    </row>
    <row r="1833" spans="1:45" x14ac:dyDescent="0.35">
      <c r="A1833" t="s">
        <v>45</v>
      </c>
      <c r="B1833" t="s">
        <v>4051</v>
      </c>
      <c r="C1833" t="s">
        <v>63</v>
      </c>
      <c r="D1833" t="s">
        <v>186</v>
      </c>
      <c r="E1833" t="s">
        <v>186</v>
      </c>
      <c r="F1833" t="s">
        <v>49</v>
      </c>
      <c r="G1833" t="s">
        <v>4113</v>
      </c>
      <c r="H1833" t="s">
        <v>4114</v>
      </c>
      <c r="J1833" t="str">
        <f>HYPERLINK("https://www.instagram.com/reel/C3-FSIDtNJZ/","https://www.instagram.com/reel/C3-FSIDtNJZ/")</f>
        <v>https://www.instagram.com/reel/C3-FSIDtNJZ/</v>
      </c>
      <c r="O1833">
        <v>0</v>
      </c>
      <c r="P1833">
        <v>0</v>
      </c>
      <c r="Q1833">
        <v>0</v>
      </c>
      <c r="S1833">
        <v>5</v>
      </c>
      <c r="T1833">
        <v>59</v>
      </c>
      <c r="U1833">
        <v>0</v>
      </c>
      <c r="W1833" t="s">
        <v>106</v>
      </c>
    </row>
    <row r="1834" spans="1:45" x14ac:dyDescent="0.35">
      <c r="A1834" t="s">
        <v>45</v>
      </c>
      <c r="B1834" t="s">
        <v>4051</v>
      </c>
      <c r="C1834" t="s">
        <v>47</v>
      </c>
      <c r="D1834" t="s">
        <v>45</v>
      </c>
      <c r="E1834" t="s">
        <v>45</v>
      </c>
      <c r="F1834" t="s">
        <v>49</v>
      </c>
      <c r="G1834" t="s">
        <v>4113</v>
      </c>
      <c r="H1834" t="s">
        <v>4115</v>
      </c>
      <c r="J1834" t="str">
        <f>HYPERLINK("https://www.facebook.com/357267201017935_780754084082977","https://www.facebook.com/357267201017935_780754084082977")</f>
        <v>https://www.facebook.com/357267201017935_780754084082977</v>
      </c>
      <c r="O1834">
        <v>0</v>
      </c>
      <c r="P1834">
        <v>0</v>
      </c>
      <c r="Q1834">
        <v>0</v>
      </c>
      <c r="S1834">
        <v>8</v>
      </c>
      <c r="T1834">
        <v>80</v>
      </c>
      <c r="U1834">
        <v>10</v>
      </c>
      <c r="W1834" t="s">
        <v>106</v>
      </c>
    </row>
    <row r="1835" spans="1:45" x14ac:dyDescent="0.35">
      <c r="A1835" t="s">
        <v>45</v>
      </c>
      <c r="B1835" t="s">
        <v>4051</v>
      </c>
      <c r="C1835" t="s">
        <v>139</v>
      </c>
      <c r="D1835" t="s">
        <v>190</v>
      </c>
      <c r="E1835" t="s">
        <v>45</v>
      </c>
      <c r="F1835" t="s">
        <v>49</v>
      </c>
      <c r="G1835" t="s">
        <v>4078</v>
      </c>
      <c r="H1835" t="s">
        <v>4116</v>
      </c>
      <c r="J1835" t="str">
        <f>HYPERLINK("https://twitter.com/FinoPaymntsBank/status/1763527103868461160","https://twitter.com/FinoPaymntsBank/status/1763527103868461160")</f>
        <v>https://twitter.com/FinoPaymntsBank/status/1763527103868461160</v>
      </c>
      <c r="K1835" t="s">
        <v>145</v>
      </c>
      <c r="O1835">
        <v>0</v>
      </c>
      <c r="P1835">
        <v>0</v>
      </c>
      <c r="Q1835">
        <v>8411</v>
      </c>
      <c r="R1835" t="s">
        <v>193</v>
      </c>
      <c r="S1835">
        <v>0</v>
      </c>
      <c r="T1835">
        <v>0</v>
      </c>
      <c r="U1835">
        <v>0</v>
      </c>
      <c r="W1835" t="s">
        <v>146</v>
      </c>
    </row>
    <row r="1836" spans="1:45" x14ac:dyDescent="0.35">
      <c r="A1836" t="s">
        <v>45</v>
      </c>
      <c r="B1836" t="s">
        <v>4051</v>
      </c>
      <c r="C1836" t="s">
        <v>58</v>
      </c>
      <c r="D1836" t="s">
        <v>3259</v>
      </c>
      <c r="E1836" t="s">
        <v>3259</v>
      </c>
      <c r="F1836" t="s">
        <v>49</v>
      </c>
      <c r="G1836" t="s">
        <v>4117</v>
      </c>
      <c r="H1836" t="s">
        <v>4118</v>
      </c>
      <c r="J1836" t="str">
        <f>HYPERLINK("https://www.youtube.com/watch?v=XAiTuIHhzLU","https://www.youtube.com/watch?v=XAiTuIHhzLU")</f>
        <v>https://www.youtube.com/watch?v=XAiTuIHhzLU</v>
      </c>
      <c r="O1836">
        <v>0</v>
      </c>
      <c r="P1836">
        <v>0</v>
      </c>
      <c r="Q1836">
        <v>0</v>
      </c>
      <c r="S1836">
        <v>0</v>
      </c>
      <c r="T1836">
        <v>0</v>
      </c>
      <c r="U1836">
        <v>0</v>
      </c>
      <c r="W1836" t="s">
        <v>106</v>
      </c>
      <c r="AP1836" t="s">
        <v>101</v>
      </c>
    </row>
    <row r="1837" spans="1:45" x14ac:dyDescent="0.35">
      <c r="A1837" t="s">
        <v>45</v>
      </c>
      <c r="B1837" t="s">
        <v>4051</v>
      </c>
      <c r="C1837" t="s">
        <v>47</v>
      </c>
      <c r="D1837" t="s">
        <v>4119</v>
      </c>
      <c r="E1837" t="s">
        <v>4119</v>
      </c>
      <c r="F1837" t="s">
        <v>142</v>
      </c>
      <c r="G1837" t="s">
        <v>4120</v>
      </c>
      <c r="H1837" t="s">
        <v>4121</v>
      </c>
      <c r="J1837" t="str">
        <f>HYPERLINK("https://www.facebook.com/454965103328545/posts/780222857469433?comment_id=1439439659977952","https://www.facebook.com/454965103328545/posts/780222857469433?comment_id=1439439659977952")</f>
        <v>https://www.facebook.com/454965103328545/posts/780222857469433?comment_id=1439439659977952</v>
      </c>
      <c r="O1837">
        <v>0</v>
      </c>
      <c r="P1837">
        <v>0</v>
      </c>
      <c r="Q1837">
        <v>0</v>
      </c>
      <c r="S1837">
        <v>0</v>
      </c>
      <c r="T1837">
        <v>0</v>
      </c>
      <c r="U1837">
        <v>0</v>
      </c>
      <c r="W1837" t="s">
        <v>62</v>
      </c>
    </row>
    <row r="1838" spans="1:45" x14ac:dyDescent="0.35">
      <c r="A1838" t="s">
        <v>45</v>
      </c>
      <c r="B1838" t="s">
        <v>4051</v>
      </c>
      <c r="C1838" t="s">
        <v>58</v>
      </c>
      <c r="D1838" t="s">
        <v>1240</v>
      </c>
      <c r="E1838" t="s">
        <v>1240</v>
      </c>
      <c r="F1838" t="s">
        <v>49</v>
      </c>
      <c r="G1838" t="s">
        <v>4122</v>
      </c>
      <c r="H1838" t="s">
        <v>4123</v>
      </c>
      <c r="J1838" t="str">
        <f>HYPERLINK("https://www.youtube.com/watch?v=q7nzyB8h1qw","https://www.youtube.com/watch?v=q7nzyB8h1qw")</f>
        <v>https://www.youtube.com/watch?v=q7nzyB8h1qw</v>
      </c>
      <c r="O1838">
        <v>0</v>
      </c>
      <c r="P1838">
        <v>0</v>
      </c>
      <c r="Q1838">
        <v>0</v>
      </c>
      <c r="S1838">
        <v>0</v>
      </c>
      <c r="T1838">
        <v>0</v>
      </c>
      <c r="U1838">
        <v>0</v>
      </c>
      <c r="W1838" t="s">
        <v>106</v>
      </c>
    </row>
    <row r="1839" spans="1:45" x14ac:dyDescent="0.35">
      <c r="A1839" t="s">
        <v>45</v>
      </c>
      <c r="B1839" t="s">
        <v>4051</v>
      </c>
      <c r="C1839" t="s">
        <v>47</v>
      </c>
      <c r="D1839" t="s">
        <v>4002</v>
      </c>
      <c r="E1839" t="s">
        <v>4002</v>
      </c>
      <c r="F1839" t="s">
        <v>49</v>
      </c>
      <c r="G1839" t="s">
        <v>56</v>
      </c>
      <c r="H1839" t="s">
        <v>4124</v>
      </c>
      <c r="J1839" t="str">
        <f>HYPERLINK("https://www.facebook.com/357267201017935/inbox/7104988916245696/","https://www.facebook.com/357267201017935/inbox/7104988916245696/")</f>
        <v>https://www.facebook.com/357267201017935/inbox/7104988916245696/</v>
      </c>
      <c r="O1839">
        <v>0</v>
      </c>
      <c r="P1839">
        <v>0</v>
      </c>
      <c r="Q1839">
        <v>0</v>
      </c>
      <c r="S1839">
        <v>0</v>
      </c>
      <c r="T1839">
        <v>0</v>
      </c>
      <c r="U1839">
        <v>0</v>
      </c>
      <c r="W1839" t="s">
        <v>52</v>
      </c>
      <c r="AS1839" t="s">
        <v>375</v>
      </c>
    </row>
    <row r="1840" spans="1:45" x14ac:dyDescent="0.35">
      <c r="A1840" t="s">
        <v>45</v>
      </c>
      <c r="B1840" t="s">
        <v>4051</v>
      </c>
      <c r="C1840" t="s">
        <v>47</v>
      </c>
      <c r="D1840" t="s">
        <v>4002</v>
      </c>
      <c r="E1840" t="s">
        <v>4002</v>
      </c>
      <c r="F1840" t="s">
        <v>49</v>
      </c>
      <c r="G1840" t="s">
        <v>2767</v>
      </c>
      <c r="H1840" t="s">
        <v>4125</v>
      </c>
      <c r="J1840" t="str">
        <f>HYPERLINK("https://www.facebook.com/357267201017935/inbox/7104988916245696/","https://www.facebook.com/357267201017935/inbox/7104988916245696/")</f>
        <v>https://www.facebook.com/357267201017935/inbox/7104988916245696/</v>
      </c>
      <c r="O1840">
        <v>0</v>
      </c>
      <c r="P1840">
        <v>0</v>
      </c>
      <c r="Q1840">
        <v>0</v>
      </c>
      <c r="S1840">
        <v>0</v>
      </c>
      <c r="T1840">
        <v>0</v>
      </c>
      <c r="U1840">
        <v>0</v>
      </c>
      <c r="W1840" t="s">
        <v>52</v>
      </c>
    </row>
    <row r="1841" spans="1:45" x14ac:dyDescent="0.35">
      <c r="A1841" t="s">
        <v>45</v>
      </c>
      <c r="B1841" t="s">
        <v>4051</v>
      </c>
      <c r="C1841" t="s">
        <v>47</v>
      </c>
      <c r="D1841" t="s">
        <v>4002</v>
      </c>
      <c r="E1841" t="s">
        <v>4002</v>
      </c>
      <c r="F1841" t="s">
        <v>49</v>
      </c>
      <c r="G1841" t="s">
        <v>50</v>
      </c>
      <c r="H1841" t="s">
        <v>4126</v>
      </c>
      <c r="J1841" t="str">
        <f>HYPERLINK("https://www.facebook.com/357267201017935/inbox/7104988916245696/","https://www.facebook.com/357267201017935/inbox/7104988916245696/")</f>
        <v>https://www.facebook.com/357267201017935/inbox/7104988916245696/</v>
      </c>
      <c r="O1841">
        <v>0</v>
      </c>
      <c r="P1841">
        <v>0</v>
      </c>
      <c r="Q1841">
        <v>0</v>
      </c>
      <c r="S1841">
        <v>0</v>
      </c>
      <c r="T1841">
        <v>0</v>
      </c>
      <c r="U1841">
        <v>0</v>
      </c>
      <c r="W1841" t="s">
        <v>52</v>
      </c>
    </row>
    <row r="1842" spans="1:45" x14ac:dyDescent="0.35">
      <c r="A1842" t="s">
        <v>45</v>
      </c>
      <c r="B1842" t="s">
        <v>4051</v>
      </c>
      <c r="C1842" t="s">
        <v>47</v>
      </c>
      <c r="D1842" t="s">
        <v>4127</v>
      </c>
      <c r="E1842" t="s">
        <v>4127</v>
      </c>
      <c r="F1842" t="s">
        <v>49</v>
      </c>
      <c r="G1842" t="s">
        <v>4056</v>
      </c>
      <c r="H1842" t="s">
        <v>4128</v>
      </c>
      <c r="J1842" t="str">
        <f>HYPERLINK("https://www.facebook.com/454965103328545/posts/780222857469433?comment_id=316305841432351","https://www.facebook.com/454965103328545/posts/780222857469433?comment_id=316305841432351")</f>
        <v>https://www.facebook.com/454965103328545/posts/780222857469433?comment_id=316305841432351</v>
      </c>
      <c r="K1842" t="s">
        <v>1769</v>
      </c>
      <c r="O1842">
        <v>0</v>
      </c>
      <c r="P1842">
        <v>0</v>
      </c>
      <c r="Q1842">
        <v>0</v>
      </c>
      <c r="S1842">
        <v>0</v>
      </c>
      <c r="T1842">
        <v>0</v>
      </c>
      <c r="U1842">
        <v>0</v>
      </c>
      <c r="W1842" t="s">
        <v>62</v>
      </c>
    </row>
    <row r="1843" spans="1:45" x14ac:dyDescent="0.35">
      <c r="A1843" t="s">
        <v>45</v>
      </c>
      <c r="B1843" t="s">
        <v>4051</v>
      </c>
      <c r="C1843" t="s">
        <v>58</v>
      </c>
      <c r="D1843" t="s">
        <v>4129</v>
      </c>
      <c r="E1843" t="s">
        <v>4129</v>
      </c>
      <c r="F1843" t="s">
        <v>49</v>
      </c>
      <c r="G1843" t="s">
        <v>4130</v>
      </c>
      <c r="H1843" t="s">
        <v>4131</v>
      </c>
      <c r="J1843" t="str">
        <f>HYPERLINK("https://www.youtube.com/watch?v=4qNifVEbu5Q","https://www.youtube.com/watch?v=4qNifVEbu5Q")</f>
        <v>https://www.youtube.com/watch?v=4qNifVEbu5Q</v>
      </c>
      <c r="O1843">
        <v>0</v>
      </c>
      <c r="P1843">
        <v>0</v>
      </c>
      <c r="Q1843">
        <v>0</v>
      </c>
      <c r="S1843">
        <v>0</v>
      </c>
      <c r="T1843">
        <v>0</v>
      </c>
      <c r="U1843">
        <v>0</v>
      </c>
      <c r="W1843" t="s">
        <v>106</v>
      </c>
    </row>
    <row r="1844" spans="1:45" x14ac:dyDescent="0.35">
      <c r="A1844" t="s">
        <v>45</v>
      </c>
      <c r="B1844" t="s">
        <v>4051</v>
      </c>
      <c r="C1844" t="s">
        <v>102</v>
      </c>
      <c r="D1844" t="s">
        <v>4132</v>
      </c>
      <c r="E1844" t="s">
        <v>4132</v>
      </c>
      <c r="F1844" t="s">
        <v>49</v>
      </c>
      <c r="G1844" t="s">
        <v>4133</v>
      </c>
      <c r="H1844" t="s">
        <v>4134</v>
      </c>
      <c r="J1844" t="str">
        <f>HYPERLINK("https://www.linkedin.com/feed/update/urn:li:activity:7168921987141058562/?commentUrn=urn:li:comment:(urn:li:activity:7168921987141058562,7169222410938920961)","https://www.linkedin.com/feed/update/urn:li:activity:7168921987141058562/?commentUrn=urn:li:comment:(urn:li:activity:7168921987141058562,7169222410938920961)")</f>
        <v>https://www.linkedin.com/feed/update/urn:li:activity:7168921987141058562/?commentUrn=urn:li:comment:(urn:li:activity:7168921987141058562,7169222410938920961)</v>
      </c>
      <c r="O1844">
        <v>0</v>
      </c>
      <c r="P1844">
        <v>0</v>
      </c>
      <c r="Q1844">
        <v>0</v>
      </c>
      <c r="S1844">
        <v>0</v>
      </c>
      <c r="T1844">
        <v>0</v>
      </c>
      <c r="U1844">
        <v>0</v>
      </c>
      <c r="W1844" t="s">
        <v>62</v>
      </c>
    </row>
    <row r="1845" spans="1:45" x14ac:dyDescent="0.35">
      <c r="A1845" t="s">
        <v>45</v>
      </c>
      <c r="B1845" t="s">
        <v>4051</v>
      </c>
      <c r="C1845" t="s">
        <v>58</v>
      </c>
      <c r="D1845" t="s">
        <v>3256</v>
      </c>
      <c r="E1845" t="s">
        <v>3256</v>
      </c>
      <c r="F1845" t="s">
        <v>49</v>
      </c>
      <c r="G1845" t="s">
        <v>4135</v>
      </c>
      <c r="H1845" t="s">
        <v>4136</v>
      </c>
      <c r="J1845" t="str">
        <f>HYPERLINK("https://www.youtube.com/watch?v=SECxbX2CM7U","https://www.youtube.com/watch?v=SECxbX2CM7U")</f>
        <v>https://www.youtube.com/watch?v=SECxbX2CM7U</v>
      </c>
      <c r="O1845">
        <v>0</v>
      </c>
      <c r="P1845">
        <v>0</v>
      </c>
      <c r="Q1845">
        <v>0</v>
      </c>
      <c r="S1845">
        <v>0</v>
      </c>
      <c r="T1845">
        <v>0</v>
      </c>
      <c r="U1845">
        <v>0</v>
      </c>
      <c r="W1845" t="s">
        <v>106</v>
      </c>
    </row>
    <row r="1846" spans="1:45" x14ac:dyDescent="0.35">
      <c r="A1846" t="s">
        <v>45</v>
      </c>
      <c r="B1846" t="s">
        <v>4051</v>
      </c>
      <c r="C1846" t="s">
        <v>47</v>
      </c>
      <c r="D1846" t="s">
        <v>2587</v>
      </c>
      <c r="E1846" t="s">
        <v>2587</v>
      </c>
      <c r="F1846" t="s">
        <v>49</v>
      </c>
      <c r="G1846" t="s">
        <v>4137</v>
      </c>
      <c r="H1846" t="s">
        <v>4138</v>
      </c>
      <c r="J1846" t="str">
        <f>HYPERLINK("https://www.facebook.com/454965103328545/posts/768713601953692?comment_id=1373223803565419","https://www.facebook.com/454965103328545/posts/768713601953692?comment_id=1373223803565419")</f>
        <v>https://www.facebook.com/454965103328545/posts/768713601953692?comment_id=1373223803565419</v>
      </c>
      <c r="O1846">
        <v>0</v>
      </c>
      <c r="P1846">
        <v>0</v>
      </c>
      <c r="Q1846">
        <v>0</v>
      </c>
      <c r="S1846">
        <v>0</v>
      </c>
      <c r="T1846">
        <v>0</v>
      </c>
      <c r="U1846">
        <v>0</v>
      </c>
      <c r="W1846" t="s">
        <v>62</v>
      </c>
      <c r="AS1846" t="s">
        <v>375</v>
      </c>
    </row>
    <row r="1847" spans="1:45" x14ac:dyDescent="0.35">
      <c r="A1847" t="s">
        <v>45</v>
      </c>
      <c r="B1847" t="s">
        <v>4051</v>
      </c>
      <c r="C1847" t="s">
        <v>139</v>
      </c>
      <c r="D1847" t="s">
        <v>4139</v>
      </c>
      <c r="E1847" t="s">
        <v>4140</v>
      </c>
      <c r="F1847" t="s">
        <v>49</v>
      </c>
      <c r="G1847" t="s">
        <v>4141</v>
      </c>
      <c r="H1847" t="s">
        <v>4142</v>
      </c>
      <c r="J1847" t="str">
        <f>HYPERLINK("https://twitter.com/anujmis14248612/status/1763447193477013785","https://twitter.com/anujmis14248612/status/1763447193477013785")</f>
        <v>https://twitter.com/anujmis14248612/status/1763447193477013785</v>
      </c>
      <c r="K1847" t="s">
        <v>145</v>
      </c>
      <c r="O1847">
        <v>0</v>
      </c>
      <c r="P1847">
        <v>0</v>
      </c>
      <c r="Q1847">
        <v>0</v>
      </c>
      <c r="S1847">
        <v>0</v>
      </c>
      <c r="T1847">
        <v>0</v>
      </c>
      <c r="U1847">
        <v>0</v>
      </c>
      <c r="W1847" t="s">
        <v>146</v>
      </c>
    </row>
    <row r="1848" spans="1:45" x14ac:dyDescent="0.35">
      <c r="A1848" t="s">
        <v>45</v>
      </c>
      <c r="B1848" t="s">
        <v>4051</v>
      </c>
      <c r="C1848" t="s">
        <v>139</v>
      </c>
      <c r="D1848" t="s">
        <v>4143</v>
      </c>
      <c r="E1848" t="s">
        <v>4144</v>
      </c>
      <c r="F1848" t="s">
        <v>49</v>
      </c>
      <c r="G1848" t="s">
        <v>4145</v>
      </c>
      <c r="H1848" t="s">
        <v>4146</v>
      </c>
      <c r="J1848" t="str">
        <f>HYPERLINK("https://twitter.com/hardoiwale_dist/status/1763443303343915228","https://twitter.com/hardoiwale_dist/status/1763443303343915228")</f>
        <v>https://twitter.com/hardoiwale_dist/status/1763443303343915228</v>
      </c>
      <c r="K1848" t="s">
        <v>145</v>
      </c>
      <c r="O1848">
        <v>0</v>
      </c>
      <c r="P1848">
        <v>0</v>
      </c>
      <c r="Q1848">
        <v>387</v>
      </c>
      <c r="R1848" t="s">
        <v>1810</v>
      </c>
      <c r="S1848">
        <v>0</v>
      </c>
      <c r="T1848">
        <v>0</v>
      </c>
      <c r="U1848">
        <v>0</v>
      </c>
      <c r="W1848" t="s">
        <v>146</v>
      </c>
    </row>
    <row r="1849" spans="1:45" x14ac:dyDescent="0.35">
      <c r="A1849" t="s">
        <v>45</v>
      </c>
      <c r="B1849" t="s">
        <v>4051</v>
      </c>
      <c r="C1849" t="s">
        <v>58</v>
      </c>
      <c r="D1849" t="s">
        <v>4147</v>
      </c>
      <c r="E1849" t="s">
        <v>4147</v>
      </c>
      <c r="F1849" t="s">
        <v>49</v>
      </c>
      <c r="G1849" t="s">
        <v>4148</v>
      </c>
      <c r="H1849" t="s">
        <v>4149</v>
      </c>
      <c r="J1849" t="str">
        <f>HYPERLINK("https://www.youtube.com/watch?v=HSwxaVvgLF0","https://www.youtube.com/watch?v=HSwxaVvgLF0")</f>
        <v>https://www.youtube.com/watch?v=HSwxaVvgLF0</v>
      </c>
      <c r="O1849">
        <v>0</v>
      </c>
      <c r="P1849">
        <v>0</v>
      </c>
      <c r="Q1849">
        <v>0</v>
      </c>
      <c r="S1849">
        <v>0</v>
      </c>
      <c r="T1849">
        <v>0</v>
      </c>
      <c r="U1849">
        <v>0</v>
      </c>
      <c r="W1849" t="s">
        <v>106</v>
      </c>
    </row>
    <row r="1850" spans="1:45" x14ac:dyDescent="0.35">
      <c r="A1850" t="s">
        <v>45</v>
      </c>
      <c r="B1850" t="s">
        <v>4051</v>
      </c>
      <c r="C1850" t="s">
        <v>47</v>
      </c>
      <c r="D1850" t="s">
        <v>3843</v>
      </c>
      <c r="E1850" t="s">
        <v>3843</v>
      </c>
      <c r="F1850" t="s">
        <v>49</v>
      </c>
      <c r="G1850" t="s">
        <v>50</v>
      </c>
      <c r="H1850" t="s">
        <v>4150</v>
      </c>
      <c r="J1850" t="str">
        <f>HYPERLINK("https://www.facebook.com/357267201017935/inbox/7012421342169121/","https://www.facebook.com/357267201017935/inbox/7012421342169121/")</f>
        <v>https://www.facebook.com/357267201017935/inbox/7012421342169121/</v>
      </c>
      <c r="O1850">
        <v>0</v>
      </c>
      <c r="P1850">
        <v>0</v>
      </c>
      <c r="Q1850">
        <v>0</v>
      </c>
      <c r="S1850">
        <v>0</v>
      </c>
      <c r="T1850">
        <v>0</v>
      </c>
      <c r="U1850">
        <v>0</v>
      </c>
      <c r="W1850" t="s">
        <v>52</v>
      </c>
      <c r="AS1850" t="s">
        <v>375</v>
      </c>
    </row>
    <row r="1851" spans="1:45" x14ac:dyDescent="0.35">
      <c r="A1851" t="s">
        <v>45</v>
      </c>
      <c r="B1851" t="s">
        <v>4051</v>
      </c>
      <c r="C1851" t="s">
        <v>47</v>
      </c>
      <c r="D1851" t="s">
        <v>3978</v>
      </c>
      <c r="E1851" t="s">
        <v>3978</v>
      </c>
      <c r="F1851" t="s">
        <v>49</v>
      </c>
      <c r="G1851" t="s">
        <v>1017</v>
      </c>
      <c r="H1851" t="s">
        <v>4151</v>
      </c>
      <c r="J1851" t="str">
        <f>HYPERLINK("https://www.facebook.com/357267201017935/posts/3069910089753619/?comment_id=1077462610190976","https://www.facebook.com/357267201017935/posts/3069910089753619/?comment_id=1077462610190976")</f>
        <v>https://www.facebook.com/357267201017935/posts/3069910089753619/?comment_id=1077462610190976</v>
      </c>
      <c r="O1851">
        <v>0</v>
      </c>
      <c r="P1851">
        <v>0</v>
      </c>
      <c r="Q1851">
        <v>0</v>
      </c>
      <c r="S1851">
        <v>0</v>
      </c>
      <c r="T1851">
        <v>0</v>
      </c>
      <c r="U1851">
        <v>0</v>
      </c>
      <c r="W1851" t="s">
        <v>62</v>
      </c>
      <c r="AS1851" t="s">
        <v>375</v>
      </c>
    </row>
    <row r="1852" spans="1:45" x14ac:dyDescent="0.35">
      <c r="A1852" t="s">
        <v>45</v>
      </c>
      <c r="B1852" t="s">
        <v>4051</v>
      </c>
      <c r="C1852" t="s">
        <v>47</v>
      </c>
      <c r="D1852" t="s">
        <v>3978</v>
      </c>
      <c r="E1852" t="s">
        <v>3978</v>
      </c>
      <c r="F1852" t="s">
        <v>49</v>
      </c>
      <c r="G1852" t="s">
        <v>1017</v>
      </c>
      <c r="H1852" t="s">
        <v>4152</v>
      </c>
      <c r="J1852" t="str">
        <f>HYPERLINK("https://www.facebook.com/357267201017935/posts/3069910089753619/?comment_id=923806802720376","https://www.facebook.com/357267201017935/posts/3069910089753619/?comment_id=923806802720376")</f>
        <v>https://www.facebook.com/357267201017935/posts/3069910089753619/?comment_id=923806802720376</v>
      </c>
      <c r="O1852">
        <v>0</v>
      </c>
      <c r="P1852">
        <v>0</v>
      </c>
      <c r="Q1852">
        <v>0</v>
      </c>
      <c r="S1852">
        <v>0</v>
      </c>
      <c r="T1852">
        <v>0</v>
      </c>
      <c r="U1852">
        <v>0</v>
      </c>
      <c r="W1852" t="s">
        <v>62</v>
      </c>
    </row>
    <row r="1853" spans="1:45" x14ac:dyDescent="0.35">
      <c r="A1853" t="s">
        <v>45</v>
      </c>
      <c r="B1853" t="s">
        <v>4051</v>
      </c>
      <c r="C1853" t="s">
        <v>139</v>
      </c>
      <c r="D1853" t="s">
        <v>4153</v>
      </c>
      <c r="E1853" t="s">
        <v>4154</v>
      </c>
      <c r="F1853" t="s">
        <v>76</v>
      </c>
      <c r="G1853" t="s">
        <v>4155</v>
      </c>
      <c r="H1853" t="s">
        <v>4156</v>
      </c>
      <c r="J1853" t="str">
        <f>HYPERLINK("https://twitter.com/Gr8AdvisorIN/status/1763414750002647524","https://twitter.com/Gr8AdvisorIN/status/1763414750002647524")</f>
        <v>https://twitter.com/Gr8AdvisorIN/status/1763414750002647524</v>
      </c>
      <c r="O1853">
        <v>0</v>
      </c>
      <c r="P1853">
        <v>0</v>
      </c>
      <c r="Q1853">
        <v>35</v>
      </c>
      <c r="S1853">
        <v>0</v>
      </c>
      <c r="T1853">
        <v>0</v>
      </c>
      <c r="U1853">
        <v>0</v>
      </c>
      <c r="W1853" t="s">
        <v>146</v>
      </c>
    </row>
    <row r="1854" spans="1:45" x14ac:dyDescent="0.35">
      <c r="A1854" t="s">
        <v>45</v>
      </c>
      <c r="B1854" t="s">
        <v>4051</v>
      </c>
      <c r="C1854" t="s">
        <v>139</v>
      </c>
      <c r="D1854" t="s">
        <v>4153</v>
      </c>
      <c r="E1854" t="s">
        <v>4154</v>
      </c>
      <c r="F1854" t="s">
        <v>76</v>
      </c>
      <c r="G1854" t="s">
        <v>4157</v>
      </c>
      <c r="H1854" t="s">
        <v>4158</v>
      </c>
      <c r="J1854" t="str">
        <f>HYPERLINK("https://twitter.com/Gr8AdvisorIN/status/1763414677789274192","https://twitter.com/Gr8AdvisorIN/status/1763414677789274192")</f>
        <v>https://twitter.com/Gr8AdvisorIN/status/1763414677789274192</v>
      </c>
      <c r="O1854">
        <v>0</v>
      </c>
      <c r="P1854">
        <v>0</v>
      </c>
      <c r="Q1854">
        <v>35</v>
      </c>
      <c r="S1854">
        <v>0</v>
      </c>
      <c r="T1854">
        <v>0</v>
      </c>
      <c r="U1854">
        <v>0</v>
      </c>
      <c r="W1854" t="s">
        <v>146</v>
      </c>
    </row>
    <row r="1855" spans="1:45" x14ac:dyDescent="0.35">
      <c r="A1855" t="s">
        <v>45</v>
      </c>
      <c r="B1855" t="s">
        <v>4051</v>
      </c>
      <c r="C1855" t="s">
        <v>139</v>
      </c>
      <c r="D1855" t="s">
        <v>4153</v>
      </c>
      <c r="E1855" t="s">
        <v>4154</v>
      </c>
      <c r="F1855" t="s">
        <v>76</v>
      </c>
      <c r="G1855" t="s">
        <v>4159</v>
      </c>
      <c r="H1855" t="s">
        <v>4160</v>
      </c>
      <c r="J1855" t="str">
        <f>HYPERLINK("https://twitter.com/Gr8AdvisorIN/status/1763414584189145253","https://twitter.com/Gr8AdvisorIN/status/1763414584189145253")</f>
        <v>https://twitter.com/Gr8AdvisorIN/status/1763414584189145253</v>
      </c>
      <c r="O1855">
        <v>0</v>
      </c>
      <c r="P1855">
        <v>0</v>
      </c>
      <c r="Q1855">
        <v>35</v>
      </c>
      <c r="S1855">
        <v>0</v>
      </c>
      <c r="T1855">
        <v>0</v>
      </c>
      <c r="U1855">
        <v>0</v>
      </c>
      <c r="W1855" t="s">
        <v>146</v>
      </c>
    </row>
    <row r="1856" spans="1:45" x14ac:dyDescent="0.35">
      <c r="A1856" t="s">
        <v>45</v>
      </c>
      <c r="B1856" t="s">
        <v>4051</v>
      </c>
      <c r="C1856" t="s">
        <v>139</v>
      </c>
      <c r="D1856" t="s">
        <v>4153</v>
      </c>
      <c r="E1856" t="s">
        <v>4154</v>
      </c>
      <c r="F1856" t="s">
        <v>76</v>
      </c>
      <c r="G1856" t="s">
        <v>4161</v>
      </c>
      <c r="H1856" t="s">
        <v>4162</v>
      </c>
      <c r="J1856" t="str">
        <f>HYPERLINK("https://twitter.com/Gr8AdvisorIN/status/1763414480841556243","https://twitter.com/Gr8AdvisorIN/status/1763414480841556243")</f>
        <v>https://twitter.com/Gr8AdvisorIN/status/1763414480841556243</v>
      </c>
      <c r="O1856">
        <v>0</v>
      </c>
      <c r="P1856">
        <v>0</v>
      </c>
      <c r="Q1856">
        <v>35</v>
      </c>
      <c r="S1856">
        <v>0</v>
      </c>
      <c r="T1856">
        <v>0</v>
      </c>
      <c r="U1856">
        <v>0</v>
      </c>
      <c r="W1856" t="s">
        <v>146</v>
      </c>
    </row>
    <row r="1857" spans="1:45" x14ac:dyDescent="0.35">
      <c r="A1857" t="s">
        <v>45</v>
      </c>
      <c r="B1857" t="s">
        <v>4051</v>
      </c>
      <c r="C1857" t="s">
        <v>139</v>
      </c>
      <c r="D1857" t="s">
        <v>4153</v>
      </c>
      <c r="E1857" t="s">
        <v>4154</v>
      </c>
      <c r="F1857" t="s">
        <v>76</v>
      </c>
      <c r="G1857" t="s">
        <v>4163</v>
      </c>
      <c r="H1857" t="s">
        <v>4164</v>
      </c>
      <c r="J1857" t="str">
        <f>HYPERLINK("https://twitter.com/Gr8AdvisorIN/status/1763413952040501572","https://twitter.com/Gr8AdvisorIN/status/1763413952040501572")</f>
        <v>https://twitter.com/Gr8AdvisorIN/status/1763413952040501572</v>
      </c>
      <c r="O1857">
        <v>0</v>
      </c>
      <c r="P1857">
        <v>0</v>
      </c>
      <c r="Q1857">
        <v>35</v>
      </c>
      <c r="S1857">
        <v>0</v>
      </c>
      <c r="T1857">
        <v>0</v>
      </c>
      <c r="U1857">
        <v>0</v>
      </c>
      <c r="W1857" t="s">
        <v>146</v>
      </c>
    </row>
    <row r="1858" spans="1:45" x14ac:dyDescent="0.35">
      <c r="A1858" t="s">
        <v>45</v>
      </c>
      <c r="B1858" t="s">
        <v>4051</v>
      </c>
      <c r="C1858" t="s">
        <v>58</v>
      </c>
      <c r="D1858" t="s">
        <v>4165</v>
      </c>
      <c r="E1858" t="s">
        <v>4165</v>
      </c>
      <c r="F1858" t="s">
        <v>49</v>
      </c>
      <c r="G1858" t="s">
        <v>4166</v>
      </c>
      <c r="H1858" t="s">
        <v>4167</v>
      </c>
      <c r="J1858" t="str">
        <f>HYPERLINK("https://www.youtube.com/watch?v=0zbIS5R3MnI","https://www.youtube.com/watch?v=0zbIS5R3MnI")</f>
        <v>https://www.youtube.com/watch?v=0zbIS5R3MnI</v>
      </c>
      <c r="O1858">
        <v>0</v>
      </c>
      <c r="P1858">
        <v>0</v>
      </c>
      <c r="Q1858">
        <v>0</v>
      </c>
      <c r="S1858">
        <v>0</v>
      </c>
      <c r="T1858">
        <v>0</v>
      </c>
      <c r="U1858">
        <v>0</v>
      </c>
      <c r="W1858" t="s">
        <v>106</v>
      </c>
    </row>
    <row r="1859" spans="1:45" x14ac:dyDescent="0.35">
      <c r="A1859" t="s">
        <v>45</v>
      </c>
      <c r="B1859" t="s">
        <v>4051</v>
      </c>
      <c r="C1859" t="s">
        <v>102</v>
      </c>
      <c r="D1859" t="s">
        <v>4168</v>
      </c>
      <c r="E1859" t="s">
        <v>4168</v>
      </c>
      <c r="F1859" t="s">
        <v>49</v>
      </c>
      <c r="G1859" t="s">
        <v>4169</v>
      </c>
      <c r="H1859" t="s">
        <v>4170</v>
      </c>
      <c r="J1859" t="str">
        <f>HYPERLINK("https://www.linkedin.com/feed/update/urn:li:activity:7159179278708793344/?commentUrn=urn:li:comment:(urn:li:activity:7159179278708793344,7169164051506192385)","https://www.linkedin.com/feed/update/urn:li:activity:7159179278708793344/?commentUrn=urn:li:comment:(urn:li:activity:7159179278708793344,7169164051506192385)")</f>
        <v>https://www.linkedin.com/feed/update/urn:li:activity:7159179278708793344/?commentUrn=urn:li:comment:(urn:li:activity:7159179278708793344,7169164051506192385)</v>
      </c>
      <c r="O1859">
        <v>0</v>
      </c>
      <c r="P1859">
        <v>0</v>
      </c>
      <c r="Q1859">
        <v>0</v>
      </c>
      <c r="S1859">
        <v>0</v>
      </c>
      <c r="T1859">
        <v>0</v>
      </c>
      <c r="U1859">
        <v>0</v>
      </c>
      <c r="W1859" t="s">
        <v>62</v>
      </c>
    </row>
    <row r="1860" spans="1:45" x14ac:dyDescent="0.35">
      <c r="A1860" t="s">
        <v>45</v>
      </c>
      <c r="B1860" t="s">
        <v>4051</v>
      </c>
      <c r="C1860" t="s">
        <v>58</v>
      </c>
      <c r="D1860" t="s">
        <v>3340</v>
      </c>
      <c r="E1860" t="s">
        <v>3340</v>
      </c>
      <c r="F1860" t="s">
        <v>49</v>
      </c>
      <c r="G1860" t="s">
        <v>4171</v>
      </c>
      <c r="H1860" t="s">
        <v>4172</v>
      </c>
      <c r="J1860" t="str">
        <f>HYPERLINK("https://www.youtube.com/watch?v=VRlXsNGQ064","https://www.youtube.com/watch?v=VRlXsNGQ064")</f>
        <v>https://www.youtube.com/watch?v=VRlXsNGQ064</v>
      </c>
      <c r="O1860">
        <v>0</v>
      </c>
      <c r="P1860">
        <v>0</v>
      </c>
      <c r="Q1860">
        <v>0</v>
      </c>
      <c r="S1860">
        <v>0</v>
      </c>
      <c r="T1860">
        <v>0</v>
      </c>
      <c r="U1860">
        <v>0</v>
      </c>
      <c r="W1860" t="s">
        <v>106</v>
      </c>
    </row>
    <row r="1861" spans="1:45" x14ac:dyDescent="0.35">
      <c r="A1861" t="s">
        <v>45</v>
      </c>
      <c r="B1861" t="s">
        <v>4051</v>
      </c>
      <c r="C1861" t="s">
        <v>47</v>
      </c>
      <c r="D1861" t="s">
        <v>3882</v>
      </c>
      <c r="E1861" t="s">
        <v>3882</v>
      </c>
      <c r="F1861" t="s">
        <v>49</v>
      </c>
      <c r="G1861" t="s">
        <v>50</v>
      </c>
      <c r="H1861" t="s">
        <v>4173</v>
      </c>
      <c r="J1861" t="str">
        <f>HYPERLINK("https://www.facebook.com/357267201017935/inbox/7103624829715438/","https://www.facebook.com/357267201017935/inbox/7103624829715438/")</f>
        <v>https://www.facebook.com/357267201017935/inbox/7103624829715438/</v>
      </c>
      <c r="O1861">
        <v>0</v>
      </c>
      <c r="P1861">
        <v>0</v>
      </c>
      <c r="Q1861">
        <v>0</v>
      </c>
      <c r="S1861">
        <v>0</v>
      </c>
      <c r="T1861">
        <v>0</v>
      </c>
      <c r="U1861">
        <v>0</v>
      </c>
      <c r="W1861" t="s">
        <v>52</v>
      </c>
      <c r="AS1861" t="s">
        <v>375</v>
      </c>
    </row>
    <row r="1862" spans="1:45" x14ac:dyDescent="0.35">
      <c r="A1862" t="s">
        <v>45</v>
      </c>
      <c r="B1862" t="s">
        <v>4051</v>
      </c>
      <c r="C1862" t="s">
        <v>58</v>
      </c>
      <c r="D1862" t="s">
        <v>1139</v>
      </c>
      <c r="E1862" t="s">
        <v>1139</v>
      </c>
      <c r="F1862" t="s">
        <v>49</v>
      </c>
      <c r="G1862" t="s">
        <v>4174</v>
      </c>
      <c r="H1862" t="s">
        <v>4175</v>
      </c>
      <c r="J1862" t="str">
        <f>HYPERLINK("https://www.youtube.com/watch?v=Cs5L9p7b5ak","https://www.youtube.com/watch?v=Cs5L9p7b5ak")</f>
        <v>https://www.youtube.com/watch?v=Cs5L9p7b5ak</v>
      </c>
      <c r="O1862">
        <v>0</v>
      </c>
      <c r="P1862">
        <v>0</v>
      </c>
      <c r="Q1862">
        <v>0</v>
      </c>
      <c r="S1862">
        <v>0</v>
      </c>
      <c r="T1862">
        <v>0</v>
      </c>
      <c r="U1862">
        <v>0</v>
      </c>
      <c r="W1862" t="s">
        <v>106</v>
      </c>
    </row>
    <row r="1863" spans="1:45" x14ac:dyDescent="0.35">
      <c r="A1863" t="s">
        <v>45</v>
      </c>
      <c r="B1863" t="s">
        <v>4051</v>
      </c>
      <c r="C1863" t="s">
        <v>102</v>
      </c>
      <c r="D1863" t="s">
        <v>4176</v>
      </c>
      <c r="E1863" t="s">
        <v>4176</v>
      </c>
      <c r="F1863" t="s">
        <v>49</v>
      </c>
      <c r="G1863" t="s">
        <v>4177</v>
      </c>
      <c r="H1863" t="s">
        <v>4178</v>
      </c>
      <c r="J1863" t="str">
        <f>HYPERLINK("https://www.linkedin.com/feed/update/urn:li:activity:7168921987141058562/?commentUrn=urn:li:comment:(urn:li:activity:7168921987141058562,7169141800576770049)","https://www.linkedin.com/feed/update/urn:li:activity:7168921987141058562/?commentUrn=urn:li:comment:(urn:li:activity:7168921987141058562,7169141800576770049)")</f>
        <v>https://www.linkedin.com/feed/update/urn:li:activity:7168921987141058562/?commentUrn=urn:li:comment:(urn:li:activity:7168921987141058562,7169141800576770049)</v>
      </c>
      <c r="O1863">
        <v>0</v>
      </c>
      <c r="P1863">
        <v>0</v>
      </c>
      <c r="Q1863">
        <v>0</v>
      </c>
      <c r="S1863">
        <v>0</v>
      </c>
      <c r="T1863">
        <v>0</v>
      </c>
      <c r="U1863">
        <v>0</v>
      </c>
      <c r="W1863" t="s">
        <v>62</v>
      </c>
    </row>
    <row r="1864" spans="1:45" x14ac:dyDescent="0.35">
      <c r="A1864" t="s">
        <v>45</v>
      </c>
      <c r="B1864" t="s">
        <v>4051</v>
      </c>
      <c r="C1864" t="s">
        <v>63</v>
      </c>
      <c r="D1864" t="s">
        <v>4179</v>
      </c>
      <c r="E1864" t="s">
        <v>4179</v>
      </c>
      <c r="F1864" t="s">
        <v>49</v>
      </c>
      <c r="G1864" t="s">
        <v>4180</v>
      </c>
      <c r="H1864" t="s">
        <v>4181</v>
      </c>
      <c r="J1864" t="str">
        <f>HYPERLINK("https://www.instagram.com/p/C3VES0FgrdQ/","https://www.instagram.com/p/C3VES0FgrdQ/")</f>
        <v>https://www.instagram.com/p/C3VES0FgrdQ/</v>
      </c>
      <c r="O1864">
        <v>0</v>
      </c>
      <c r="P1864">
        <v>0</v>
      </c>
      <c r="Q1864">
        <v>0</v>
      </c>
      <c r="S1864">
        <v>0</v>
      </c>
      <c r="T1864">
        <v>0</v>
      </c>
      <c r="U1864">
        <v>0</v>
      </c>
      <c r="W1864" t="s">
        <v>62</v>
      </c>
    </row>
    <row r="1865" spans="1:45" x14ac:dyDescent="0.35">
      <c r="A1865" t="s">
        <v>45</v>
      </c>
      <c r="B1865" t="s">
        <v>4051</v>
      </c>
      <c r="C1865" t="s">
        <v>63</v>
      </c>
      <c r="D1865" t="s">
        <v>4179</v>
      </c>
      <c r="E1865" t="s">
        <v>4179</v>
      </c>
      <c r="F1865" t="s">
        <v>49</v>
      </c>
      <c r="G1865" t="s">
        <v>4182</v>
      </c>
      <c r="H1865" t="s">
        <v>4183</v>
      </c>
      <c r="J1865" t="str">
        <f>HYPERLINK("https://www.instagram.com/p/C3VES0FgrdQ/","https://www.instagram.com/p/C3VES0FgrdQ/")</f>
        <v>https://www.instagram.com/p/C3VES0FgrdQ/</v>
      </c>
      <c r="O1865">
        <v>0</v>
      </c>
      <c r="P1865">
        <v>0</v>
      </c>
      <c r="Q1865">
        <v>0</v>
      </c>
      <c r="S1865">
        <v>0</v>
      </c>
      <c r="T1865">
        <v>0</v>
      </c>
      <c r="U1865">
        <v>0</v>
      </c>
      <c r="W1865" t="s">
        <v>62</v>
      </c>
    </row>
    <row r="1866" spans="1:45" x14ac:dyDescent="0.35">
      <c r="A1866" t="s">
        <v>45</v>
      </c>
      <c r="B1866" t="s">
        <v>4184</v>
      </c>
      <c r="C1866" t="s">
        <v>139</v>
      </c>
      <c r="D1866" t="s">
        <v>4185</v>
      </c>
      <c r="E1866" t="s">
        <v>4186</v>
      </c>
      <c r="F1866" t="s">
        <v>142</v>
      </c>
      <c r="G1866" t="s">
        <v>4187</v>
      </c>
      <c r="H1866" t="s">
        <v>4188</v>
      </c>
      <c r="J1866" t="str">
        <f>HYPERLINK("https://twitter.com/acscseva/status/1763263393954426942","https://twitter.com/acscseva/status/1763263393954426942")</f>
        <v>https://twitter.com/acscseva/status/1763263393954426942</v>
      </c>
      <c r="K1866" t="s">
        <v>1769</v>
      </c>
      <c r="O1866">
        <v>0</v>
      </c>
      <c r="P1866">
        <v>0</v>
      </c>
      <c r="Q1866">
        <v>32</v>
      </c>
      <c r="R1866" t="s">
        <v>4189</v>
      </c>
      <c r="S1866">
        <v>0</v>
      </c>
      <c r="T1866">
        <v>0</v>
      </c>
      <c r="U1866">
        <v>0</v>
      </c>
      <c r="W1866" t="s">
        <v>146</v>
      </c>
    </row>
    <row r="1867" spans="1:45" x14ac:dyDescent="0.35">
      <c r="A1867" t="s">
        <v>45</v>
      </c>
      <c r="B1867" t="s">
        <v>4184</v>
      </c>
      <c r="C1867" t="s">
        <v>58</v>
      </c>
      <c r="D1867" t="s">
        <v>4147</v>
      </c>
      <c r="E1867" t="s">
        <v>4147</v>
      </c>
      <c r="F1867" t="s">
        <v>49</v>
      </c>
      <c r="G1867" t="s">
        <v>4190</v>
      </c>
      <c r="H1867" t="s">
        <v>4191</v>
      </c>
      <c r="J1867" t="str">
        <f>HYPERLINK("https://www.youtube.com/watch?v=KiVneQ268CU","https://www.youtube.com/watch?v=KiVneQ268CU")</f>
        <v>https://www.youtube.com/watch?v=KiVneQ268CU</v>
      </c>
      <c r="O1867">
        <v>0</v>
      </c>
      <c r="P1867">
        <v>0</v>
      </c>
      <c r="Q1867">
        <v>0</v>
      </c>
      <c r="S1867">
        <v>0</v>
      </c>
      <c r="T1867">
        <v>0</v>
      </c>
      <c r="U1867">
        <v>0</v>
      </c>
      <c r="W1867" t="s">
        <v>106</v>
      </c>
    </row>
    <row r="1868" spans="1:45" x14ac:dyDescent="0.35">
      <c r="A1868" t="s">
        <v>45</v>
      </c>
      <c r="B1868" t="s">
        <v>4184</v>
      </c>
      <c r="C1868" t="s">
        <v>102</v>
      </c>
      <c r="D1868" t="s">
        <v>4192</v>
      </c>
      <c r="E1868" t="s">
        <v>4192</v>
      </c>
      <c r="F1868" t="s">
        <v>49</v>
      </c>
      <c r="G1868" t="s">
        <v>4193</v>
      </c>
      <c r="H1868" t="s">
        <v>4194</v>
      </c>
      <c r="J1868" t="str">
        <f>HYPERLINK("https://www.linkedin.com/feed/update/urn:li:activity:7168921987141058562/?commentUrn=urn:li:comment:(urn:li:activity:7168921987141058562,7169021111622467584)","https://www.linkedin.com/feed/update/urn:li:activity:7168921987141058562/?commentUrn=urn:li:comment:(urn:li:activity:7168921987141058562,7169021111622467584)")</f>
        <v>https://www.linkedin.com/feed/update/urn:li:activity:7168921987141058562/?commentUrn=urn:li:comment:(urn:li:activity:7168921987141058562,7169021111622467584)</v>
      </c>
      <c r="O1868">
        <v>0</v>
      </c>
      <c r="P1868">
        <v>0</v>
      </c>
      <c r="Q1868">
        <v>0</v>
      </c>
      <c r="S1868">
        <v>0</v>
      </c>
      <c r="T1868">
        <v>0</v>
      </c>
      <c r="U1868">
        <v>0</v>
      </c>
      <c r="W1868" t="s">
        <v>62</v>
      </c>
    </row>
    <row r="1869" spans="1:45" x14ac:dyDescent="0.35">
      <c r="A1869" t="s">
        <v>45</v>
      </c>
      <c r="B1869" t="s">
        <v>4184</v>
      </c>
      <c r="C1869" t="s">
        <v>102</v>
      </c>
      <c r="D1869" t="s">
        <v>4195</v>
      </c>
      <c r="E1869" t="s">
        <v>4195</v>
      </c>
      <c r="F1869" t="s">
        <v>49</v>
      </c>
      <c r="G1869" t="s">
        <v>4196</v>
      </c>
      <c r="H1869" t="s">
        <v>4197</v>
      </c>
      <c r="J1869" t="str">
        <f>HYPERLINK("https://www.linkedin.com/feed/update/urn:li:activity:7168921987141058562/?commentUrn=urn:li:comment:(urn:li:activity:7168921987141058562,7169014836167651329)","https://www.linkedin.com/feed/update/urn:li:activity:7168921987141058562/?commentUrn=urn:li:comment:(urn:li:activity:7168921987141058562,7169014836167651329)")</f>
        <v>https://www.linkedin.com/feed/update/urn:li:activity:7168921987141058562/?commentUrn=urn:li:comment:(urn:li:activity:7168921987141058562,7169014836167651329)</v>
      </c>
      <c r="O1869">
        <v>0</v>
      </c>
      <c r="P1869">
        <v>0</v>
      </c>
      <c r="Q1869">
        <v>0</v>
      </c>
      <c r="S1869">
        <v>0</v>
      </c>
      <c r="T1869">
        <v>0</v>
      </c>
      <c r="U1869">
        <v>0</v>
      </c>
      <c r="W1869" t="s">
        <v>62</v>
      </c>
    </row>
    <row r="1870" spans="1:45" x14ac:dyDescent="0.35">
      <c r="A1870" t="s">
        <v>45</v>
      </c>
      <c r="B1870" t="s">
        <v>4184</v>
      </c>
      <c r="C1870" t="s">
        <v>47</v>
      </c>
      <c r="D1870" t="s">
        <v>4198</v>
      </c>
      <c r="E1870" t="s">
        <v>4198</v>
      </c>
      <c r="F1870" t="s">
        <v>49</v>
      </c>
      <c r="G1870" t="s">
        <v>4199</v>
      </c>
      <c r="H1870" t="s">
        <v>4200</v>
      </c>
      <c r="J1870" t="str">
        <f>HYPERLINK("https://www.facebook.com/454965103328545/posts/780222857469433?comment_id=941467150666196","https://www.facebook.com/454965103328545/posts/780222857469433?comment_id=941467150666196")</f>
        <v>https://www.facebook.com/454965103328545/posts/780222857469433?comment_id=941467150666196</v>
      </c>
      <c r="O1870">
        <v>0</v>
      </c>
      <c r="P1870">
        <v>0</v>
      </c>
      <c r="Q1870">
        <v>0</v>
      </c>
      <c r="S1870">
        <v>0</v>
      </c>
      <c r="T1870">
        <v>0</v>
      </c>
      <c r="U1870">
        <v>0</v>
      </c>
      <c r="W1870" t="s">
        <v>62</v>
      </c>
    </row>
    <row r="1871" spans="1:45" x14ac:dyDescent="0.35">
      <c r="A1871" t="s">
        <v>45</v>
      </c>
      <c r="B1871" t="s">
        <v>4184</v>
      </c>
      <c r="C1871" t="s">
        <v>63</v>
      </c>
      <c r="D1871" t="s">
        <v>4201</v>
      </c>
      <c r="E1871" t="s">
        <v>4201</v>
      </c>
      <c r="F1871" t="s">
        <v>49</v>
      </c>
      <c r="G1871" t="s">
        <v>4202</v>
      </c>
      <c r="H1871" t="s">
        <v>4203</v>
      </c>
      <c r="J1871" t="str">
        <f>HYPERLINK("https://www.instagram.com/p/C3STh5ugtpX/","https://www.instagram.com/p/C3STh5ugtpX/")</f>
        <v>https://www.instagram.com/p/C3STh5ugtpX/</v>
      </c>
      <c r="O1871">
        <v>0</v>
      </c>
      <c r="P1871">
        <v>0</v>
      </c>
      <c r="Q1871">
        <v>0</v>
      </c>
      <c r="S1871">
        <v>0</v>
      </c>
      <c r="T1871">
        <v>0</v>
      </c>
      <c r="U1871">
        <v>0</v>
      </c>
      <c r="W1871" t="s">
        <v>62</v>
      </c>
      <c r="AS1871" t="s">
        <v>375</v>
      </c>
    </row>
    <row r="1872" spans="1:45" x14ac:dyDescent="0.35">
      <c r="A1872" t="s">
        <v>45</v>
      </c>
      <c r="B1872" t="s">
        <v>4184</v>
      </c>
      <c r="C1872" t="s">
        <v>139</v>
      </c>
      <c r="D1872" t="s">
        <v>4204</v>
      </c>
      <c r="E1872" t="s">
        <v>4205</v>
      </c>
      <c r="F1872" t="s">
        <v>142</v>
      </c>
      <c r="G1872" t="s">
        <v>4206</v>
      </c>
      <c r="H1872" t="s">
        <v>4207</v>
      </c>
      <c r="J1872" t="str">
        <f>HYPERLINK("https://twitter.com/shalinimis84704/status/1763238585250058695","https://twitter.com/shalinimis84704/status/1763238585250058695")</f>
        <v>https://twitter.com/shalinimis84704/status/1763238585250058695</v>
      </c>
      <c r="K1872" t="s">
        <v>1769</v>
      </c>
      <c r="O1872">
        <v>0</v>
      </c>
      <c r="P1872">
        <v>0</v>
      </c>
      <c r="Q1872">
        <v>3</v>
      </c>
      <c r="S1872">
        <v>0</v>
      </c>
      <c r="T1872">
        <v>0</v>
      </c>
      <c r="U1872">
        <v>0</v>
      </c>
      <c r="W1872" t="s">
        <v>552</v>
      </c>
    </row>
    <row r="1873" spans="1:45" x14ac:dyDescent="0.35">
      <c r="A1873" t="s">
        <v>45</v>
      </c>
      <c r="B1873" t="s">
        <v>4184</v>
      </c>
      <c r="C1873" t="s">
        <v>102</v>
      </c>
      <c r="D1873" t="s">
        <v>4208</v>
      </c>
      <c r="E1873" t="s">
        <v>4208</v>
      </c>
      <c r="F1873" t="s">
        <v>49</v>
      </c>
      <c r="G1873" t="s">
        <v>4209</v>
      </c>
      <c r="H1873" t="s">
        <v>4210</v>
      </c>
      <c r="J1873" t="str">
        <f>HYPERLINK("https://www.linkedin.com/feed/update/urn:li:activity:7168921987141058562/?commentUrn=urn:li:comment:(urn:li:activity:7168921987141058562,7168999909646327809)","https://www.linkedin.com/feed/update/urn:li:activity:7168921987141058562/?commentUrn=urn:li:comment:(urn:li:activity:7168921987141058562,7168999909646327809)")</f>
        <v>https://www.linkedin.com/feed/update/urn:li:activity:7168921987141058562/?commentUrn=urn:li:comment:(urn:li:activity:7168921987141058562,7168999909646327809)</v>
      </c>
      <c r="O1873">
        <v>0</v>
      </c>
      <c r="P1873">
        <v>0</v>
      </c>
      <c r="Q1873">
        <v>0</v>
      </c>
      <c r="S1873">
        <v>0</v>
      </c>
      <c r="T1873">
        <v>0</v>
      </c>
      <c r="U1873">
        <v>0</v>
      </c>
      <c r="W1873" t="s">
        <v>62</v>
      </c>
    </row>
    <row r="1874" spans="1:45" x14ac:dyDescent="0.35">
      <c r="A1874" t="s">
        <v>45</v>
      </c>
      <c r="B1874" t="s">
        <v>4184</v>
      </c>
      <c r="C1874" t="s">
        <v>139</v>
      </c>
      <c r="D1874" t="s">
        <v>4211</v>
      </c>
      <c r="E1874" t="s">
        <v>4212</v>
      </c>
      <c r="F1874" t="s">
        <v>142</v>
      </c>
      <c r="G1874" t="s">
        <v>4206</v>
      </c>
      <c r="H1874" t="s">
        <v>4213</v>
      </c>
      <c r="J1874" t="str">
        <f>HYPERLINK("https://twitter.com/LalbabuCha47262/status/1763233979681984623","https://twitter.com/LalbabuCha47262/status/1763233979681984623")</f>
        <v>https://twitter.com/LalbabuCha47262/status/1763233979681984623</v>
      </c>
      <c r="K1874" t="s">
        <v>145</v>
      </c>
      <c r="O1874">
        <v>0</v>
      </c>
      <c r="P1874">
        <v>0</v>
      </c>
      <c r="Q1874">
        <v>1</v>
      </c>
      <c r="S1874">
        <v>0</v>
      </c>
      <c r="T1874">
        <v>0</v>
      </c>
      <c r="U1874">
        <v>0</v>
      </c>
      <c r="W1874" t="s">
        <v>552</v>
      </c>
    </row>
    <row r="1875" spans="1:45" x14ac:dyDescent="0.35">
      <c r="A1875" t="s">
        <v>45</v>
      </c>
      <c r="B1875" t="s">
        <v>4184</v>
      </c>
      <c r="C1875" t="s">
        <v>139</v>
      </c>
      <c r="D1875" t="s">
        <v>4214</v>
      </c>
      <c r="E1875" t="s">
        <v>4215</v>
      </c>
      <c r="F1875" t="s">
        <v>142</v>
      </c>
      <c r="G1875" t="s">
        <v>4206</v>
      </c>
      <c r="H1875" t="s">
        <v>4216</v>
      </c>
      <c r="J1875" t="str">
        <f>HYPERLINK("https://twitter.com/SantoshDub37509/status/1763217612258070972","https://twitter.com/SantoshDub37509/status/1763217612258070972")</f>
        <v>https://twitter.com/SantoshDub37509/status/1763217612258070972</v>
      </c>
      <c r="K1875" t="s">
        <v>145</v>
      </c>
      <c r="O1875">
        <v>0</v>
      </c>
      <c r="P1875">
        <v>0</v>
      </c>
      <c r="Q1875">
        <v>0</v>
      </c>
      <c r="S1875">
        <v>0</v>
      </c>
      <c r="T1875">
        <v>0</v>
      </c>
      <c r="U1875">
        <v>0</v>
      </c>
      <c r="W1875" t="s">
        <v>552</v>
      </c>
    </row>
    <row r="1876" spans="1:45" x14ac:dyDescent="0.35">
      <c r="A1876" t="s">
        <v>45</v>
      </c>
      <c r="B1876" t="s">
        <v>4184</v>
      </c>
      <c r="C1876" t="s">
        <v>102</v>
      </c>
      <c r="D1876" t="s">
        <v>4217</v>
      </c>
      <c r="E1876" t="s">
        <v>4217</v>
      </c>
      <c r="F1876" t="s">
        <v>49</v>
      </c>
      <c r="G1876" t="s">
        <v>4218</v>
      </c>
      <c r="H1876" t="s">
        <v>4219</v>
      </c>
      <c r="J1876" t="str">
        <f>HYPERLINK("https://www.linkedin.com/feed/update/urn:li:activity:7168921987141058562/?commentUrn=urn:li:comment:(urn:li:activity:7168921987141058562,7168978259106258944)","https://www.linkedin.com/feed/update/urn:li:activity:7168921987141058562/?commentUrn=urn:li:comment:(urn:li:activity:7168921987141058562,7168978259106258944)")</f>
        <v>https://www.linkedin.com/feed/update/urn:li:activity:7168921987141058562/?commentUrn=urn:li:comment:(urn:li:activity:7168921987141058562,7168978259106258944)</v>
      </c>
      <c r="O1876">
        <v>0</v>
      </c>
      <c r="P1876">
        <v>0</v>
      </c>
      <c r="Q1876">
        <v>0</v>
      </c>
      <c r="S1876">
        <v>0</v>
      </c>
      <c r="T1876">
        <v>0</v>
      </c>
      <c r="U1876">
        <v>0</v>
      </c>
      <c r="W1876" t="s">
        <v>62</v>
      </c>
    </row>
    <row r="1877" spans="1:45" x14ac:dyDescent="0.35">
      <c r="A1877" t="s">
        <v>45</v>
      </c>
      <c r="B1877" t="s">
        <v>4184</v>
      </c>
      <c r="C1877" t="s">
        <v>102</v>
      </c>
      <c r="D1877" t="s">
        <v>3712</v>
      </c>
      <c r="E1877" t="s">
        <v>3712</v>
      </c>
      <c r="F1877" t="s">
        <v>49</v>
      </c>
      <c r="G1877" t="s">
        <v>4220</v>
      </c>
      <c r="H1877" t="s">
        <v>4221</v>
      </c>
      <c r="J1877" t="str">
        <f>HYPERLINK("https://www.linkedin.com/feed/update/urn:li:activity:7168921987141058562/?commentUrn=urn:li:comment:(urn:li:activity:7168921987141058562,7168977332655915009)","https://www.linkedin.com/feed/update/urn:li:activity:7168921987141058562/?commentUrn=urn:li:comment:(urn:li:activity:7168921987141058562,7168977332655915009)")</f>
        <v>https://www.linkedin.com/feed/update/urn:li:activity:7168921987141058562/?commentUrn=urn:li:comment:(urn:li:activity:7168921987141058562,7168977332655915009)</v>
      </c>
      <c r="O1877">
        <v>0</v>
      </c>
      <c r="P1877">
        <v>0</v>
      </c>
      <c r="Q1877">
        <v>0</v>
      </c>
      <c r="S1877">
        <v>0</v>
      </c>
      <c r="T1877">
        <v>0</v>
      </c>
      <c r="U1877">
        <v>0</v>
      </c>
      <c r="W1877" t="s">
        <v>62</v>
      </c>
    </row>
    <row r="1878" spans="1:45" x14ac:dyDescent="0.35">
      <c r="A1878" t="s">
        <v>45</v>
      </c>
      <c r="B1878" t="s">
        <v>4184</v>
      </c>
      <c r="C1878" t="s">
        <v>139</v>
      </c>
      <c r="D1878" t="s">
        <v>4222</v>
      </c>
      <c r="E1878" t="s">
        <v>4223</v>
      </c>
      <c r="F1878" t="s">
        <v>142</v>
      </c>
      <c r="G1878" t="s">
        <v>4206</v>
      </c>
      <c r="H1878" t="s">
        <v>4224</v>
      </c>
      <c r="J1878" t="str">
        <f>HYPERLINK("https://twitter.com/BAIJNATHPA90128/status/1763206830782591360","https://twitter.com/BAIJNATHPA90128/status/1763206830782591360")</f>
        <v>https://twitter.com/BAIJNATHPA90128/status/1763206830782591360</v>
      </c>
      <c r="K1878" t="s">
        <v>145</v>
      </c>
      <c r="O1878">
        <v>0</v>
      </c>
      <c r="P1878">
        <v>0</v>
      </c>
      <c r="Q1878">
        <v>1</v>
      </c>
      <c r="S1878">
        <v>0</v>
      </c>
      <c r="T1878">
        <v>0</v>
      </c>
      <c r="U1878">
        <v>0</v>
      </c>
      <c r="W1878" t="s">
        <v>552</v>
      </c>
    </row>
    <row r="1879" spans="1:45" x14ac:dyDescent="0.35">
      <c r="A1879" t="s">
        <v>45</v>
      </c>
      <c r="B1879" t="s">
        <v>4184</v>
      </c>
      <c r="C1879" t="s">
        <v>139</v>
      </c>
      <c r="D1879" t="s">
        <v>4225</v>
      </c>
      <c r="E1879" t="s">
        <v>4226</v>
      </c>
      <c r="F1879" t="s">
        <v>142</v>
      </c>
      <c r="G1879" t="s">
        <v>4206</v>
      </c>
      <c r="H1879" t="s">
        <v>4227</v>
      </c>
      <c r="J1879" t="str">
        <f>HYPERLINK("https://twitter.com/Anantsriva11680/status/1763206798964600949","https://twitter.com/Anantsriva11680/status/1763206798964600949")</f>
        <v>https://twitter.com/Anantsriva11680/status/1763206798964600949</v>
      </c>
      <c r="K1879" t="s">
        <v>145</v>
      </c>
      <c r="O1879">
        <v>0</v>
      </c>
      <c r="P1879">
        <v>0</v>
      </c>
      <c r="Q1879">
        <v>1</v>
      </c>
      <c r="S1879">
        <v>0</v>
      </c>
      <c r="T1879">
        <v>0</v>
      </c>
      <c r="U1879">
        <v>0</v>
      </c>
      <c r="W1879" t="s">
        <v>552</v>
      </c>
    </row>
    <row r="1880" spans="1:45" x14ac:dyDescent="0.35">
      <c r="A1880" t="s">
        <v>45</v>
      </c>
      <c r="B1880" t="s">
        <v>4184</v>
      </c>
      <c r="C1880" t="s">
        <v>58</v>
      </c>
      <c r="D1880" t="s">
        <v>3256</v>
      </c>
      <c r="E1880" t="s">
        <v>3256</v>
      </c>
      <c r="F1880" t="s">
        <v>49</v>
      </c>
      <c r="G1880" t="s">
        <v>4228</v>
      </c>
      <c r="H1880" t="s">
        <v>4229</v>
      </c>
      <c r="J1880" t="str">
        <f>HYPERLINK("https://www.youtube.com/watch?v=QcWSISJEFuc","https://www.youtube.com/watch?v=QcWSISJEFuc")</f>
        <v>https://www.youtube.com/watch?v=QcWSISJEFuc</v>
      </c>
      <c r="O1880">
        <v>0</v>
      </c>
      <c r="P1880">
        <v>0</v>
      </c>
      <c r="Q1880">
        <v>0</v>
      </c>
      <c r="S1880">
        <v>0</v>
      </c>
      <c r="T1880">
        <v>0</v>
      </c>
      <c r="U1880">
        <v>0</v>
      </c>
      <c r="W1880" t="s">
        <v>106</v>
      </c>
    </row>
    <row r="1881" spans="1:45" x14ac:dyDescent="0.35">
      <c r="A1881" t="s">
        <v>45</v>
      </c>
      <c r="B1881" t="s">
        <v>4184</v>
      </c>
      <c r="C1881" t="s">
        <v>47</v>
      </c>
      <c r="D1881" t="s">
        <v>4230</v>
      </c>
      <c r="E1881" t="s">
        <v>4230</v>
      </c>
      <c r="F1881" t="s">
        <v>49</v>
      </c>
      <c r="G1881" t="s">
        <v>4231</v>
      </c>
      <c r="H1881" t="s">
        <v>4232</v>
      </c>
      <c r="J1881" t="str">
        <f>HYPERLINK("https://www.facebook.com/454965103328545/posts/780222857469433?comment_id=1124800178876677","https://www.facebook.com/454965103328545/posts/780222857469433?comment_id=1124800178876677")</f>
        <v>https://www.facebook.com/454965103328545/posts/780222857469433?comment_id=1124800178876677</v>
      </c>
      <c r="O1881">
        <v>0</v>
      </c>
      <c r="P1881">
        <v>0</v>
      </c>
      <c r="Q1881">
        <v>0</v>
      </c>
      <c r="S1881">
        <v>0</v>
      </c>
      <c r="T1881">
        <v>0</v>
      </c>
      <c r="U1881">
        <v>0</v>
      </c>
      <c r="W1881" t="s">
        <v>62</v>
      </c>
    </row>
    <row r="1882" spans="1:45" x14ac:dyDescent="0.35">
      <c r="A1882" t="s">
        <v>45</v>
      </c>
      <c r="B1882" t="s">
        <v>4184</v>
      </c>
      <c r="C1882" t="s">
        <v>139</v>
      </c>
      <c r="D1882" t="s">
        <v>2967</v>
      </c>
      <c r="E1882" t="s">
        <v>2968</v>
      </c>
      <c r="F1882" t="s">
        <v>76</v>
      </c>
      <c r="G1882" t="s">
        <v>4233</v>
      </c>
      <c r="H1882" t="s">
        <v>4234</v>
      </c>
      <c r="J1882" t="str">
        <f>HYPERLINK("https://twitter.com/Milindshah2017/status/1763193657778151519","https://twitter.com/Milindshah2017/status/1763193657778151519")</f>
        <v>https://twitter.com/Milindshah2017/status/1763193657778151519</v>
      </c>
      <c r="K1882" t="s">
        <v>145</v>
      </c>
      <c r="O1882">
        <v>0</v>
      </c>
      <c r="P1882">
        <v>0</v>
      </c>
      <c r="Q1882">
        <v>53</v>
      </c>
      <c r="R1882" t="s">
        <v>2971</v>
      </c>
      <c r="S1882">
        <v>0</v>
      </c>
      <c r="T1882">
        <v>0</v>
      </c>
      <c r="U1882">
        <v>0</v>
      </c>
      <c r="W1882" t="s">
        <v>146</v>
      </c>
      <c r="AS1882" t="s">
        <v>375</v>
      </c>
    </row>
    <row r="1883" spans="1:45" x14ac:dyDescent="0.35">
      <c r="A1883" t="s">
        <v>45</v>
      </c>
      <c r="B1883" t="s">
        <v>4184</v>
      </c>
      <c r="C1883" t="s">
        <v>139</v>
      </c>
      <c r="D1883" t="s">
        <v>4235</v>
      </c>
      <c r="E1883" t="s">
        <v>4236</v>
      </c>
      <c r="F1883" t="s">
        <v>49</v>
      </c>
      <c r="G1883" t="s">
        <v>4237</v>
      </c>
      <c r="H1883" t="s">
        <v>4238</v>
      </c>
      <c r="J1883" t="str">
        <f>HYPERLINK("https://twitter.com/rb_Prajapati_EF/status/1763191046911992254","https://twitter.com/rb_Prajapati_EF/status/1763191046911992254")</f>
        <v>https://twitter.com/rb_Prajapati_EF/status/1763191046911992254</v>
      </c>
      <c r="O1883">
        <v>0</v>
      </c>
      <c r="P1883">
        <v>0</v>
      </c>
      <c r="Q1883">
        <v>2433</v>
      </c>
      <c r="R1883" t="s">
        <v>4239</v>
      </c>
      <c r="S1883">
        <v>0</v>
      </c>
      <c r="T1883">
        <v>0</v>
      </c>
      <c r="U1883">
        <v>0</v>
      </c>
      <c r="W1883" t="s">
        <v>552</v>
      </c>
    </row>
    <row r="1884" spans="1:45" x14ac:dyDescent="0.35">
      <c r="A1884" t="s">
        <v>45</v>
      </c>
      <c r="B1884" t="s">
        <v>4184</v>
      </c>
      <c r="C1884" t="s">
        <v>47</v>
      </c>
      <c r="D1884" t="s">
        <v>4240</v>
      </c>
      <c r="E1884" t="s">
        <v>4240</v>
      </c>
      <c r="F1884" t="s">
        <v>49</v>
      </c>
      <c r="G1884" t="s">
        <v>131</v>
      </c>
      <c r="H1884" t="s">
        <v>4241</v>
      </c>
      <c r="J1884" t="str">
        <f>HYPERLINK("https://www.facebook.com/454965103328545/videos/3697954183759550?comment_id=423207943420749","https://www.facebook.com/454965103328545/videos/3697954183759550?comment_id=423207943420749")</f>
        <v>https://www.facebook.com/454965103328545/videos/3697954183759550?comment_id=423207943420749</v>
      </c>
      <c r="O1884">
        <v>0</v>
      </c>
      <c r="P1884">
        <v>0</v>
      </c>
      <c r="Q1884">
        <v>0</v>
      </c>
      <c r="S1884">
        <v>0</v>
      </c>
      <c r="T1884">
        <v>0</v>
      </c>
      <c r="U1884">
        <v>0</v>
      </c>
      <c r="W1884" t="s">
        <v>62</v>
      </c>
      <c r="AS1884" t="s">
        <v>375</v>
      </c>
    </row>
    <row r="1885" spans="1:45" x14ac:dyDescent="0.35">
      <c r="A1885" t="s">
        <v>45</v>
      </c>
      <c r="B1885" t="s">
        <v>4184</v>
      </c>
      <c r="C1885" t="s">
        <v>47</v>
      </c>
      <c r="D1885" t="s">
        <v>4242</v>
      </c>
      <c r="E1885" t="s">
        <v>4242</v>
      </c>
      <c r="F1885" t="s">
        <v>49</v>
      </c>
      <c r="G1885" t="s">
        <v>4056</v>
      </c>
      <c r="H1885" t="s">
        <v>4243</v>
      </c>
      <c r="J1885" t="str">
        <f>HYPERLINK("https://www.facebook.com/454965103328545/posts/780222857469433?comment_id=359699150228877","https://www.facebook.com/454965103328545/posts/780222857469433?comment_id=359699150228877")</f>
        <v>https://www.facebook.com/454965103328545/posts/780222857469433?comment_id=359699150228877</v>
      </c>
      <c r="O1885">
        <v>0</v>
      </c>
      <c r="P1885">
        <v>0</v>
      </c>
      <c r="Q1885">
        <v>0</v>
      </c>
      <c r="S1885">
        <v>0</v>
      </c>
      <c r="T1885">
        <v>0</v>
      </c>
      <c r="U1885">
        <v>0</v>
      </c>
      <c r="W1885" t="s">
        <v>62</v>
      </c>
    </row>
    <row r="1886" spans="1:45" x14ac:dyDescent="0.35">
      <c r="A1886" t="s">
        <v>45</v>
      </c>
      <c r="B1886" t="s">
        <v>4184</v>
      </c>
      <c r="C1886" t="s">
        <v>47</v>
      </c>
      <c r="D1886" t="s">
        <v>4244</v>
      </c>
      <c r="E1886" t="s">
        <v>4244</v>
      </c>
      <c r="F1886" t="s">
        <v>49</v>
      </c>
      <c r="G1886" t="s">
        <v>4245</v>
      </c>
      <c r="H1886" t="s">
        <v>4246</v>
      </c>
      <c r="J1886" t="str">
        <f>HYPERLINK("https://www.facebook.com/454965103328545/posts/780222857469433?comment_id=3603144036615214","https://www.facebook.com/454965103328545/posts/780222857469433?comment_id=3603144036615214")</f>
        <v>https://www.facebook.com/454965103328545/posts/780222857469433?comment_id=3603144036615214</v>
      </c>
      <c r="O1886">
        <v>0</v>
      </c>
      <c r="P1886">
        <v>0</v>
      </c>
      <c r="Q1886">
        <v>0</v>
      </c>
      <c r="S1886">
        <v>0</v>
      </c>
      <c r="T1886">
        <v>0</v>
      </c>
      <c r="U1886">
        <v>0</v>
      </c>
      <c r="W1886" t="s">
        <v>62</v>
      </c>
    </row>
    <row r="1887" spans="1:45" x14ac:dyDescent="0.35">
      <c r="A1887" t="s">
        <v>45</v>
      </c>
      <c r="B1887" t="s">
        <v>4184</v>
      </c>
      <c r="C1887" t="s">
        <v>63</v>
      </c>
      <c r="D1887" t="s">
        <v>4247</v>
      </c>
      <c r="E1887" t="s">
        <v>4247</v>
      </c>
      <c r="F1887" t="s">
        <v>49</v>
      </c>
      <c r="G1887" t="s">
        <v>4248</v>
      </c>
      <c r="H1887" t="s">
        <v>4249</v>
      </c>
      <c r="J1887" t="str">
        <f>HYPERLINK("https://www.instagram.com/p/C347kvDs160/","https://www.instagram.com/p/C347kvDs160/")</f>
        <v>https://www.instagram.com/p/C347kvDs160/</v>
      </c>
      <c r="O1887">
        <v>0</v>
      </c>
      <c r="P1887">
        <v>0</v>
      </c>
      <c r="Q1887">
        <v>0</v>
      </c>
      <c r="S1887">
        <v>0</v>
      </c>
      <c r="T1887">
        <v>0</v>
      </c>
      <c r="U1887">
        <v>0</v>
      </c>
      <c r="W1887" t="s">
        <v>62</v>
      </c>
      <c r="AS1887" t="s">
        <v>375</v>
      </c>
    </row>
    <row r="1888" spans="1:45" x14ac:dyDescent="0.35">
      <c r="A1888" t="s">
        <v>45</v>
      </c>
      <c r="B1888" t="s">
        <v>4184</v>
      </c>
      <c r="C1888" t="s">
        <v>63</v>
      </c>
      <c r="D1888" t="s">
        <v>4247</v>
      </c>
      <c r="E1888" t="s">
        <v>4247</v>
      </c>
      <c r="F1888" t="s">
        <v>49</v>
      </c>
      <c r="G1888" t="s">
        <v>4250</v>
      </c>
      <c r="H1888" t="s">
        <v>4251</v>
      </c>
      <c r="J1888" t="str">
        <f>HYPERLINK("https://www.instagram.com/p/C37gXZmpZWT/","https://www.instagram.com/p/C37gXZmpZWT/")</f>
        <v>https://www.instagram.com/p/C37gXZmpZWT/</v>
      </c>
      <c r="O1888">
        <v>0</v>
      </c>
      <c r="P1888">
        <v>0</v>
      </c>
      <c r="Q1888">
        <v>0</v>
      </c>
      <c r="S1888">
        <v>0</v>
      </c>
      <c r="T1888">
        <v>0</v>
      </c>
      <c r="U1888">
        <v>0</v>
      </c>
      <c r="W1888" t="s">
        <v>62</v>
      </c>
      <c r="AS1888" t="s">
        <v>375</v>
      </c>
    </row>
    <row r="1889" spans="1:45" x14ac:dyDescent="0.35">
      <c r="A1889" t="s">
        <v>45</v>
      </c>
      <c r="B1889" t="s">
        <v>4184</v>
      </c>
      <c r="C1889" t="s">
        <v>139</v>
      </c>
      <c r="D1889" t="s">
        <v>4252</v>
      </c>
      <c r="E1889" t="s">
        <v>4253</v>
      </c>
      <c r="F1889" t="s">
        <v>142</v>
      </c>
      <c r="G1889" t="s">
        <v>4254</v>
      </c>
      <c r="H1889" t="s">
        <v>4255</v>
      </c>
      <c r="J1889" t="str">
        <f>HYPERLINK("https://twitter.com/funny_moj/status/1763188776204161418","https://twitter.com/funny_moj/status/1763188776204161418")</f>
        <v>https://twitter.com/funny_moj/status/1763188776204161418</v>
      </c>
      <c r="K1889" t="s">
        <v>145</v>
      </c>
      <c r="O1889">
        <v>0</v>
      </c>
      <c r="P1889">
        <v>0</v>
      </c>
      <c r="Q1889">
        <v>8</v>
      </c>
      <c r="R1889" t="s">
        <v>4256</v>
      </c>
      <c r="S1889">
        <v>0</v>
      </c>
      <c r="T1889">
        <v>0</v>
      </c>
      <c r="U1889">
        <v>0</v>
      </c>
      <c r="W1889" t="s">
        <v>146</v>
      </c>
      <c r="AS1889" t="s">
        <v>375</v>
      </c>
    </row>
    <row r="1890" spans="1:45" x14ac:dyDescent="0.35">
      <c r="A1890" t="s">
        <v>45</v>
      </c>
      <c r="B1890" t="s">
        <v>4184</v>
      </c>
      <c r="C1890" t="s">
        <v>47</v>
      </c>
      <c r="D1890" t="s">
        <v>4257</v>
      </c>
      <c r="E1890" t="s">
        <v>4257</v>
      </c>
      <c r="F1890" t="s">
        <v>49</v>
      </c>
      <c r="G1890" t="s">
        <v>4056</v>
      </c>
      <c r="H1890" t="s">
        <v>4258</v>
      </c>
      <c r="J1890" t="str">
        <f>HYPERLINK("https://www.facebook.com/454965103328545/posts/780222857469433?comment_id=313232771366370","https://www.facebook.com/454965103328545/posts/780222857469433?comment_id=313232771366370")</f>
        <v>https://www.facebook.com/454965103328545/posts/780222857469433?comment_id=313232771366370</v>
      </c>
      <c r="O1890">
        <v>0</v>
      </c>
      <c r="P1890">
        <v>0</v>
      </c>
      <c r="Q1890">
        <v>0</v>
      </c>
      <c r="S1890">
        <v>0</v>
      </c>
      <c r="T1890">
        <v>0</v>
      </c>
      <c r="U1890">
        <v>0</v>
      </c>
      <c r="W1890" t="s">
        <v>62</v>
      </c>
    </row>
    <row r="1891" spans="1:45" x14ac:dyDescent="0.35">
      <c r="A1891" t="s">
        <v>45</v>
      </c>
      <c r="B1891" t="s">
        <v>4184</v>
      </c>
      <c r="C1891" t="s">
        <v>47</v>
      </c>
      <c r="D1891" t="s">
        <v>3587</v>
      </c>
      <c r="E1891" t="s">
        <v>3587</v>
      </c>
      <c r="F1891" t="s">
        <v>49</v>
      </c>
      <c r="G1891" t="s">
        <v>1017</v>
      </c>
      <c r="H1891" t="s">
        <v>4259</v>
      </c>
      <c r="J1891" t="str">
        <f>HYPERLINK("https://www.facebook.com/454965103328545/posts/768713601953692?comment_id=1571343960370205","https://www.facebook.com/454965103328545/posts/768713601953692?comment_id=1571343960370205")</f>
        <v>https://www.facebook.com/454965103328545/posts/768713601953692?comment_id=1571343960370205</v>
      </c>
      <c r="O1891">
        <v>0</v>
      </c>
      <c r="P1891">
        <v>0</v>
      </c>
      <c r="Q1891">
        <v>0</v>
      </c>
      <c r="S1891">
        <v>0</v>
      </c>
      <c r="T1891">
        <v>0</v>
      </c>
      <c r="U1891">
        <v>0</v>
      </c>
      <c r="W1891" t="s">
        <v>62</v>
      </c>
      <c r="AS1891" t="s">
        <v>375</v>
      </c>
    </row>
    <row r="1892" spans="1:45" x14ac:dyDescent="0.35">
      <c r="A1892" t="s">
        <v>45</v>
      </c>
      <c r="B1892" t="s">
        <v>4184</v>
      </c>
      <c r="C1892" t="s">
        <v>47</v>
      </c>
      <c r="D1892" t="s">
        <v>1954</v>
      </c>
      <c r="E1892" t="s">
        <v>1954</v>
      </c>
      <c r="F1892" t="s">
        <v>49</v>
      </c>
      <c r="G1892" t="s">
        <v>4260</v>
      </c>
      <c r="H1892" t="s">
        <v>4261</v>
      </c>
      <c r="J1892" t="str">
        <f>HYPERLINK("https://www.facebook.com/454965103328545/posts/780222857469433?comment_id=945699356903424","https://www.facebook.com/454965103328545/posts/780222857469433?comment_id=945699356903424")</f>
        <v>https://www.facebook.com/454965103328545/posts/780222857469433?comment_id=945699356903424</v>
      </c>
      <c r="O1892">
        <v>0</v>
      </c>
      <c r="P1892">
        <v>0</v>
      </c>
      <c r="Q1892">
        <v>0</v>
      </c>
      <c r="S1892">
        <v>0</v>
      </c>
      <c r="T1892">
        <v>0</v>
      </c>
      <c r="U1892">
        <v>0</v>
      </c>
      <c r="W1892" t="s">
        <v>62</v>
      </c>
      <c r="AP1892" t="s">
        <v>101</v>
      </c>
      <c r="AS1892" t="s">
        <v>375</v>
      </c>
    </row>
    <row r="1893" spans="1:45" x14ac:dyDescent="0.35">
      <c r="A1893" t="s">
        <v>45</v>
      </c>
      <c r="B1893" t="s">
        <v>4184</v>
      </c>
      <c r="C1893" t="s">
        <v>47</v>
      </c>
      <c r="D1893" t="s">
        <v>4262</v>
      </c>
      <c r="E1893" t="s">
        <v>4262</v>
      </c>
      <c r="F1893" t="s">
        <v>49</v>
      </c>
      <c r="G1893" t="s">
        <v>4263</v>
      </c>
      <c r="H1893" t="s">
        <v>4264</v>
      </c>
      <c r="J1893" t="str">
        <f>HYPERLINK("https://www.facebook.com/454965103328545/posts/490024586489263?comment_id=1085355985884547","https://www.facebook.com/454965103328545/posts/490024586489263?comment_id=1085355985884547")</f>
        <v>https://www.facebook.com/454965103328545/posts/490024586489263?comment_id=1085355985884547</v>
      </c>
      <c r="O1893">
        <v>0</v>
      </c>
      <c r="P1893">
        <v>0</v>
      </c>
      <c r="Q1893">
        <v>0</v>
      </c>
      <c r="S1893">
        <v>0</v>
      </c>
      <c r="T1893">
        <v>0</v>
      </c>
      <c r="U1893">
        <v>0</v>
      </c>
      <c r="W1893" t="s">
        <v>62</v>
      </c>
    </row>
    <row r="1894" spans="1:45" x14ac:dyDescent="0.35">
      <c r="A1894" t="s">
        <v>45</v>
      </c>
      <c r="B1894" t="s">
        <v>4184</v>
      </c>
      <c r="C1894" t="s">
        <v>139</v>
      </c>
      <c r="D1894" t="s">
        <v>4252</v>
      </c>
      <c r="E1894" t="s">
        <v>4253</v>
      </c>
      <c r="F1894" t="s">
        <v>49</v>
      </c>
      <c r="G1894" t="s">
        <v>4265</v>
      </c>
      <c r="H1894" t="s">
        <v>4266</v>
      </c>
      <c r="J1894" t="str">
        <f>HYPERLINK("https://twitter.com/funny_moj/status/1763173762562965716","https://twitter.com/funny_moj/status/1763173762562965716")</f>
        <v>https://twitter.com/funny_moj/status/1763173762562965716</v>
      </c>
      <c r="K1894" t="s">
        <v>145</v>
      </c>
      <c r="O1894">
        <v>0</v>
      </c>
      <c r="P1894">
        <v>0</v>
      </c>
      <c r="Q1894">
        <v>8</v>
      </c>
      <c r="R1894" t="s">
        <v>4256</v>
      </c>
      <c r="S1894">
        <v>0</v>
      </c>
      <c r="T1894">
        <v>0</v>
      </c>
      <c r="U1894">
        <v>0</v>
      </c>
      <c r="W1894" t="s">
        <v>146</v>
      </c>
      <c r="AS1894" t="s">
        <v>375</v>
      </c>
    </row>
    <row r="1895" spans="1:45" x14ac:dyDescent="0.35">
      <c r="A1895" t="s">
        <v>45</v>
      </c>
      <c r="B1895" t="s">
        <v>4184</v>
      </c>
      <c r="C1895" t="s">
        <v>63</v>
      </c>
      <c r="D1895" t="s">
        <v>186</v>
      </c>
      <c r="E1895" t="s">
        <v>186</v>
      </c>
      <c r="F1895" t="s">
        <v>49</v>
      </c>
      <c r="G1895" t="s">
        <v>4267</v>
      </c>
      <c r="H1895" t="s">
        <v>4268</v>
      </c>
      <c r="J1895" t="str">
        <f>HYPERLINK("https://www.instagram.com/p/C37gXZmpZWT/","https://www.instagram.com/p/C37gXZmpZWT/")</f>
        <v>https://www.instagram.com/p/C37gXZmpZWT/</v>
      </c>
      <c r="O1895">
        <v>0</v>
      </c>
      <c r="P1895">
        <v>0</v>
      </c>
      <c r="Q1895">
        <v>0</v>
      </c>
      <c r="S1895">
        <v>2</v>
      </c>
      <c r="T1895">
        <v>43</v>
      </c>
      <c r="U1895">
        <v>0</v>
      </c>
      <c r="W1895" t="s">
        <v>106</v>
      </c>
    </row>
    <row r="1896" spans="1:45" x14ac:dyDescent="0.35">
      <c r="A1896" t="s">
        <v>45</v>
      </c>
      <c r="B1896" t="s">
        <v>4184</v>
      </c>
      <c r="C1896" t="s">
        <v>139</v>
      </c>
      <c r="D1896" t="s">
        <v>190</v>
      </c>
      <c r="E1896" t="s">
        <v>45</v>
      </c>
      <c r="F1896" t="s">
        <v>49</v>
      </c>
      <c r="G1896" t="s">
        <v>4076</v>
      </c>
      <c r="H1896" t="s">
        <v>4269</v>
      </c>
      <c r="J1896" t="str">
        <f>HYPERLINK("https://twitter.com/FinoPaymntsBank/status/1763164713192509837","https://twitter.com/FinoPaymntsBank/status/1763164713192509837")</f>
        <v>https://twitter.com/FinoPaymntsBank/status/1763164713192509837</v>
      </c>
      <c r="K1896" t="s">
        <v>145</v>
      </c>
      <c r="O1896">
        <v>0</v>
      </c>
      <c r="P1896">
        <v>0</v>
      </c>
      <c r="Q1896">
        <v>8402</v>
      </c>
      <c r="R1896" t="s">
        <v>193</v>
      </c>
      <c r="S1896">
        <v>0</v>
      </c>
      <c r="T1896">
        <v>0</v>
      </c>
      <c r="U1896">
        <v>0</v>
      </c>
      <c r="W1896" t="s">
        <v>146</v>
      </c>
    </row>
    <row r="1897" spans="1:45" x14ac:dyDescent="0.35">
      <c r="A1897" t="s">
        <v>45</v>
      </c>
      <c r="B1897" t="s">
        <v>4184</v>
      </c>
      <c r="C1897" t="s">
        <v>47</v>
      </c>
      <c r="D1897" t="s">
        <v>45</v>
      </c>
      <c r="E1897" t="s">
        <v>45</v>
      </c>
      <c r="F1897" t="s">
        <v>49</v>
      </c>
      <c r="G1897" t="s">
        <v>4267</v>
      </c>
      <c r="H1897" t="s">
        <v>4269</v>
      </c>
      <c r="J1897" t="str">
        <f>HYPERLINK("https://www.facebook.com/357267201017935_768713601953692","https://www.facebook.com/357267201017935_768713601953692")</f>
        <v>https://www.facebook.com/357267201017935_768713601953692</v>
      </c>
      <c r="O1897">
        <v>0</v>
      </c>
      <c r="P1897">
        <v>0</v>
      </c>
      <c r="Q1897">
        <v>0</v>
      </c>
      <c r="S1897">
        <v>3</v>
      </c>
      <c r="T1897">
        <v>42</v>
      </c>
      <c r="U1897">
        <v>6</v>
      </c>
      <c r="W1897" t="s">
        <v>106</v>
      </c>
    </row>
    <row r="1898" spans="1:45" x14ac:dyDescent="0.35">
      <c r="A1898" t="s">
        <v>45</v>
      </c>
      <c r="B1898" t="s">
        <v>4184</v>
      </c>
      <c r="C1898" t="s">
        <v>47</v>
      </c>
      <c r="D1898" t="s">
        <v>45</v>
      </c>
      <c r="E1898" t="s">
        <v>45</v>
      </c>
      <c r="F1898" t="s">
        <v>49</v>
      </c>
      <c r="G1898" t="s">
        <v>4270</v>
      </c>
      <c r="H1898" t="s">
        <v>4271</v>
      </c>
      <c r="J1898" t="str">
        <f>HYPERLINK("https://www.facebook.com/454965103328545/posts/780222857469433","https://www.facebook.com/454965103328545/posts/780222857469433")</f>
        <v>https://www.facebook.com/454965103328545/posts/780222857469433</v>
      </c>
      <c r="O1898">
        <v>0</v>
      </c>
      <c r="P1898">
        <v>0</v>
      </c>
      <c r="Q1898">
        <v>0</v>
      </c>
      <c r="S1898">
        <v>22</v>
      </c>
      <c r="T1898">
        <v>148</v>
      </c>
      <c r="U1898">
        <v>9</v>
      </c>
      <c r="W1898" t="s">
        <v>106</v>
      </c>
    </row>
    <row r="1899" spans="1:45" x14ac:dyDescent="0.35">
      <c r="A1899" t="s">
        <v>45</v>
      </c>
      <c r="B1899" t="s">
        <v>4184</v>
      </c>
      <c r="C1899" t="s">
        <v>139</v>
      </c>
      <c r="D1899" t="s">
        <v>190</v>
      </c>
      <c r="E1899" t="s">
        <v>45</v>
      </c>
      <c r="F1899" t="s">
        <v>49</v>
      </c>
      <c r="G1899" t="s">
        <v>4237</v>
      </c>
      <c r="H1899" t="s">
        <v>4272</v>
      </c>
      <c r="J1899" t="str">
        <f>HYPERLINK("https://twitter.com/FinoPaymntsBank/status/1763158468674924550","https://twitter.com/FinoPaymntsBank/status/1763158468674924550")</f>
        <v>https://twitter.com/FinoPaymntsBank/status/1763158468674924550</v>
      </c>
      <c r="K1899" t="s">
        <v>145</v>
      </c>
      <c r="O1899">
        <v>0</v>
      </c>
      <c r="P1899">
        <v>0</v>
      </c>
      <c r="Q1899">
        <v>8402</v>
      </c>
      <c r="R1899" t="s">
        <v>193</v>
      </c>
      <c r="S1899">
        <v>0</v>
      </c>
      <c r="T1899">
        <v>0</v>
      </c>
      <c r="U1899">
        <v>0</v>
      </c>
      <c r="W1899" t="s">
        <v>146</v>
      </c>
    </row>
    <row r="1900" spans="1:45" x14ac:dyDescent="0.35">
      <c r="A1900" t="s">
        <v>45</v>
      </c>
      <c r="B1900" t="s">
        <v>4184</v>
      </c>
      <c r="C1900" t="s">
        <v>102</v>
      </c>
      <c r="D1900" t="s">
        <v>965</v>
      </c>
      <c r="E1900" t="s">
        <v>965</v>
      </c>
      <c r="F1900" t="s">
        <v>49</v>
      </c>
      <c r="G1900" t="s">
        <v>4273</v>
      </c>
      <c r="H1900" t="s">
        <v>4274</v>
      </c>
      <c r="J1900" t="str">
        <f>HYPERLINK("https://www.linkedin.com/feed/update/urn:li:share:7168921985224204288","https://www.linkedin.com/feed/update/urn:li:share:7168921985224204288")</f>
        <v>https://www.linkedin.com/feed/update/urn:li:share:7168921985224204288</v>
      </c>
      <c r="O1900">
        <v>0</v>
      </c>
      <c r="P1900">
        <v>0</v>
      </c>
      <c r="Q1900">
        <v>0</v>
      </c>
      <c r="S1900">
        <v>10</v>
      </c>
      <c r="T1900">
        <v>179</v>
      </c>
      <c r="U1900">
        <v>0</v>
      </c>
      <c r="W1900" t="s">
        <v>106</v>
      </c>
    </row>
    <row r="1901" spans="1:45" x14ac:dyDescent="0.35">
      <c r="A1901" t="s">
        <v>45</v>
      </c>
      <c r="B1901" t="s">
        <v>4184</v>
      </c>
      <c r="C1901" t="s">
        <v>47</v>
      </c>
      <c r="D1901" t="s">
        <v>4275</v>
      </c>
      <c r="E1901" t="s">
        <v>4275</v>
      </c>
      <c r="F1901" t="s">
        <v>49</v>
      </c>
      <c r="G1901" t="s">
        <v>253</v>
      </c>
      <c r="H1901" t="s">
        <v>4276</v>
      </c>
      <c r="J1901" t="str">
        <f>HYPERLINK("https://www.facebook.com/357267201017935/inbox/7060444830700105/","https://www.facebook.com/357267201017935/inbox/7060444830700105/")</f>
        <v>https://www.facebook.com/357267201017935/inbox/7060444830700105/</v>
      </c>
      <c r="O1901">
        <v>0</v>
      </c>
      <c r="P1901">
        <v>0</v>
      </c>
      <c r="Q1901">
        <v>0</v>
      </c>
      <c r="S1901">
        <v>0</v>
      </c>
      <c r="T1901">
        <v>0</v>
      </c>
      <c r="U1901">
        <v>0</v>
      </c>
      <c r="W1901" t="s">
        <v>52</v>
      </c>
    </row>
    <row r="1902" spans="1:45" x14ac:dyDescent="0.35">
      <c r="A1902" t="s">
        <v>45</v>
      </c>
      <c r="B1902" t="s">
        <v>4184</v>
      </c>
      <c r="C1902" t="s">
        <v>58</v>
      </c>
      <c r="D1902" t="s">
        <v>1240</v>
      </c>
      <c r="E1902" t="s">
        <v>1240</v>
      </c>
      <c r="F1902" t="s">
        <v>49</v>
      </c>
      <c r="G1902" t="s">
        <v>4171</v>
      </c>
      <c r="H1902" t="s">
        <v>4277</v>
      </c>
      <c r="J1902" t="str">
        <f>HYPERLINK("https://www.youtube.com/watch?v=Zp7WH5yBytA","https://www.youtube.com/watch?v=Zp7WH5yBytA")</f>
        <v>https://www.youtube.com/watch?v=Zp7WH5yBytA</v>
      </c>
      <c r="O1902">
        <v>0</v>
      </c>
      <c r="P1902">
        <v>0</v>
      </c>
      <c r="Q1902">
        <v>0</v>
      </c>
      <c r="S1902">
        <v>0</v>
      </c>
      <c r="T1902">
        <v>0</v>
      </c>
      <c r="U1902">
        <v>0</v>
      </c>
      <c r="W1902" t="s">
        <v>106</v>
      </c>
    </row>
    <row r="1903" spans="1:45" x14ac:dyDescent="0.35">
      <c r="A1903" t="s">
        <v>45</v>
      </c>
      <c r="B1903" t="s">
        <v>4184</v>
      </c>
      <c r="C1903" t="s">
        <v>139</v>
      </c>
      <c r="D1903" t="s">
        <v>4278</v>
      </c>
      <c r="E1903" t="s">
        <v>4279</v>
      </c>
      <c r="F1903" t="s">
        <v>49</v>
      </c>
      <c r="G1903" t="s">
        <v>4206</v>
      </c>
      <c r="H1903" t="s">
        <v>4280</v>
      </c>
      <c r="J1903" t="str">
        <f>HYPERLINK("https://twitter.com/Atmnirbharhoon/status/1763140553611612623","https://twitter.com/Atmnirbharhoon/status/1763140553611612623")</f>
        <v>https://twitter.com/Atmnirbharhoon/status/1763140553611612623</v>
      </c>
      <c r="O1903">
        <v>0</v>
      </c>
      <c r="P1903">
        <v>0</v>
      </c>
      <c r="Q1903">
        <v>767</v>
      </c>
      <c r="R1903" t="s">
        <v>829</v>
      </c>
      <c r="S1903">
        <v>0</v>
      </c>
      <c r="T1903">
        <v>0</v>
      </c>
      <c r="U1903">
        <v>0</v>
      </c>
      <c r="W1903" t="s">
        <v>146</v>
      </c>
    </row>
    <row r="1904" spans="1:45" x14ac:dyDescent="0.35">
      <c r="A1904" t="s">
        <v>45</v>
      </c>
      <c r="B1904" t="s">
        <v>4184</v>
      </c>
      <c r="C1904" t="s">
        <v>139</v>
      </c>
      <c r="D1904" t="s">
        <v>4281</v>
      </c>
      <c r="E1904" t="s">
        <v>4282</v>
      </c>
      <c r="F1904" t="s">
        <v>142</v>
      </c>
      <c r="G1904" t="s">
        <v>4283</v>
      </c>
      <c r="H1904" t="s">
        <v>4284</v>
      </c>
      <c r="J1904" t="str">
        <f>HYPERLINK("https://twitter.com/TarushiNeha/status/1763115101039763707","https://twitter.com/TarushiNeha/status/1763115101039763707")</f>
        <v>https://twitter.com/TarushiNeha/status/1763115101039763707</v>
      </c>
      <c r="K1904" t="s">
        <v>1769</v>
      </c>
      <c r="O1904">
        <v>0</v>
      </c>
      <c r="P1904">
        <v>0</v>
      </c>
      <c r="Q1904">
        <v>1</v>
      </c>
      <c r="S1904">
        <v>0</v>
      </c>
      <c r="T1904">
        <v>0</v>
      </c>
      <c r="U1904">
        <v>0</v>
      </c>
      <c r="W1904" t="s">
        <v>146</v>
      </c>
      <c r="AS1904" t="s">
        <v>375</v>
      </c>
    </row>
    <row r="1905" spans="1:45" x14ac:dyDescent="0.35">
      <c r="A1905" t="s">
        <v>45</v>
      </c>
      <c r="B1905" t="s">
        <v>4184</v>
      </c>
      <c r="C1905" t="s">
        <v>47</v>
      </c>
      <c r="D1905" t="s">
        <v>4285</v>
      </c>
      <c r="E1905" t="s">
        <v>4285</v>
      </c>
      <c r="F1905" t="s">
        <v>49</v>
      </c>
      <c r="G1905" t="s">
        <v>2767</v>
      </c>
      <c r="H1905" t="s">
        <v>4286</v>
      </c>
      <c r="J1905" t="str">
        <f>HYPERLINK("https://www.facebook.com/357267201017935/inbox/7100208116723776/","https://www.facebook.com/357267201017935/inbox/7100208116723776/")</f>
        <v>https://www.facebook.com/357267201017935/inbox/7100208116723776/</v>
      </c>
      <c r="O1905">
        <v>0</v>
      </c>
      <c r="P1905">
        <v>0</v>
      </c>
      <c r="Q1905">
        <v>0</v>
      </c>
      <c r="S1905">
        <v>0</v>
      </c>
      <c r="T1905">
        <v>0</v>
      </c>
      <c r="U1905">
        <v>0</v>
      </c>
      <c r="W1905" t="s">
        <v>52</v>
      </c>
      <c r="AS1905" t="s">
        <v>375</v>
      </c>
    </row>
    <row r="1906" spans="1:45" x14ac:dyDescent="0.35">
      <c r="A1906" t="s">
        <v>45</v>
      </c>
      <c r="B1906" t="s">
        <v>4184</v>
      </c>
      <c r="C1906" t="s">
        <v>47</v>
      </c>
      <c r="D1906" t="s">
        <v>4285</v>
      </c>
      <c r="E1906" t="s">
        <v>4285</v>
      </c>
      <c r="F1906" t="s">
        <v>49</v>
      </c>
      <c r="G1906" t="s">
        <v>373</v>
      </c>
      <c r="H1906" t="s">
        <v>4286</v>
      </c>
      <c r="J1906" t="str">
        <f>HYPERLINK("https://www.facebook.com/357267201017935/inbox/7100208116723776/","https://www.facebook.com/357267201017935/inbox/7100208116723776/")</f>
        <v>https://www.facebook.com/357267201017935/inbox/7100208116723776/</v>
      </c>
      <c r="O1906">
        <v>0</v>
      </c>
      <c r="P1906">
        <v>0</v>
      </c>
      <c r="Q1906">
        <v>0</v>
      </c>
      <c r="S1906">
        <v>0</v>
      </c>
      <c r="T1906">
        <v>0</v>
      </c>
      <c r="U1906">
        <v>0</v>
      </c>
      <c r="W1906" t="s">
        <v>52</v>
      </c>
      <c r="AS1906" t="s">
        <v>375</v>
      </c>
    </row>
    <row r="1907" spans="1:45" x14ac:dyDescent="0.35">
      <c r="A1907" t="s">
        <v>45</v>
      </c>
      <c r="B1907" t="s">
        <v>4184</v>
      </c>
      <c r="C1907" t="s">
        <v>102</v>
      </c>
      <c r="D1907" t="s">
        <v>4287</v>
      </c>
      <c r="E1907" t="s">
        <v>4287</v>
      </c>
      <c r="F1907" t="s">
        <v>49</v>
      </c>
      <c r="G1907" t="s">
        <v>4053</v>
      </c>
      <c r="H1907" t="s">
        <v>4288</v>
      </c>
      <c r="J1907" t="str">
        <f>HYPERLINK("https://www.linkedin.com/feed/update/urn:li:ugcPost:7168849218369904640","https://www.linkedin.com/feed/update/urn:li:ugcPost:7168849218369904640")</f>
        <v>https://www.linkedin.com/feed/update/urn:li:ugcPost:7168849218369904640</v>
      </c>
      <c r="O1907">
        <v>0</v>
      </c>
      <c r="P1907">
        <v>0</v>
      </c>
      <c r="Q1907">
        <v>0</v>
      </c>
      <c r="S1907">
        <v>0</v>
      </c>
      <c r="T1907">
        <v>0</v>
      </c>
      <c r="U1907">
        <v>0</v>
      </c>
      <c r="W1907" t="s">
        <v>106</v>
      </c>
    </row>
    <row r="1908" spans="1:45" x14ac:dyDescent="0.35">
      <c r="A1908" t="s">
        <v>45</v>
      </c>
      <c r="B1908" t="s">
        <v>4184</v>
      </c>
      <c r="C1908" t="s">
        <v>139</v>
      </c>
      <c r="D1908" t="s">
        <v>4289</v>
      </c>
      <c r="E1908" t="s">
        <v>4290</v>
      </c>
      <c r="F1908" t="s">
        <v>49</v>
      </c>
      <c r="G1908" t="s">
        <v>4291</v>
      </c>
      <c r="H1908" t="s">
        <v>4292</v>
      </c>
      <c r="J1908" t="str">
        <f>HYPERLINK("https://twitter.com/TinkuYadav9334/status/1763079063584047337","https://twitter.com/TinkuYadav9334/status/1763079063584047337")</f>
        <v>https://twitter.com/TinkuYadav9334/status/1763079063584047337</v>
      </c>
      <c r="K1908" t="s">
        <v>145</v>
      </c>
      <c r="O1908">
        <v>0</v>
      </c>
      <c r="P1908">
        <v>0</v>
      </c>
      <c r="Q1908">
        <v>2</v>
      </c>
      <c r="R1908" t="s">
        <v>4293</v>
      </c>
      <c r="S1908">
        <v>0</v>
      </c>
      <c r="T1908">
        <v>0</v>
      </c>
      <c r="U1908">
        <v>0</v>
      </c>
      <c r="W1908" t="s">
        <v>146</v>
      </c>
      <c r="Y1908" t="s">
        <v>4294</v>
      </c>
      <c r="Z1908" t="s">
        <v>613</v>
      </c>
      <c r="AA1908" t="s">
        <v>614</v>
      </c>
      <c r="AO1908" t="s">
        <v>119</v>
      </c>
      <c r="AP1908" t="s">
        <v>101</v>
      </c>
    </row>
    <row r="1909" spans="1:45" x14ac:dyDescent="0.35">
      <c r="A1909" t="s">
        <v>45</v>
      </c>
      <c r="B1909" t="s">
        <v>4184</v>
      </c>
      <c r="C1909" t="s">
        <v>63</v>
      </c>
      <c r="D1909" t="s">
        <v>3738</v>
      </c>
      <c r="E1909" t="s">
        <v>3738</v>
      </c>
      <c r="F1909" t="s">
        <v>49</v>
      </c>
      <c r="G1909" t="s">
        <v>4295</v>
      </c>
      <c r="H1909" t="s">
        <v>4296</v>
      </c>
      <c r="J1909" t="str">
        <f>HYPERLINK("https://www.instagram.com/p/C3STh5ugtpX/","https://www.instagram.com/p/C3STh5ugtpX/")</f>
        <v>https://www.instagram.com/p/C3STh5ugtpX/</v>
      </c>
      <c r="O1909">
        <v>0</v>
      </c>
      <c r="P1909">
        <v>0</v>
      </c>
      <c r="Q1909">
        <v>0</v>
      </c>
      <c r="S1909">
        <v>0</v>
      </c>
      <c r="T1909">
        <v>0</v>
      </c>
      <c r="U1909">
        <v>0</v>
      </c>
      <c r="W1909" t="s">
        <v>62</v>
      </c>
    </row>
    <row r="1910" spans="1:45" x14ac:dyDescent="0.35">
      <c r="A1910" t="s">
        <v>45</v>
      </c>
      <c r="B1910" t="s">
        <v>4184</v>
      </c>
      <c r="C1910" t="s">
        <v>58</v>
      </c>
      <c r="D1910" t="s">
        <v>4297</v>
      </c>
      <c r="E1910" t="s">
        <v>4297</v>
      </c>
      <c r="F1910" t="s">
        <v>49</v>
      </c>
      <c r="G1910" t="s">
        <v>4298</v>
      </c>
      <c r="H1910" t="s">
        <v>4299</v>
      </c>
      <c r="J1910" t="str">
        <f>HYPERLINK("https://www.youtube.com/watch?v=4Z5xcbphLMQ&amp;lc=Ugxh5trp43Gn-YIaEFJ4AaABAg","https://www.youtube.com/watch?v=4Z5xcbphLMQ&amp;lc=Ugxh5trp43Gn-YIaEFJ4AaABAg")</f>
        <v>https://www.youtube.com/watch?v=4Z5xcbphLMQ&amp;lc=Ugxh5trp43Gn-YIaEFJ4AaABAg</v>
      </c>
      <c r="O1910">
        <v>0</v>
      </c>
      <c r="P1910">
        <v>0</v>
      </c>
      <c r="Q1910">
        <v>0</v>
      </c>
      <c r="S1910">
        <v>0</v>
      </c>
      <c r="T1910">
        <v>0</v>
      </c>
      <c r="U1910">
        <v>0</v>
      </c>
      <c r="W1910" t="s">
        <v>62</v>
      </c>
      <c r="AS1910" t="s">
        <v>375</v>
      </c>
    </row>
    <row r="1911" spans="1:45" x14ac:dyDescent="0.35">
      <c r="A1911" t="s">
        <v>45</v>
      </c>
      <c r="B1911" t="s">
        <v>4184</v>
      </c>
      <c r="C1911" t="s">
        <v>139</v>
      </c>
      <c r="D1911" t="s">
        <v>4300</v>
      </c>
      <c r="E1911" t="s">
        <v>4301</v>
      </c>
      <c r="F1911" t="s">
        <v>49</v>
      </c>
      <c r="G1911" t="s">
        <v>4302</v>
      </c>
      <c r="H1911" t="s">
        <v>4303</v>
      </c>
      <c r="J1911" t="str">
        <f>HYPERLINK("https://twitter.com/DocuRm48398/status/1762922916721909904","https://twitter.com/DocuRm48398/status/1762922916721909904")</f>
        <v>https://twitter.com/DocuRm48398/status/1762922916721909904</v>
      </c>
      <c r="K1911" t="s">
        <v>145</v>
      </c>
      <c r="O1911">
        <v>0</v>
      </c>
      <c r="P1911">
        <v>0</v>
      </c>
      <c r="Q1911">
        <v>4</v>
      </c>
      <c r="R1911" t="s">
        <v>4304</v>
      </c>
      <c r="S1911">
        <v>0</v>
      </c>
      <c r="T1911">
        <v>0</v>
      </c>
      <c r="U1911">
        <v>0</v>
      </c>
      <c r="W1911" t="s">
        <v>146</v>
      </c>
    </row>
    <row r="1912" spans="1:45" x14ac:dyDescent="0.35">
      <c r="A1912" t="s">
        <v>45</v>
      </c>
      <c r="B1912" t="s">
        <v>4305</v>
      </c>
      <c r="C1912" t="s">
        <v>47</v>
      </c>
      <c r="D1912" t="s">
        <v>3587</v>
      </c>
      <c r="E1912" t="s">
        <v>3587</v>
      </c>
      <c r="F1912" t="s">
        <v>49</v>
      </c>
      <c r="G1912" t="s">
        <v>4306</v>
      </c>
      <c r="H1912" t="s">
        <v>4307</v>
      </c>
      <c r="J1912" t="str">
        <f>HYPERLINK("https://www.facebook.com/454965103328545/posts/773122238179495?comment_id=739113998208716","https://www.facebook.com/454965103328545/posts/773122238179495?comment_id=739113998208716")</f>
        <v>https://www.facebook.com/454965103328545/posts/773122238179495?comment_id=739113998208716</v>
      </c>
      <c r="O1912">
        <v>0</v>
      </c>
      <c r="P1912">
        <v>0</v>
      </c>
      <c r="Q1912">
        <v>0</v>
      </c>
      <c r="S1912">
        <v>0</v>
      </c>
      <c r="T1912">
        <v>0</v>
      </c>
      <c r="U1912">
        <v>0</v>
      </c>
      <c r="W1912" t="s">
        <v>62</v>
      </c>
      <c r="AS1912" t="s">
        <v>375</v>
      </c>
    </row>
    <row r="1913" spans="1:45" x14ac:dyDescent="0.35">
      <c r="A1913" t="s">
        <v>45</v>
      </c>
      <c r="B1913" t="s">
        <v>4305</v>
      </c>
      <c r="C1913" t="s">
        <v>47</v>
      </c>
      <c r="D1913" t="s">
        <v>4308</v>
      </c>
      <c r="E1913" t="s">
        <v>4308</v>
      </c>
      <c r="F1913" t="s">
        <v>49</v>
      </c>
      <c r="G1913" t="s">
        <v>50</v>
      </c>
      <c r="H1913" t="s">
        <v>4309</v>
      </c>
      <c r="J1913" t="str">
        <f>HYPERLINK("https://www.facebook.com/357267201017935/inbox/7097772496967338/","https://www.facebook.com/357267201017935/inbox/7097772496967338/")</f>
        <v>https://www.facebook.com/357267201017935/inbox/7097772496967338/</v>
      </c>
      <c r="O1913">
        <v>0</v>
      </c>
      <c r="P1913">
        <v>0</v>
      </c>
      <c r="Q1913">
        <v>0</v>
      </c>
      <c r="S1913">
        <v>0</v>
      </c>
      <c r="T1913">
        <v>0</v>
      </c>
      <c r="U1913">
        <v>0</v>
      </c>
      <c r="W1913" t="s">
        <v>52</v>
      </c>
      <c r="AS1913" t="s">
        <v>375</v>
      </c>
    </row>
    <row r="1914" spans="1:45" x14ac:dyDescent="0.35">
      <c r="A1914" t="s">
        <v>45</v>
      </c>
      <c r="B1914" t="s">
        <v>4305</v>
      </c>
      <c r="C1914" t="s">
        <v>63</v>
      </c>
      <c r="D1914" t="s">
        <v>4111</v>
      </c>
      <c r="E1914" t="s">
        <v>4111</v>
      </c>
      <c r="F1914" t="s">
        <v>49</v>
      </c>
      <c r="G1914" t="s">
        <v>3905</v>
      </c>
      <c r="H1914" t="s">
        <v>4310</v>
      </c>
      <c r="J1914" t="str">
        <f>HYPERLINK("https://www.instagram.com/p/C32Wxgyh-8B/","https://www.instagram.com/p/C32Wxgyh-8B/")</f>
        <v>https://www.instagram.com/p/C32Wxgyh-8B/</v>
      </c>
      <c r="O1914">
        <v>0</v>
      </c>
      <c r="P1914">
        <v>0</v>
      </c>
      <c r="Q1914">
        <v>0</v>
      </c>
      <c r="S1914">
        <v>0</v>
      </c>
      <c r="T1914">
        <v>0</v>
      </c>
      <c r="U1914">
        <v>0</v>
      </c>
      <c r="W1914" t="s">
        <v>62</v>
      </c>
    </row>
    <row r="1915" spans="1:45" x14ac:dyDescent="0.35">
      <c r="A1915" t="s">
        <v>45</v>
      </c>
      <c r="B1915" t="s">
        <v>4305</v>
      </c>
      <c r="C1915" t="s">
        <v>47</v>
      </c>
      <c r="D1915" t="s">
        <v>4257</v>
      </c>
      <c r="E1915" t="s">
        <v>4257</v>
      </c>
      <c r="F1915" t="s">
        <v>49</v>
      </c>
      <c r="G1915" t="s">
        <v>4311</v>
      </c>
      <c r="H1915" t="s">
        <v>4312</v>
      </c>
      <c r="J1915" t="str">
        <f>HYPERLINK("https://www.facebook.com/357267201017935/inbox/7097696836974904/","https://www.facebook.com/357267201017935/inbox/7097696836974904/")</f>
        <v>https://www.facebook.com/357267201017935/inbox/7097696836974904/</v>
      </c>
      <c r="O1915">
        <v>0</v>
      </c>
      <c r="P1915">
        <v>0</v>
      </c>
      <c r="Q1915">
        <v>0</v>
      </c>
      <c r="S1915">
        <v>0</v>
      </c>
      <c r="T1915">
        <v>0</v>
      </c>
      <c r="U1915">
        <v>0</v>
      </c>
      <c r="W1915" t="s">
        <v>52</v>
      </c>
    </row>
    <row r="1916" spans="1:45" x14ac:dyDescent="0.35">
      <c r="A1916" t="s">
        <v>45</v>
      </c>
      <c r="B1916" t="s">
        <v>4305</v>
      </c>
      <c r="C1916" t="s">
        <v>47</v>
      </c>
      <c r="D1916" t="s">
        <v>4313</v>
      </c>
      <c r="E1916" t="s">
        <v>4313</v>
      </c>
      <c r="F1916" t="s">
        <v>76</v>
      </c>
      <c r="G1916" t="s">
        <v>4314</v>
      </c>
      <c r="H1916" t="s">
        <v>4315</v>
      </c>
      <c r="J1916" t="str">
        <f>HYPERLINK("https://www.facebook.com/692221939790903/posts/692805206399243","https://www.facebook.com/692221939790903/posts/692805206399243")</f>
        <v>https://www.facebook.com/692221939790903/posts/692805206399243</v>
      </c>
      <c r="O1916">
        <v>0</v>
      </c>
      <c r="P1916">
        <v>0</v>
      </c>
      <c r="Q1916">
        <v>0</v>
      </c>
      <c r="S1916">
        <v>0</v>
      </c>
      <c r="T1916">
        <v>4</v>
      </c>
      <c r="U1916">
        <v>21</v>
      </c>
      <c r="W1916" t="s">
        <v>106</v>
      </c>
    </row>
    <row r="1917" spans="1:45" x14ac:dyDescent="0.35">
      <c r="A1917" t="s">
        <v>45</v>
      </c>
      <c r="B1917" t="s">
        <v>4305</v>
      </c>
      <c r="C1917" t="s">
        <v>47</v>
      </c>
      <c r="D1917" t="s">
        <v>4316</v>
      </c>
      <c r="E1917" t="s">
        <v>4316</v>
      </c>
      <c r="F1917" t="s">
        <v>49</v>
      </c>
      <c r="G1917" t="s">
        <v>50</v>
      </c>
      <c r="H1917" t="s">
        <v>4317</v>
      </c>
      <c r="J1917" t="str">
        <f>HYPERLINK("https://www.facebook.com/357267201017935/inbox/7097591496985438/","https://www.facebook.com/357267201017935/inbox/7097591496985438/")</f>
        <v>https://www.facebook.com/357267201017935/inbox/7097591496985438/</v>
      </c>
      <c r="O1917">
        <v>0</v>
      </c>
      <c r="P1917">
        <v>0</v>
      </c>
      <c r="Q1917">
        <v>0</v>
      </c>
      <c r="S1917">
        <v>0</v>
      </c>
      <c r="T1917">
        <v>0</v>
      </c>
      <c r="U1917">
        <v>0</v>
      </c>
      <c r="W1917" t="s">
        <v>52</v>
      </c>
      <c r="AS1917" t="s">
        <v>375</v>
      </c>
    </row>
    <row r="1918" spans="1:45" x14ac:dyDescent="0.35">
      <c r="A1918" t="s">
        <v>45</v>
      </c>
      <c r="B1918" t="s">
        <v>4305</v>
      </c>
      <c r="C1918" t="s">
        <v>47</v>
      </c>
      <c r="D1918" t="s">
        <v>3587</v>
      </c>
      <c r="E1918" t="s">
        <v>3587</v>
      </c>
      <c r="F1918" t="s">
        <v>49</v>
      </c>
      <c r="G1918" t="s">
        <v>2767</v>
      </c>
      <c r="H1918" t="s">
        <v>4318</v>
      </c>
      <c r="J1918" t="str">
        <f>HYPERLINK("https://www.facebook.com/357267201017935/inbox/7097546976989890/","https://www.facebook.com/357267201017935/inbox/7097546976989890/")</f>
        <v>https://www.facebook.com/357267201017935/inbox/7097546976989890/</v>
      </c>
      <c r="O1918">
        <v>0</v>
      </c>
      <c r="P1918">
        <v>0</v>
      </c>
      <c r="Q1918">
        <v>0</v>
      </c>
      <c r="S1918">
        <v>0</v>
      </c>
      <c r="T1918">
        <v>0</v>
      </c>
      <c r="U1918">
        <v>0</v>
      </c>
      <c r="W1918" t="s">
        <v>52</v>
      </c>
      <c r="AS1918" t="s">
        <v>375</v>
      </c>
    </row>
    <row r="1919" spans="1:45" x14ac:dyDescent="0.35">
      <c r="A1919" t="s">
        <v>45</v>
      </c>
      <c r="B1919" t="s">
        <v>4305</v>
      </c>
      <c r="C1919" t="s">
        <v>47</v>
      </c>
      <c r="D1919" t="s">
        <v>3587</v>
      </c>
      <c r="E1919" t="s">
        <v>3587</v>
      </c>
      <c r="F1919" t="s">
        <v>49</v>
      </c>
      <c r="G1919" t="s">
        <v>2273</v>
      </c>
      <c r="H1919" t="s">
        <v>4319</v>
      </c>
      <c r="J1919" t="str">
        <f>HYPERLINK("https://www.facebook.com/357267201017935/inbox/7097546976989890/","https://www.facebook.com/357267201017935/inbox/7097546976989890/")</f>
        <v>https://www.facebook.com/357267201017935/inbox/7097546976989890/</v>
      </c>
      <c r="O1919">
        <v>0</v>
      </c>
      <c r="P1919">
        <v>0</v>
      </c>
      <c r="Q1919">
        <v>0</v>
      </c>
      <c r="S1919">
        <v>0</v>
      </c>
      <c r="T1919">
        <v>0</v>
      </c>
      <c r="U1919">
        <v>0</v>
      </c>
      <c r="W1919" t="s">
        <v>52</v>
      </c>
    </row>
    <row r="1920" spans="1:45" x14ac:dyDescent="0.35">
      <c r="A1920" t="s">
        <v>45</v>
      </c>
      <c r="B1920" t="s">
        <v>4305</v>
      </c>
      <c r="C1920" t="s">
        <v>47</v>
      </c>
      <c r="D1920" t="s">
        <v>4320</v>
      </c>
      <c r="E1920" t="s">
        <v>4320</v>
      </c>
      <c r="F1920" t="s">
        <v>49</v>
      </c>
      <c r="G1920" t="s">
        <v>4321</v>
      </c>
      <c r="H1920" t="s">
        <v>4322</v>
      </c>
      <c r="J1920" t="str">
        <f>HYPERLINK("https://www.facebook.com/357267201017935/inbox/7097525010325420/","https://www.facebook.com/357267201017935/inbox/7097525010325420/")</f>
        <v>https://www.facebook.com/357267201017935/inbox/7097525010325420/</v>
      </c>
      <c r="O1920">
        <v>0</v>
      </c>
      <c r="P1920">
        <v>0</v>
      </c>
      <c r="Q1920">
        <v>0</v>
      </c>
      <c r="S1920">
        <v>0</v>
      </c>
      <c r="T1920">
        <v>0</v>
      </c>
      <c r="U1920">
        <v>0</v>
      </c>
      <c r="W1920" t="s">
        <v>52</v>
      </c>
      <c r="AS1920" t="s">
        <v>375</v>
      </c>
    </row>
    <row r="1921" spans="1:45" x14ac:dyDescent="0.35">
      <c r="A1921" t="s">
        <v>45</v>
      </c>
      <c r="B1921" t="s">
        <v>4305</v>
      </c>
      <c r="C1921" t="s">
        <v>47</v>
      </c>
      <c r="D1921" t="s">
        <v>4320</v>
      </c>
      <c r="E1921" t="s">
        <v>4320</v>
      </c>
      <c r="F1921" t="s">
        <v>49</v>
      </c>
      <c r="G1921" t="s">
        <v>4323</v>
      </c>
      <c r="H1921" t="s">
        <v>4324</v>
      </c>
      <c r="J1921" t="str">
        <f>HYPERLINK("https://www.facebook.com/357267201017935/inbox/7097525010325420/","https://www.facebook.com/357267201017935/inbox/7097525010325420/")</f>
        <v>https://www.facebook.com/357267201017935/inbox/7097525010325420/</v>
      </c>
      <c r="O1921">
        <v>0</v>
      </c>
      <c r="P1921">
        <v>0</v>
      </c>
      <c r="Q1921">
        <v>0</v>
      </c>
      <c r="S1921">
        <v>0</v>
      </c>
      <c r="T1921">
        <v>0</v>
      </c>
      <c r="U1921">
        <v>0</v>
      </c>
      <c r="W1921" t="s">
        <v>52</v>
      </c>
    </row>
    <row r="1922" spans="1:45" x14ac:dyDescent="0.35">
      <c r="A1922" t="s">
        <v>45</v>
      </c>
      <c r="B1922" t="s">
        <v>4305</v>
      </c>
      <c r="C1922" t="s">
        <v>47</v>
      </c>
      <c r="D1922" t="s">
        <v>2774</v>
      </c>
      <c r="E1922" t="s">
        <v>2774</v>
      </c>
      <c r="F1922" t="s">
        <v>49</v>
      </c>
      <c r="G1922" t="s">
        <v>4325</v>
      </c>
      <c r="H1922" t="s">
        <v>4326</v>
      </c>
      <c r="J1922" t="str">
        <f>HYPERLINK("https://www.facebook.com/357267201017935/inbox/7097486290329292/","https://www.facebook.com/357267201017935/inbox/7097486290329292/")</f>
        <v>https://www.facebook.com/357267201017935/inbox/7097486290329292/</v>
      </c>
      <c r="O1922">
        <v>0</v>
      </c>
      <c r="P1922">
        <v>0</v>
      </c>
      <c r="Q1922">
        <v>0</v>
      </c>
      <c r="S1922">
        <v>0</v>
      </c>
      <c r="T1922">
        <v>0</v>
      </c>
      <c r="U1922">
        <v>0</v>
      </c>
      <c r="W1922" t="s">
        <v>52</v>
      </c>
      <c r="AS1922" t="s">
        <v>375</v>
      </c>
    </row>
    <row r="1923" spans="1:45" x14ac:dyDescent="0.35">
      <c r="A1923" t="s">
        <v>45</v>
      </c>
      <c r="B1923" t="s">
        <v>4305</v>
      </c>
      <c r="C1923" t="s">
        <v>102</v>
      </c>
      <c r="D1923" t="s">
        <v>4327</v>
      </c>
      <c r="E1923" t="s">
        <v>4327</v>
      </c>
      <c r="F1923" t="s">
        <v>49</v>
      </c>
      <c r="G1923" t="s">
        <v>4328</v>
      </c>
      <c r="H1923" t="s">
        <v>4329</v>
      </c>
      <c r="J1923" t="str">
        <f>HYPERLINK("https://www.linkedin.com/feed/update/urn:li:activity:7168554842586595328","https://www.linkedin.com/feed/update/urn:li:activity:7168554842586595328")</f>
        <v>https://www.linkedin.com/feed/update/urn:li:activity:7168554842586595328</v>
      </c>
      <c r="O1923">
        <v>0</v>
      </c>
      <c r="P1923">
        <v>0</v>
      </c>
      <c r="Q1923">
        <v>0</v>
      </c>
      <c r="S1923">
        <v>0</v>
      </c>
      <c r="T1923">
        <v>0</v>
      </c>
      <c r="U1923">
        <v>0</v>
      </c>
      <c r="W1923" t="s">
        <v>106</v>
      </c>
      <c r="AO1923" t="s">
        <v>119</v>
      </c>
    </row>
    <row r="1924" spans="1:45" x14ac:dyDescent="0.35">
      <c r="A1924" t="s">
        <v>45</v>
      </c>
      <c r="B1924" t="s">
        <v>4305</v>
      </c>
      <c r="C1924" t="s">
        <v>47</v>
      </c>
      <c r="D1924" t="s">
        <v>1779</v>
      </c>
      <c r="E1924" t="s">
        <v>1779</v>
      </c>
      <c r="F1924" t="s">
        <v>49</v>
      </c>
      <c r="G1924" t="s">
        <v>4330</v>
      </c>
      <c r="H1924" t="s">
        <v>4331</v>
      </c>
      <c r="J1924" t="str">
        <f>HYPERLINK("https://www.facebook.com/454965103328545/posts/773122238179495?comment_id=897183298771635","https://www.facebook.com/454965103328545/posts/773122238179495?comment_id=897183298771635")</f>
        <v>https://www.facebook.com/454965103328545/posts/773122238179495?comment_id=897183298771635</v>
      </c>
      <c r="O1924">
        <v>0</v>
      </c>
      <c r="P1924">
        <v>0</v>
      </c>
      <c r="Q1924">
        <v>0</v>
      </c>
      <c r="S1924">
        <v>0</v>
      </c>
      <c r="T1924">
        <v>0</v>
      </c>
      <c r="U1924">
        <v>0</v>
      </c>
      <c r="W1924" t="s">
        <v>106</v>
      </c>
    </row>
    <row r="1925" spans="1:45" x14ac:dyDescent="0.35">
      <c r="A1925" t="s">
        <v>45</v>
      </c>
      <c r="B1925" t="s">
        <v>4305</v>
      </c>
      <c r="C1925" t="s">
        <v>63</v>
      </c>
      <c r="D1925" t="s">
        <v>186</v>
      </c>
      <c r="E1925" t="s">
        <v>186</v>
      </c>
      <c r="F1925" t="s">
        <v>49</v>
      </c>
      <c r="G1925" t="s">
        <v>4332</v>
      </c>
      <c r="H1925" t="s">
        <v>4333</v>
      </c>
      <c r="J1925" t="str">
        <f>HYPERLINK("https://www.instagram.com/p/C347kvDs160/","https://www.instagram.com/p/C347kvDs160/")</f>
        <v>https://www.instagram.com/p/C347kvDs160/</v>
      </c>
      <c r="O1925">
        <v>0</v>
      </c>
      <c r="P1925">
        <v>0</v>
      </c>
      <c r="Q1925">
        <v>0</v>
      </c>
      <c r="S1925">
        <v>4</v>
      </c>
      <c r="T1925">
        <v>44</v>
      </c>
      <c r="U1925">
        <v>0</v>
      </c>
      <c r="W1925" t="s">
        <v>106</v>
      </c>
      <c r="AP1925" t="s">
        <v>147</v>
      </c>
    </row>
    <row r="1926" spans="1:45" x14ac:dyDescent="0.35">
      <c r="A1926" t="s">
        <v>45</v>
      </c>
      <c r="B1926" t="s">
        <v>4305</v>
      </c>
      <c r="C1926" t="s">
        <v>139</v>
      </c>
      <c r="D1926" t="s">
        <v>190</v>
      </c>
      <c r="E1926" t="s">
        <v>45</v>
      </c>
      <c r="F1926" t="s">
        <v>49</v>
      </c>
      <c r="G1926" t="s">
        <v>4334</v>
      </c>
      <c r="H1926" t="s">
        <v>4335</v>
      </c>
      <c r="J1926" t="str">
        <f>HYPERLINK("https://twitter.com/FinoPaymntsBank/status/1762802329055879259","https://twitter.com/FinoPaymntsBank/status/1762802329055879259")</f>
        <v>https://twitter.com/FinoPaymntsBank/status/1762802329055879259</v>
      </c>
      <c r="K1926" t="s">
        <v>145</v>
      </c>
      <c r="O1926">
        <v>0</v>
      </c>
      <c r="P1926">
        <v>0</v>
      </c>
      <c r="Q1926">
        <v>8397</v>
      </c>
      <c r="R1926" t="s">
        <v>193</v>
      </c>
      <c r="S1926">
        <v>0</v>
      </c>
      <c r="T1926">
        <v>0</v>
      </c>
      <c r="U1926">
        <v>0</v>
      </c>
      <c r="W1926" t="s">
        <v>146</v>
      </c>
      <c r="AP1926" t="s">
        <v>147</v>
      </c>
    </row>
    <row r="1927" spans="1:45" x14ac:dyDescent="0.35">
      <c r="A1927" t="s">
        <v>45</v>
      </c>
      <c r="B1927" t="s">
        <v>4305</v>
      </c>
      <c r="C1927" t="s">
        <v>47</v>
      </c>
      <c r="D1927" t="s">
        <v>45</v>
      </c>
      <c r="E1927" t="s">
        <v>45</v>
      </c>
      <c r="F1927" t="s">
        <v>49</v>
      </c>
      <c r="G1927" t="s">
        <v>4332</v>
      </c>
      <c r="H1927" t="s">
        <v>4336</v>
      </c>
      <c r="J1927" t="str">
        <f>HYPERLINK("https://www.facebook.com/357267201017935_773122238179495","https://www.facebook.com/357267201017935_773122238179495")</f>
        <v>https://www.facebook.com/357267201017935_773122238179495</v>
      </c>
      <c r="O1927">
        <v>0</v>
      </c>
      <c r="P1927">
        <v>0</v>
      </c>
      <c r="Q1927">
        <v>0</v>
      </c>
      <c r="S1927">
        <v>2</v>
      </c>
      <c r="T1927">
        <v>39</v>
      </c>
      <c r="U1927">
        <v>4</v>
      </c>
      <c r="W1927" t="s">
        <v>106</v>
      </c>
      <c r="AP1927" t="s">
        <v>147</v>
      </c>
    </row>
    <row r="1928" spans="1:45" x14ac:dyDescent="0.35">
      <c r="A1928" t="s">
        <v>45</v>
      </c>
      <c r="B1928" t="s">
        <v>4305</v>
      </c>
      <c r="C1928" t="s">
        <v>63</v>
      </c>
      <c r="D1928" t="s">
        <v>4337</v>
      </c>
      <c r="E1928" t="s">
        <v>4337</v>
      </c>
      <c r="F1928" t="s">
        <v>49</v>
      </c>
      <c r="G1928" t="s">
        <v>4338</v>
      </c>
      <c r="H1928" t="s">
        <v>4339</v>
      </c>
      <c r="J1928" t="str">
        <f>HYPERLINK("https://www.instagram.com/p/C3U1uytgenK/","https://www.instagram.com/p/C3U1uytgenK/")</f>
        <v>https://www.instagram.com/p/C3U1uytgenK/</v>
      </c>
      <c r="O1928">
        <v>0</v>
      </c>
      <c r="P1928">
        <v>0</v>
      </c>
      <c r="Q1928">
        <v>0</v>
      </c>
      <c r="S1928">
        <v>0</v>
      </c>
      <c r="T1928">
        <v>0</v>
      </c>
      <c r="U1928">
        <v>0</v>
      </c>
      <c r="W1928" t="s">
        <v>62</v>
      </c>
    </row>
    <row r="1929" spans="1:45" x14ac:dyDescent="0.35">
      <c r="A1929" t="s">
        <v>45</v>
      </c>
      <c r="B1929" t="s">
        <v>4305</v>
      </c>
      <c r="C1929" t="s">
        <v>47</v>
      </c>
      <c r="D1929" t="s">
        <v>4340</v>
      </c>
      <c r="E1929" t="s">
        <v>4340</v>
      </c>
      <c r="F1929" t="s">
        <v>49</v>
      </c>
      <c r="G1929" t="s">
        <v>4341</v>
      </c>
      <c r="H1929" t="s">
        <v>4342</v>
      </c>
      <c r="J1929" t="str">
        <f>HYPERLINK("https://www.facebook.com/357267201017935/inbox/7096437130434208/","https://www.facebook.com/357267201017935/inbox/7096437130434208/")</f>
        <v>https://www.facebook.com/357267201017935/inbox/7096437130434208/</v>
      </c>
      <c r="O1929">
        <v>0</v>
      </c>
      <c r="P1929">
        <v>0</v>
      </c>
      <c r="Q1929">
        <v>0</v>
      </c>
      <c r="S1929">
        <v>0</v>
      </c>
      <c r="T1929">
        <v>0</v>
      </c>
      <c r="U1929">
        <v>0</v>
      </c>
      <c r="W1929" t="s">
        <v>52</v>
      </c>
    </row>
    <row r="1930" spans="1:45" x14ac:dyDescent="0.35">
      <c r="A1930" t="s">
        <v>45</v>
      </c>
      <c r="B1930" t="s">
        <v>4305</v>
      </c>
      <c r="C1930" t="s">
        <v>47</v>
      </c>
      <c r="D1930" t="s">
        <v>3624</v>
      </c>
      <c r="E1930" t="s">
        <v>3624</v>
      </c>
      <c r="F1930" t="s">
        <v>49</v>
      </c>
      <c r="G1930" t="s">
        <v>4343</v>
      </c>
      <c r="H1930" t="s">
        <v>4344</v>
      </c>
      <c r="J1930" t="str">
        <f>HYPERLINK("https://www.facebook.com/634639855377280/posts/799389635568967?comment_id=938246474971697","https://www.facebook.com/634639855377280/posts/799389635568967?comment_id=938246474971697")</f>
        <v>https://www.facebook.com/634639855377280/posts/799389635568967?comment_id=938246474971697</v>
      </c>
      <c r="O1930">
        <v>0</v>
      </c>
      <c r="P1930">
        <v>0</v>
      </c>
      <c r="Q1930">
        <v>0</v>
      </c>
      <c r="S1930">
        <v>0</v>
      </c>
      <c r="T1930">
        <v>0</v>
      </c>
      <c r="U1930">
        <v>0</v>
      </c>
      <c r="W1930" t="s">
        <v>62</v>
      </c>
    </row>
    <row r="1931" spans="1:45" x14ac:dyDescent="0.35">
      <c r="A1931" t="s">
        <v>45</v>
      </c>
      <c r="B1931" t="s">
        <v>4305</v>
      </c>
      <c r="C1931" t="s">
        <v>47</v>
      </c>
      <c r="D1931" t="s">
        <v>4345</v>
      </c>
      <c r="E1931" t="s">
        <v>4345</v>
      </c>
      <c r="F1931" t="s">
        <v>49</v>
      </c>
      <c r="G1931" t="s">
        <v>4346</v>
      </c>
      <c r="H1931" t="s">
        <v>4347</v>
      </c>
      <c r="J1931" t="str">
        <f>HYPERLINK("https://www.facebook.com/357267201017935/inbox/7096339140444007/","https://www.facebook.com/357267201017935/inbox/7096339140444007/")</f>
        <v>https://www.facebook.com/357267201017935/inbox/7096339140444007/</v>
      </c>
      <c r="O1931">
        <v>0</v>
      </c>
      <c r="P1931">
        <v>0</v>
      </c>
      <c r="Q1931">
        <v>0</v>
      </c>
      <c r="S1931">
        <v>0</v>
      </c>
      <c r="T1931">
        <v>0</v>
      </c>
      <c r="U1931">
        <v>0</v>
      </c>
      <c r="W1931" t="s">
        <v>52</v>
      </c>
      <c r="AS1931" t="s">
        <v>375</v>
      </c>
    </row>
    <row r="1932" spans="1:45" x14ac:dyDescent="0.35">
      <c r="A1932" t="s">
        <v>45</v>
      </c>
      <c r="B1932" t="s">
        <v>4305</v>
      </c>
      <c r="C1932" t="s">
        <v>47</v>
      </c>
      <c r="D1932" t="s">
        <v>4348</v>
      </c>
      <c r="E1932" t="s">
        <v>4348</v>
      </c>
      <c r="F1932" t="s">
        <v>49</v>
      </c>
      <c r="G1932" t="s">
        <v>253</v>
      </c>
      <c r="H1932" t="s">
        <v>4349</v>
      </c>
      <c r="J1932" t="str">
        <f>HYPERLINK("https://www.facebook.com/357267201017935/inbox/7096287073782547/","https://www.facebook.com/357267201017935/inbox/7096287073782547/")</f>
        <v>https://www.facebook.com/357267201017935/inbox/7096287073782547/</v>
      </c>
      <c r="O1932">
        <v>0</v>
      </c>
      <c r="P1932">
        <v>0</v>
      </c>
      <c r="Q1932">
        <v>0</v>
      </c>
      <c r="S1932">
        <v>0</v>
      </c>
      <c r="T1932">
        <v>0</v>
      </c>
      <c r="U1932">
        <v>0</v>
      </c>
      <c r="W1932" t="s">
        <v>52</v>
      </c>
    </row>
    <row r="1933" spans="1:45" x14ac:dyDescent="0.35">
      <c r="A1933" t="s">
        <v>45</v>
      </c>
      <c r="B1933" t="s">
        <v>4305</v>
      </c>
      <c r="C1933" t="s">
        <v>139</v>
      </c>
      <c r="D1933" t="s">
        <v>4350</v>
      </c>
      <c r="E1933" t="s">
        <v>4351</v>
      </c>
      <c r="F1933" t="s">
        <v>49</v>
      </c>
      <c r="G1933" t="s">
        <v>4352</v>
      </c>
      <c r="H1933" t="s">
        <v>4353</v>
      </c>
      <c r="J1933" t="str">
        <f>HYPERLINK("https://twitter.com/PiyushS33918577/status/1762764507015692377","https://twitter.com/PiyushS33918577/status/1762764507015692377")</f>
        <v>https://twitter.com/PiyushS33918577/status/1762764507015692377</v>
      </c>
      <c r="K1933" t="s">
        <v>145</v>
      </c>
      <c r="O1933">
        <v>0</v>
      </c>
      <c r="P1933">
        <v>0</v>
      </c>
      <c r="Q1933">
        <v>90</v>
      </c>
      <c r="S1933">
        <v>0</v>
      </c>
      <c r="T1933">
        <v>0</v>
      </c>
      <c r="U1933">
        <v>0</v>
      </c>
      <c r="W1933" t="s">
        <v>552</v>
      </c>
      <c r="AO1933" t="s">
        <v>119</v>
      </c>
    </row>
    <row r="1934" spans="1:45" x14ac:dyDescent="0.35">
      <c r="A1934" t="s">
        <v>45</v>
      </c>
      <c r="B1934" t="s">
        <v>4305</v>
      </c>
      <c r="C1934" t="s">
        <v>47</v>
      </c>
      <c r="D1934" t="s">
        <v>4354</v>
      </c>
      <c r="E1934" t="s">
        <v>4354</v>
      </c>
      <c r="F1934" t="s">
        <v>49</v>
      </c>
      <c r="G1934" t="s">
        <v>459</v>
      </c>
      <c r="H1934" t="s">
        <v>4355</v>
      </c>
      <c r="J1934" t="str">
        <f>HYPERLINK("https://www.facebook.com/454965103328545/posts/490024586489263?comment_id=366512619509928","https://www.facebook.com/454965103328545/posts/490024586489263?comment_id=366512619509928")</f>
        <v>https://www.facebook.com/454965103328545/posts/490024586489263?comment_id=366512619509928</v>
      </c>
      <c r="O1934">
        <v>0</v>
      </c>
      <c r="P1934">
        <v>0</v>
      </c>
      <c r="Q1934">
        <v>0</v>
      </c>
      <c r="S1934">
        <v>0</v>
      </c>
      <c r="T1934">
        <v>0</v>
      </c>
      <c r="U1934">
        <v>0</v>
      </c>
      <c r="W1934" t="s">
        <v>62</v>
      </c>
      <c r="AS1934" t="s">
        <v>375</v>
      </c>
    </row>
    <row r="1935" spans="1:45" x14ac:dyDescent="0.35">
      <c r="A1935" t="s">
        <v>45</v>
      </c>
      <c r="B1935" t="s">
        <v>4305</v>
      </c>
      <c r="C1935" t="s">
        <v>63</v>
      </c>
      <c r="D1935" t="s">
        <v>4356</v>
      </c>
      <c r="E1935" t="s">
        <v>4356</v>
      </c>
      <c r="F1935" t="s">
        <v>49</v>
      </c>
      <c r="G1935" t="s">
        <v>131</v>
      </c>
      <c r="H1935" t="s">
        <v>4357</v>
      </c>
      <c r="J1935" t="str">
        <f>HYPERLINK("https://www.instagram.com/p/C32Wxgyh-8B/","https://www.instagram.com/p/C32Wxgyh-8B/")</f>
        <v>https://www.instagram.com/p/C32Wxgyh-8B/</v>
      </c>
      <c r="O1935">
        <v>0</v>
      </c>
      <c r="P1935">
        <v>0</v>
      </c>
      <c r="Q1935">
        <v>0</v>
      </c>
      <c r="S1935">
        <v>0</v>
      </c>
      <c r="T1935">
        <v>0</v>
      </c>
      <c r="U1935">
        <v>0</v>
      </c>
      <c r="W1935" t="s">
        <v>62</v>
      </c>
      <c r="AS1935" t="s">
        <v>375</v>
      </c>
    </row>
    <row r="1936" spans="1:45" x14ac:dyDescent="0.35">
      <c r="A1936" t="s">
        <v>45</v>
      </c>
      <c r="B1936" t="s">
        <v>4305</v>
      </c>
      <c r="C1936" t="s">
        <v>139</v>
      </c>
      <c r="D1936" t="s">
        <v>942</v>
      </c>
      <c r="E1936" t="s">
        <v>943</v>
      </c>
      <c r="F1936" t="s">
        <v>49</v>
      </c>
      <c r="G1936" t="s">
        <v>4358</v>
      </c>
      <c r="H1936" t="s">
        <v>4359</v>
      </c>
      <c r="J1936" t="str">
        <f>HYPERLINK("https://twitter.com/rajendras1819/status/1762732297164562784","https://twitter.com/rajendras1819/status/1762732297164562784")</f>
        <v>https://twitter.com/rajendras1819/status/1762732297164562784</v>
      </c>
      <c r="O1936">
        <v>0</v>
      </c>
      <c r="P1936">
        <v>0</v>
      </c>
      <c r="Q1936">
        <v>257</v>
      </c>
      <c r="R1936" t="s">
        <v>946</v>
      </c>
      <c r="S1936">
        <v>0</v>
      </c>
      <c r="T1936">
        <v>0</v>
      </c>
      <c r="U1936">
        <v>0</v>
      </c>
      <c r="W1936" t="s">
        <v>146</v>
      </c>
    </row>
    <row r="1937" spans="1:45" x14ac:dyDescent="0.35">
      <c r="A1937" t="s">
        <v>45</v>
      </c>
      <c r="B1937" t="s">
        <v>4305</v>
      </c>
      <c r="C1937" t="s">
        <v>139</v>
      </c>
      <c r="D1937" t="s">
        <v>942</v>
      </c>
      <c r="E1937" t="s">
        <v>943</v>
      </c>
      <c r="F1937" t="s">
        <v>49</v>
      </c>
      <c r="G1937" t="s">
        <v>4352</v>
      </c>
      <c r="H1937" t="s">
        <v>4360</v>
      </c>
      <c r="J1937" t="str">
        <f>HYPERLINK("https://twitter.com/rajendras1819/status/1762732181213090089","https://twitter.com/rajendras1819/status/1762732181213090089")</f>
        <v>https://twitter.com/rajendras1819/status/1762732181213090089</v>
      </c>
      <c r="O1937">
        <v>0</v>
      </c>
      <c r="P1937">
        <v>0</v>
      </c>
      <c r="Q1937">
        <v>257</v>
      </c>
      <c r="R1937" t="s">
        <v>946</v>
      </c>
      <c r="S1937">
        <v>0</v>
      </c>
      <c r="T1937">
        <v>0</v>
      </c>
      <c r="U1937">
        <v>0</v>
      </c>
      <c r="W1937" t="s">
        <v>552</v>
      </c>
      <c r="AO1937" t="s">
        <v>119</v>
      </c>
    </row>
    <row r="1938" spans="1:45" x14ac:dyDescent="0.35">
      <c r="A1938" t="s">
        <v>45</v>
      </c>
      <c r="B1938" t="s">
        <v>4305</v>
      </c>
      <c r="C1938" t="s">
        <v>63</v>
      </c>
      <c r="D1938" t="s">
        <v>4361</v>
      </c>
      <c r="E1938" t="s">
        <v>4361</v>
      </c>
      <c r="F1938" t="s">
        <v>49</v>
      </c>
      <c r="G1938" t="s">
        <v>4362</v>
      </c>
      <c r="H1938" t="s">
        <v>4363</v>
      </c>
      <c r="J1938" t="str">
        <f>HYPERLINK("https://www.instagram.com/p/C3VES0FgrdQ/","https://www.instagram.com/p/C3VES0FgrdQ/")</f>
        <v>https://www.instagram.com/p/C3VES0FgrdQ/</v>
      </c>
      <c r="O1938">
        <v>0</v>
      </c>
      <c r="P1938">
        <v>0</v>
      </c>
      <c r="Q1938">
        <v>0</v>
      </c>
      <c r="S1938">
        <v>0</v>
      </c>
      <c r="T1938">
        <v>0</v>
      </c>
      <c r="U1938">
        <v>0</v>
      </c>
      <c r="W1938" t="s">
        <v>62</v>
      </c>
    </row>
    <row r="1939" spans="1:45" x14ac:dyDescent="0.35">
      <c r="A1939" t="s">
        <v>45</v>
      </c>
      <c r="B1939" t="s">
        <v>4305</v>
      </c>
      <c r="C1939" t="s">
        <v>63</v>
      </c>
      <c r="D1939" t="s">
        <v>4364</v>
      </c>
      <c r="E1939" t="s">
        <v>4364</v>
      </c>
      <c r="F1939" t="s">
        <v>142</v>
      </c>
      <c r="G1939" t="s">
        <v>4365</v>
      </c>
      <c r="H1939" t="s">
        <v>4366</v>
      </c>
      <c r="J1939" t="str">
        <f>HYPERLINK("https://www.instagram.com/p/C34W8hRtgLS/","https://www.instagram.com/p/C34W8hRtgLS/")</f>
        <v>https://www.instagram.com/p/C34W8hRtgLS/</v>
      </c>
      <c r="O1939">
        <v>0</v>
      </c>
      <c r="P1939">
        <v>0</v>
      </c>
      <c r="Q1939">
        <v>0</v>
      </c>
      <c r="S1939">
        <v>0</v>
      </c>
      <c r="T1939">
        <v>1</v>
      </c>
      <c r="U1939">
        <v>0</v>
      </c>
      <c r="W1939" t="s">
        <v>106</v>
      </c>
    </row>
    <row r="1940" spans="1:45" x14ac:dyDescent="0.35">
      <c r="A1940" t="s">
        <v>45</v>
      </c>
      <c r="B1940" t="s">
        <v>4305</v>
      </c>
      <c r="C1940" t="s">
        <v>139</v>
      </c>
      <c r="D1940" t="s">
        <v>4367</v>
      </c>
      <c r="E1940" t="s">
        <v>4368</v>
      </c>
      <c r="F1940" t="s">
        <v>49</v>
      </c>
      <c r="G1940" t="s">
        <v>2922</v>
      </c>
      <c r="H1940" t="s">
        <v>4369</v>
      </c>
      <c r="J1940" t="str">
        <f>HYPERLINK("https://twitter.com/ids2024/status/1762720116200886392","https://twitter.com/ids2024/status/1762720116200886392")</f>
        <v>https://twitter.com/ids2024/status/1762720116200886392</v>
      </c>
      <c r="O1940">
        <v>0</v>
      </c>
      <c r="P1940">
        <v>0</v>
      </c>
      <c r="Q1940">
        <v>6</v>
      </c>
      <c r="S1940">
        <v>0</v>
      </c>
      <c r="T1940">
        <v>0</v>
      </c>
      <c r="U1940">
        <v>0</v>
      </c>
      <c r="W1940" t="s">
        <v>146</v>
      </c>
    </row>
    <row r="1941" spans="1:45" x14ac:dyDescent="0.35">
      <c r="A1941" t="s">
        <v>45</v>
      </c>
      <c r="B1941" t="s">
        <v>4305</v>
      </c>
      <c r="C1941" t="s">
        <v>47</v>
      </c>
      <c r="D1941" t="s">
        <v>4368</v>
      </c>
      <c r="E1941" t="s">
        <v>4368</v>
      </c>
      <c r="F1941" t="s">
        <v>142</v>
      </c>
      <c r="G1941" t="s">
        <v>4370</v>
      </c>
      <c r="H1941" t="s">
        <v>4371</v>
      </c>
      <c r="J1941" t="str">
        <f>HYPERLINK("https://www.facebook.com/122125003652158134/posts/122126037632158134","https://www.facebook.com/122125003652158134/posts/122126037632158134")</f>
        <v>https://www.facebook.com/122125003652158134/posts/122126037632158134</v>
      </c>
      <c r="O1941">
        <v>0</v>
      </c>
      <c r="P1941">
        <v>0</v>
      </c>
      <c r="Q1941">
        <v>0</v>
      </c>
      <c r="S1941">
        <v>0</v>
      </c>
      <c r="T1941">
        <v>1</v>
      </c>
      <c r="U1941">
        <v>0</v>
      </c>
      <c r="W1941" t="s">
        <v>106</v>
      </c>
    </row>
    <row r="1942" spans="1:45" x14ac:dyDescent="0.35">
      <c r="A1942" t="s">
        <v>45</v>
      </c>
      <c r="B1942" t="s">
        <v>4305</v>
      </c>
      <c r="C1942" t="s">
        <v>102</v>
      </c>
      <c r="D1942" t="s">
        <v>4372</v>
      </c>
      <c r="E1942" t="s">
        <v>4372</v>
      </c>
      <c r="F1942" t="s">
        <v>76</v>
      </c>
      <c r="G1942" t="s">
        <v>4373</v>
      </c>
      <c r="H1942" t="s">
        <v>4374</v>
      </c>
      <c r="J1942" t="str">
        <f>HYPERLINK("https://www.linkedin.com/feed/update/urn:li:ugcPost:7168480791432314880","https://www.linkedin.com/feed/update/urn:li:ugcPost:7168480791432314880")</f>
        <v>https://www.linkedin.com/feed/update/urn:li:ugcPost:7168480791432314880</v>
      </c>
      <c r="O1942">
        <v>0</v>
      </c>
      <c r="P1942">
        <v>0</v>
      </c>
      <c r="Q1942">
        <v>0</v>
      </c>
      <c r="S1942">
        <v>0</v>
      </c>
      <c r="T1942">
        <v>0</v>
      </c>
      <c r="U1942">
        <v>0</v>
      </c>
      <c r="W1942" t="s">
        <v>106</v>
      </c>
    </row>
    <row r="1943" spans="1:45" x14ac:dyDescent="0.35">
      <c r="A1943" t="s">
        <v>45</v>
      </c>
      <c r="B1943" t="s">
        <v>4305</v>
      </c>
      <c r="C1943" t="s">
        <v>47</v>
      </c>
      <c r="D1943" t="s">
        <v>3939</v>
      </c>
      <c r="E1943" t="s">
        <v>3939</v>
      </c>
      <c r="F1943" t="s">
        <v>49</v>
      </c>
      <c r="G1943" t="s">
        <v>373</v>
      </c>
      <c r="H1943" t="s">
        <v>4375</v>
      </c>
      <c r="J1943" t="str">
        <f>HYPERLINK("https://www.facebook.com/357267201017935/inbox/7095663633844891/","https://www.facebook.com/357267201017935/inbox/7095663633844891/")</f>
        <v>https://www.facebook.com/357267201017935/inbox/7095663633844891/</v>
      </c>
      <c r="O1943">
        <v>0</v>
      </c>
      <c r="P1943">
        <v>0</v>
      </c>
      <c r="Q1943">
        <v>0</v>
      </c>
      <c r="S1943">
        <v>0</v>
      </c>
      <c r="T1943">
        <v>0</v>
      </c>
      <c r="U1943">
        <v>0</v>
      </c>
      <c r="W1943" t="s">
        <v>52</v>
      </c>
      <c r="AS1943" t="s">
        <v>375</v>
      </c>
    </row>
    <row r="1944" spans="1:45" x14ac:dyDescent="0.35">
      <c r="A1944" t="s">
        <v>45</v>
      </c>
      <c r="B1944" t="s">
        <v>4305</v>
      </c>
      <c r="C1944" t="s">
        <v>47</v>
      </c>
      <c r="D1944" t="s">
        <v>3939</v>
      </c>
      <c r="E1944" t="s">
        <v>3939</v>
      </c>
      <c r="F1944" t="s">
        <v>49</v>
      </c>
      <c r="G1944" t="s">
        <v>253</v>
      </c>
      <c r="H1944" t="s">
        <v>4376</v>
      </c>
      <c r="J1944" t="str">
        <f>HYPERLINK("https://www.facebook.com/357267201017935/inbox/7095663633844891/","https://www.facebook.com/357267201017935/inbox/7095663633844891/")</f>
        <v>https://www.facebook.com/357267201017935/inbox/7095663633844891/</v>
      </c>
      <c r="O1944">
        <v>0</v>
      </c>
      <c r="P1944">
        <v>0</v>
      </c>
      <c r="Q1944">
        <v>0</v>
      </c>
      <c r="S1944">
        <v>0</v>
      </c>
      <c r="T1944">
        <v>0</v>
      </c>
      <c r="U1944">
        <v>0</v>
      </c>
      <c r="W1944" t="s">
        <v>52</v>
      </c>
    </row>
    <row r="1945" spans="1:45" x14ac:dyDescent="0.35">
      <c r="A1945" t="s">
        <v>45</v>
      </c>
      <c r="B1945" t="s">
        <v>4305</v>
      </c>
      <c r="C1945" t="s">
        <v>47</v>
      </c>
      <c r="D1945" t="s">
        <v>4377</v>
      </c>
      <c r="E1945" t="s">
        <v>4377</v>
      </c>
      <c r="F1945" t="s">
        <v>76</v>
      </c>
      <c r="G1945" t="s">
        <v>4378</v>
      </c>
      <c r="H1945" t="s">
        <v>4379</v>
      </c>
      <c r="J1945" t="str">
        <f>HYPERLINK("https://www.facebook.com/454965103328545/posts/773156588176060?comment_id=905389964401023","https://www.facebook.com/454965103328545/posts/773156588176060?comment_id=905389964401023")</f>
        <v>https://www.facebook.com/454965103328545/posts/773156588176060?comment_id=905389964401023</v>
      </c>
      <c r="O1945">
        <v>0</v>
      </c>
      <c r="P1945">
        <v>0</v>
      </c>
      <c r="Q1945">
        <v>0</v>
      </c>
      <c r="S1945">
        <v>0</v>
      </c>
      <c r="T1945">
        <v>0</v>
      </c>
      <c r="U1945">
        <v>0</v>
      </c>
      <c r="W1945" t="s">
        <v>62</v>
      </c>
    </row>
    <row r="1946" spans="1:45" x14ac:dyDescent="0.35">
      <c r="A1946" t="s">
        <v>45</v>
      </c>
      <c r="B1946" t="s">
        <v>4305</v>
      </c>
      <c r="C1946" t="s">
        <v>47</v>
      </c>
      <c r="D1946" t="s">
        <v>4377</v>
      </c>
      <c r="E1946" t="s">
        <v>4377</v>
      </c>
      <c r="F1946" t="s">
        <v>76</v>
      </c>
      <c r="G1946" t="s">
        <v>4378</v>
      </c>
      <c r="H1946" t="s">
        <v>4380</v>
      </c>
      <c r="J1946" t="str">
        <f>HYPERLINK("https://www.facebook.com/454965103328545/posts/775405614617824?comment_id=3285790075056566","https://www.facebook.com/454965103328545/posts/775405614617824?comment_id=3285790075056566")</f>
        <v>https://www.facebook.com/454965103328545/posts/775405614617824?comment_id=3285790075056566</v>
      </c>
      <c r="O1946">
        <v>0</v>
      </c>
      <c r="P1946">
        <v>0</v>
      </c>
      <c r="Q1946">
        <v>0</v>
      </c>
      <c r="S1946">
        <v>0</v>
      </c>
      <c r="T1946">
        <v>0</v>
      </c>
      <c r="U1946">
        <v>0</v>
      </c>
      <c r="W1946" t="s">
        <v>62</v>
      </c>
    </row>
    <row r="1947" spans="1:45" x14ac:dyDescent="0.35">
      <c r="A1947" t="s">
        <v>45</v>
      </c>
      <c r="B1947" t="s">
        <v>4305</v>
      </c>
      <c r="C1947" t="s">
        <v>58</v>
      </c>
      <c r="D1947" t="s">
        <v>545</v>
      </c>
      <c r="E1947" t="s">
        <v>545</v>
      </c>
      <c r="F1947" t="s">
        <v>49</v>
      </c>
      <c r="G1947" t="s">
        <v>4381</v>
      </c>
      <c r="H1947" t="s">
        <v>4382</v>
      </c>
      <c r="J1947" t="str">
        <f>HYPERLINK("https://www.youtube.com/watch?v=vWsITW5W0nE","https://www.youtube.com/watch?v=vWsITW5W0nE")</f>
        <v>https://www.youtube.com/watch?v=vWsITW5W0nE</v>
      </c>
      <c r="O1947">
        <v>0</v>
      </c>
      <c r="P1947">
        <v>0</v>
      </c>
      <c r="Q1947">
        <v>0</v>
      </c>
      <c r="S1947">
        <v>0</v>
      </c>
      <c r="T1947">
        <v>0</v>
      </c>
      <c r="U1947">
        <v>0</v>
      </c>
      <c r="W1947" t="s">
        <v>106</v>
      </c>
    </row>
    <row r="1948" spans="1:45" x14ac:dyDescent="0.35">
      <c r="A1948" t="s">
        <v>45</v>
      </c>
      <c r="B1948" t="s">
        <v>4305</v>
      </c>
      <c r="C1948" t="s">
        <v>63</v>
      </c>
      <c r="D1948" t="s">
        <v>4383</v>
      </c>
      <c r="E1948" t="s">
        <v>4383</v>
      </c>
      <c r="F1948" t="s">
        <v>49</v>
      </c>
      <c r="G1948" t="s">
        <v>3199</v>
      </c>
      <c r="H1948" t="s">
        <v>4384</v>
      </c>
      <c r="J1948" t="str">
        <f>HYPERLINK("https://www.instagram.com/p/C339x1Tv0JN/","https://www.instagram.com/p/C339x1Tv0JN/")</f>
        <v>https://www.instagram.com/p/C339x1Tv0JN/</v>
      </c>
      <c r="O1948">
        <v>0</v>
      </c>
      <c r="P1948">
        <v>0</v>
      </c>
      <c r="Q1948">
        <v>0</v>
      </c>
      <c r="S1948">
        <v>0</v>
      </c>
      <c r="T1948">
        <v>0</v>
      </c>
      <c r="U1948">
        <v>0</v>
      </c>
      <c r="W1948" t="s">
        <v>62</v>
      </c>
    </row>
    <row r="1949" spans="1:45" x14ac:dyDescent="0.35">
      <c r="A1949" t="s">
        <v>45</v>
      </c>
      <c r="B1949" t="s">
        <v>4305</v>
      </c>
      <c r="C1949" t="s">
        <v>63</v>
      </c>
      <c r="D1949" t="s">
        <v>186</v>
      </c>
      <c r="E1949" t="s">
        <v>186</v>
      </c>
      <c r="F1949" t="s">
        <v>49</v>
      </c>
      <c r="G1949" t="s">
        <v>4385</v>
      </c>
      <c r="H1949" t="s">
        <v>4386</v>
      </c>
      <c r="J1949" t="str">
        <f>HYPERLINK("https://www.instagram.com/p/C339x1Tv0JN/","https://www.instagram.com/p/C339x1Tv0JN/")</f>
        <v>https://www.instagram.com/p/C339x1Tv0JN/</v>
      </c>
      <c r="O1949">
        <v>0</v>
      </c>
      <c r="P1949">
        <v>0</v>
      </c>
      <c r="Q1949">
        <v>0</v>
      </c>
      <c r="S1949">
        <v>1</v>
      </c>
      <c r="T1949">
        <v>56</v>
      </c>
      <c r="U1949">
        <v>0</v>
      </c>
      <c r="W1949" t="s">
        <v>106</v>
      </c>
      <c r="AO1949" t="s">
        <v>119</v>
      </c>
    </row>
    <row r="1950" spans="1:45" x14ac:dyDescent="0.35">
      <c r="A1950" t="s">
        <v>45</v>
      </c>
      <c r="B1950" t="s">
        <v>4305</v>
      </c>
      <c r="C1950" t="s">
        <v>47</v>
      </c>
      <c r="D1950" t="s">
        <v>45</v>
      </c>
      <c r="E1950" t="s">
        <v>45</v>
      </c>
      <c r="F1950" t="s">
        <v>49</v>
      </c>
      <c r="G1950" t="s">
        <v>4385</v>
      </c>
      <c r="H1950" t="s">
        <v>4387</v>
      </c>
      <c r="J1950" t="str">
        <f>HYPERLINK("https://www.facebook.com/357267201017935_773159031509149","https://www.facebook.com/357267201017935_773159031509149")</f>
        <v>https://www.facebook.com/357267201017935_773159031509149</v>
      </c>
      <c r="O1950">
        <v>0</v>
      </c>
      <c r="P1950">
        <v>0</v>
      </c>
      <c r="Q1950">
        <v>0</v>
      </c>
      <c r="S1950">
        <v>0</v>
      </c>
      <c r="T1950">
        <v>38</v>
      </c>
      <c r="U1950">
        <v>4</v>
      </c>
      <c r="W1950" t="s">
        <v>106</v>
      </c>
      <c r="AO1950" t="s">
        <v>119</v>
      </c>
    </row>
    <row r="1951" spans="1:45" x14ac:dyDescent="0.35">
      <c r="A1951" t="s">
        <v>45</v>
      </c>
      <c r="B1951" t="s">
        <v>4305</v>
      </c>
      <c r="C1951" t="s">
        <v>139</v>
      </c>
      <c r="D1951" t="s">
        <v>190</v>
      </c>
      <c r="E1951" t="s">
        <v>45</v>
      </c>
      <c r="F1951" t="s">
        <v>49</v>
      </c>
      <c r="G1951" t="s">
        <v>4352</v>
      </c>
      <c r="H1951" t="s">
        <v>4388</v>
      </c>
      <c r="J1951" t="str">
        <f>HYPERLINK("https://twitter.com/FinoPaymntsBank/status/1762666429923610667","https://twitter.com/FinoPaymntsBank/status/1762666429923610667")</f>
        <v>https://twitter.com/FinoPaymntsBank/status/1762666429923610667</v>
      </c>
      <c r="K1951" t="s">
        <v>145</v>
      </c>
      <c r="O1951">
        <v>0</v>
      </c>
      <c r="P1951">
        <v>0</v>
      </c>
      <c r="Q1951">
        <v>8398</v>
      </c>
      <c r="R1951" t="s">
        <v>193</v>
      </c>
      <c r="S1951">
        <v>0</v>
      </c>
      <c r="T1951">
        <v>0</v>
      </c>
      <c r="U1951">
        <v>0</v>
      </c>
      <c r="W1951" t="s">
        <v>146</v>
      </c>
      <c r="AO1951" t="s">
        <v>119</v>
      </c>
    </row>
    <row r="1952" spans="1:45" x14ac:dyDescent="0.35">
      <c r="A1952" t="s">
        <v>45</v>
      </c>
      <c r="B1952" t="s">
        <v>4305</v>
      </c>
      <c r="C1952" t="s">
        <v>58</v>
      </c>
      <c r="D1952" t="s">
        <v>4389</v>
      </c>
      <c r="E1952" t="s">
        <v>4389</v>
      </c>
      <c r="F1952" t="s">
        <v>49</v>
      </c>
      <c r="G1952" t="s">
        <v>4390</v>
      </c>
      <c r="H1952" t="s">
        <v>4391</v>
      </c>
      <c r="J1952" t="str">
        <f>HYPERLINK("https://www.youtube.com/watch?v=Ll4WsydXFVE","https://www.youtube.com/watch?v=Ll4WsydXFVE")</f>
        <v>https://www.youtube.com/watch?v=Ll4WsydXFVE</v>
      </c>
      <c r="O1952">
        <v>0</v>
      </c>
      <c r="P1952">
        <v>0</v>
      </c>
      <c r="Q1952">
        <v>0</v>
      </c>
      <c r="S1952">
        <v>0</v>
      </c>
      <c r="T1952">
        <v>0</v>
      </c>
      <c r="U1952">
        <v>0</v>
      </c>
      <c r="W1952" t="s">
        <v>106</v>
      </c>
    </row>
    <row r="1953" spans="1:42" x14ac:dyDescent="0.35">
      <c r="A1953" t="s">
        <v>45</v>
      </c>
      <c r="B1953" t="s">
        <v>4392</v>
      </c>
      <c r="C1953" t="s">
        <v>58</v>
      </c>
      <c r="D1953" t="s">
        <v>4393</v>
      </c>
      <c r="E1953" t="s">
        <v>4393</v>
      </c>
      <c r="F1953" t="s">
        <v>49</v>
      </c>
      <c r="G1953" t="s">
        <v>4148</v>
      </c>
      <c r="H1953" t="s">
        <v>4394</v>
      </c>
      <c r="J1953" t="str">
        <f>HYPERLINK("https://www.youtube.com/watch?v=gYpTdSCQ5zI","https://www.youtube.com/watch?v=gYpTdSCQ5zI")</f>
        <v>https://www.youtube.com/watch?v=gYpTdSCQ5zI</v>
      </c>
      <c r="O1953">
        <v>0</v>
      </c>
      <c r="P1953">
        <v>0</v>
      </c>
      <c r="Q1953">
        <v>0</v>
      </c>
      <c r="S1953">
        <v>0</v>
      </c>
      <c r="T1953">
        <v>0</v>
      </c>
      <c r="U1953">
        <v>0</v>
      </c>
      <c r="W1953" t="s">
        <v>106</v>
      </c>
    </row>
    <row r="1954" spans="1:42" x14ac:dyDescent="0.35">
      <c r="A1954" t="s">
        <v>45</v>
      </c>
      <c r="B1954" t="s">
        <v>4392</v>
      </c>
      <c r="C1954" t="s">
        <v>58</v>
      </c>
      <c r="D1954" t="s">
        <v>4393</v>
      </c>
      <c r="E1954" t="s">
        <v>4393</v>
      </c>
      <c r="F1954" t="s">
        <v>49</v>
      </c>
      <c r="G1954" t="s">
        <v>4148</v>
      </c>
      <c r="H1954" t="s">
        <v>4395</v>
      </c>
      <c r="J1954" t="str">
        <f>HYPERLINK("https://www.youtube.com/watch?v=XlU9hDUPBP0","https://www.youtube.com/watch?v=XlU9hDUPBP0")</f>
        <v>https://www.youtube.com/watch?v=XlU9hDUPBP0</v>
      </c>
      <c r="O1954">
        <v>0</v>
      </c>
      <c r="P1954">
        <v>0</v>
      </c>
      <c r="Q1954">
        <v>0</v>
      </c>
      <c r="S1954">
        <v>0</v>
      </c>
      <c r="T1954">
        <v>0</v>
      </c>
      <c r="U1954">
        <v>0</v>
      </c>
      <c r="W1954" t="s">
        <v>106</v>
      </c>
    </row>
    <row r="1955" spans="1:42" x14ac:dyDescent="0.35">
      <c r="A1955" t="s">
        <v>45</v>
      </c>
      <c r="B1955" t="s">
        <v>4392</v>
      </c>
      <c r="C1955" t="s">
        <v>47</v>
      </c>
      <c r="D1955" t="s">
        <v>4396</v>
      </c>
      <c r="E1955" t="s">
        <v>4396</v>
      </c>
      <c r="F1955" t="s">
        <v>49</v>
      </c>
      <c r="G1955" t="s">
        <v>4397</v>
      </c>
      <c r="H1955" t="s">
        <v>4398</v>
      </c>
      <c r="J1955" t="str">
        <f>HYPERLINK("https://www.facebook.com/454965103328545/posts/771262205032165?comment_id=366927459479051","https://www.facebook.com/454965103328545/posts/771262205032165?comment_id=366927459479051")</f>
        <v>https://www.facebook.com/454965103328545/posts/771262205032165?comment_id=366927459479051</v>
      </c>
      <c r="O1955">
        <v>0</v>
      </c>
      <c r="P1955">
        <v>0</v>
      </c>
      <c r="Q1955">
        <v>0</v>
      </c>
      <c r="S1955">
        <v>0</v>
      </c>
      <c r="T1955">
        <v>0</v>
      </c>
      <c r="U1955">
        <v>0</v>
      </c>
      <c r="W1955" t="s">
        <v>62</v>
      </c>
      <c r="AP1955" t="s">
        <v>147</v>
      </c>
    </row>
    <row r="1956" spans="1:42" x14ac:dyDescent="0.35">
      <c r="A1956" t="s">
        <v>45</v>
      </c>
      <c r="B1956" t="s">
        <v>4392</v>
      </c>
      <c r="C1956" t="s">
        <v>47</v>
      </c>
      <c r="D1956" t="s">
        <v>4396</v>
      </c>
      <c r="E1956" t="s">
        <v>4396</v>
      </c>
      <c r="F1956" t="s">
        <v>49</v>
      </c>
      <c r="G1956" t="s">
        <v>4399</v>
      </c>
      <c r="H1956" t="s">
        <v>4400</v>
      </c>
      <c r="J1956" t="str">
        <f>HYPERLINK("https://www.facebook.com/454965103328545/posts/771262205032165?comment_id=375818201870484","https://www.facebook.com/454965103328545/posts/771262205032165?comment_id=375818201870484")</f>
        <v>https://www.facebook.com/454965103328545/posts/771262205032165?comment_id=375818201870484</v>
      </c>
      <c r="O1956">
        <v>0</v>
      </c>
      <c r="P1956">
        <v>0</v>
      </c>
      <c r="Q1956">
        <v>0</v>
      </c>
      <c r="S1956">
        <v>0</v>
      </c>
      <c r="T1956">
        <v>0</v>
      </c>
      <c r="U1956">
        <v>0</v>
      </c>
      <c r="W1956" t="s">
        <v>62</v>
      </c>
    </row>
    <row r="1957" spans="1:42" x14ac:dyDescent="0.35">
      <c r="A1957" t="s">
        <v>45</v>
      </c>
      <c r="B1957" t="s">
        <v>4392</v>
      </c>
      <c r="C1957" t="s">
        <v>47</v>
      </c>
      <c r="D1957" t="s">
        <v>4401</v>
      </c>
      <c r="E1957" t="s">
        <v>4401</v>
      </c>
      <c r="F1957" t="s">
        <v>49</v>
      </c>
      <c r="G1957" t="s">
        <v>253</v>
      </c>
      <c r="H1957" t="s">
        <v>4402</v>
      </c>
      <c r="J1957" t="str">
        <f>HYPERLINK("https://www.facebook.com/357267201017935/inbox/7093405167404071/","https://www.facebook.com/357267201017935/inbox/7093405167404071/")</f>
        <v>https://www.facebook.com/357267201017935/inbox/7093405167404071/</v>
      </c>
      <c r="O1957">
        <v>0</v>
      </c>
      <c r="P1957">
        <v>0</v>
      </c>
      <c r="Q1957">
        <v>0</v>
      </c>
      <c r="S1957">
        <v>0</v>
      </c>
      <c r="T1957">
        <v>0</v>
      </c>
      <c r="U1957">
        <v>0</v>
      </c>
      <c r="W1957" t="s">
        <v>52</v>
      </c>
    </row>
    <row r="1958" spans="1:42" x14ac:dyDescent="0.35">
      <c r="A1958" t="s">
        <v>45</v>
      </c>
      <c r="B1958" t="s">
        <v>4392</v>
      </c>
      <c r="C1958" t="s">
        <v>139</v>
      </c>
      <c r="D1958" t="s">
        <v>4403</v>
      </c>
      <c r="E1958" t="s">
        <v>4404</v>
      </c>
      <c r="F1958" t="s">
        <v>76</v>
      </c>
      <c r="G1958" t="s">
        <v>4405</v>
      </c>
      <c r="H1958" t="s">
        <v>4406</v>
      </c>
      <c r="J1958" t="str">
        <f>HYPERLINK("https://twitter.com/bhavikvasa/status/1762489260891078802","https://twitter.com/bhavikvasa/status/1762489260891078802")</f>
        <v>https://twitter.com/bhavikvasa/status/1762489260891078802</v>
      </c>
      <c r="K1958" t="s">
        <v>145</v>
      </c>
      <c r="O1958">
        <v>0</v>
      </c>
      <c r="P1958">
        <v>0</v>
      </c>
      <c r="Q1958">
        <v>1224</v>
      </c>
      <c r="R1958" t="s">
        <v>4407</v>
      </c>
      <c r="S1958">
        <v>0</v>
      </c>
      <c r="T1958">
        <v>0</v>
      </c>
      <c r="U1958">
        <v>0</v>
      </c>
      <c r="W1958" t="s">
        <v>146</v>
      </c>
    </row>
    <row r="1959" spans="1:42" x14ac:dyDescent="0.35">
      <c r="A1959" t="s">
        <v>45</v>
      </c>
      <c r="B1959" t="s">
        <v>4392</v>
      </c>
      <c r="C1959" t="s">
        <v>47</v>
      </c>
      <c r="D1959" t="s">
        <v>4408</v>
      </c>
      <c r="E1959" t="s">
        <v>4408</v>
      </c>
      <c r="F1959" t="s">
        <v>49</v>
      </c>
      <c r="G1959" t="s">
        <v>4409</v>
      </c>
      <c r="H1959" t="s">
        <v>4410</v>
      </c>
      <c r="J1959" t="str">
        <f>HYPERLINK("https://www.facebook.com/357267201017935/inbox/7093220497422538/","https://www.facebook.com/357267201017935/inbox/7093220497422538/")</f>
        <v>https://www.facebook.com/357267201017935/inbox/7093220497422538/</v>
      </c>
      <c r="O1959">
        <v>0</v>
      </c>
      <c r="P1959">
        <v>0</v>
      </c>
      <c r="Q1959">
        <v>0</v>
      </c>
      <c r="S1959">
        <v>0</v>
      </c>
      <c r="T1959">
        <v>0</v>
      </c>
      <c r="U1959">
        <v>0</v>
      </c>
      <c r="W1959" t="s">
        <v>52</v>
      </c>
      <c r="AP1959" t="s">
        <v>94</v>
      </c>
    </row>
    <row r="1960" spans="1:42" x14ac:dyDescent="0.35">
      <c r="A1960" t="s">
        <v>45</v>
      </c>
      <c r="B1960" t="s">
        <v>4392</v>
      </c>
      <c r="C1960" t="s">
        <v>47</v>
      </c>
      <c r="D1960" t="s">
        <v>4313</v>
      </c>
      <c r="E1960" t="s">
        <v>4313</v>
      </c>
      <c r="F1960" t="s">
        <v>76</v>
      </c>
      <c r="G1960" t="s">
        <v>4411</v>
      </c>
      <c r="H1960" t="s">
        <v>4412</v>
      </c>
      <c r="J1960" t="str">
        <f>HYPERLINK("https://www.facebook.com/692221939790903/posts/692221396457624","https://www.facebook.com/692221939790903/posts/692221396457624")</f>
        <v>https://www.facebook.com/692221939790903/posts/692221396457624</v>
      </c>
      <c r="O1960">
        <v>0</v>
      </c>
      <c r="P1960">
        <v>0</v>
      </c>
      <c r="Q1960">
        <v>0</v>
      </c>
      <c r="S1960">
        <v>0</v>
      </c>
      <c r="T1960">
        <v>2</v>
      </c>
      <c r="U1960">
        <v>21</v>
      </c>
      <c r="W1960" t="s">
        <v>106</v>
      </c>
    </row>
    <row r="1961" spans="1:42" x14ac:dyDescent="0.35">
      <c r="A1961" t="s">
        <v>45</v>
      </c>
      <c r="B1961" t="s">
        <v>4392</v>
      </c>
      <c r="C1961" t="s">
        <v>47</v>
      </c>
      <c r="D1961" t="s">
        <v>4413</v>
      </c>
      <c r="E1961" t="s">
        <v>4413</v>
      </c>
      <c r="F1961" t="s">
        <v>49</v>
      </c>
      <c r="G1961" t="s">
        <v>4414</v>
      </c>
      <c r="H1961" t="s">
        <v>4415</v>
      </c>
      <c r="J1961" t="str">
        <f>HYPERLINK("https://www.facebook.com/454965103328545/posts/771262205032165?comment_id=392280866876437","https://www.facebook.com/454965103328545/posts/771262205032165?comment_id=392280866876437")</f>
        <v>https://www.facebook.com/454965103328545/posts/771262205032165?comment_id=392280866876437</v>
      </c>
      <c r="O1961">
        <v>0</v>
      </c>
      <c r="P1961">
        <v>0</v>
      </c>
      <c r="Q1961">
        <v>0</v>
      </c>
      <c r="S1961">
        <v>0</v>
      </c>
      <c r="T1961">
        <v>0</v>
      </c>
      <c r="U1961">
        <v>0</v>
      </c>
      <c r="W1961" t="s">
        <v>62</v>
      </c>
    </row>
    <row r="1962" spans="1:42" x14ac:dyDescent="0.35">
      <c r="A1962" t="s">
        <v>45</v>
      </c>
      <c r="B1962" t="s">
        <v>4392</v>
      </c>
      <c r="C1962" t="s">
        <v>139</v>
      </c>
      <c r="D1962" t="s">
        <v>4416</v>
      </c>
      <c r="E1962" t="s">
        <v>4417</v>
      </c>
      <c r="F1962" t="s">
        <v>142</v>
      </c>
      <c r="G1962" t="s">
        <v>4418</v>
      </c>
      <c r="H1962" t="s">
        <v>4419</v>
      </c>
      <c r="J1962" t="str">
        <f>HYPERLINK("https://twitter.com/rahul02220/status/1762471209051312537","https://twitter.com/rahul02220/status/1762471209051312537")</f>
        <v>https://twitter.com/rahul02220/status/1762471209051312537</v>
      </c>
      <c r="K1962" t="s">
        <v>145</v>
      </c>
      <c r="O1962">
        <v>0</v>
      </c>
      <c r="P1962">
        <v>0</v>
      </c>
      <c r="Q1962">
        <v>7</v>
      </c>
      <c r="R1962" t="s">
        <v>4420</v>
      </c>
      <c r="S1962">
        <v>0</v>
      </c>
      <c r="T1962">
        <v>0</v>
      </c>
      <c r="U1962">
        <v>0</v>
      </c>
      <c r="W1962" t="s">
        <v>146</v>
      </c>
    </row>
    <row r="1963" spans="1:42" x14ac:dyDescent="0.35">
      <c r="A1963" t="s">
        <v>45</v>
      </c>
      <c r="B1963" t="s">
        <v>4392</v>
      </c>
      <c r="C1963" t="s">
        <v>47</v>
      </c>
      <c r="D1963" t="s">
        <v>4421</v>
      </c>
      <c r="E1963" t="s">
        <v>4421</v>
      </c>
      <c r="F1963" t="s">
        <v>142</v>
      </c>
      <c r="G1963" t="s">
        <v>4422</v>
      </c>
      <c r="H1963" t="s">
        <v>4423</v>
      </c>
      <c r="J1963" t="str">
        <f>HYPERLINK("https://www.facebook.com/454965103328545/posts/768718115286574?comment_id=7359221750861918","https://www.facebook.com/454965103328545/posts/768718115286574?comment_id=7359221750861918")</f>
        <v>https://www.facebook.com/454965103328545/posts/768718115286574?comment_id=7359221750861918</v>
      </c>
      <c r="O1963">
        <v>0</v>
      </c>
      <c r="P1963">
        <v>0</v>
      </c>
      <c r="Q1963">
        <v>0</v>
      </c>
      <c r="S1963">
        <v>0</v>
      </c>
      <c r="T1963">
        <v>0</v>
      </c>
      <c r="U1963">
        <v>0</v>
      </c>
      <c r="W1963" t="s">
        <v>62</v>
      </c>
      <c r="AP1963" t="s">
        <v>147</v>
      </c>
    </row>
    <row r="1964" spans="1:42" x14ac:dyDescent="0.35">
      <c r="A1964" t="s">
        <v>45</v>
      </c>
      <c r="B1964" t="s">
        <v>4392</v>
      </c>
      <c r="C1964" t="s">
        <v>58</v>
      </c>
      <c r="D1964" t="s">
        <v>4424</v>
      </c>
      <c r="E1964" t="s">
        <v>4424</v>
      </c>
      <c r="F1964" t="s">
        <v>49</v>
      </c>
      <c r="G1964" t="s">
        <v>4425</v>
      </c>
      <c r="H1964" t="s">
        <v>4426</v>
      </c>
      <c r="J1964" t="str">
        <f>HYPERLINK("https://www.youtube.com/watch?v=i9pKyHg2H1o","https://www.youtube.com/watch?v=i9pKyHg2H1o")</f>
        <v>https://www.youtube.com/watch?v=i9pKyHg2H1o</v>
      </c>
      <c r="O1964">
        <v>0</v>
      </c>
      <c r="P1964">
        <v>0</v>
      </c>
      <c r="Q1964">
        <v>0</v>
      </c>
      <c r="S1964">
        <v>0</v>
      </c>
      <c r="T1964">
        <v>0</v>
      </c>
      <c r="U1964">
        <v>0</v>
      </c>
      <c r="W1964" t="s">
        <v>106</v>
      </c>
    </row>
    <row r="1965" spans="1:42" x14ac:dyDescent="0.35">
      <c r="A1965" t="s">
        <v>45</v>
      </c>
      <c r="B1965" t="s">
        <v>4392</v>
      </c>
      <c r="C1965" t="s">
        <v>47</v>
      </c>
      <c r="D1965" t="s">
        <v>4427</v>
      </c>
      <c r="E1965" t="s">
        <v>4427</v>
      </c>
      <c r="F1965" t="s">
        <v>49</v>
      </c>
      <c r="G1965" t="s">
        <v>459</v>
      </c>
      <c r="H1965" t="s">
        <v>4428</v>
      </c>
      <c r="J1965" t="str">
        <f>HYPERLINK("https://www.facebook.com/454965103328545/posts/768718115286574?comment_id=4002723273287900","https://www.facebook.com/454965103328545/posts/768718115286574?comment_id=4002723273287900")</f>
        <v>https://www.facebook.com/454965103328545/posts/768718115286574?comment_id=4002723273287900</v>
      </c>
      <c r="O1965">
        <v>0</v>
      </c>
      <c r="P1965">
        <v>0</v>
      </c>
      <c r="Q1965">
        <v>0</v>
      </c>
      <c r="S1965">
        <v>0</v>
      </c>
      <c r="T1965">
        <v>0</v>
      </c>
      <c r="U1965">
        <v>0</v>
      </c>
      <c r="W1965" t="s">
        <v>62</v>
      </c>
    </row>
    <row r="1966" spans="1:42" x14ac:dyDescent="0.35">
      <c r="A1966" t="s">
        <v>45</v>
      </c>
      <c r="B1966" t="s">
        <v>4392</v>
      </c>
      <c r="C1966" t="s">
        <v>47</v>
      </c>
      <c r="D1966" t="s">
        <v>4427</v>
      </c>
      <c r="E1966" t="s">
        <v>4427</v>
      </c>
      <c r="F1966" t="s">
        <v>76</v>
      </c>
      <c r="G1966" t="s">
        <v>4429</v>
      </c>
      <c r="H1966" t="s">
        <v>4430</v>
      </c>
      <c r="J1966" t="str">
        <f>HYPERLINK("https://www.facebook.com/454965103328545/posts/768718115286574?comment_id=1628681727870078","https://www.facebook.com/454965103328545/posts/768718115286574?comment_id=1628681727870078")</f>
        <v>https://www.facebook.com/454965103328545/posts/768718115286574?comment_id=1628681727870078</v>
      </c>
      <c r="O1966">
        <v>0</v>
      </c>
      <c r="P1966">
        <v>0</v>
      </c>
      <c r="Q1966">
        <v>0</v>
      </c>
      <c r="S1966">
        <v>0</v>
      </c>
      <c r="T1966">
        <v>0</v>
      </c>
      <c r="U1966">
        <v>0</v>
      </c>
      <c r="W1966" t="s">
        <v>62</v>
      </c>
    </row>
    <row r="1967" spans="1:42" x14ac:dyDescent="0.35">
      <c r="A1967" t="s">
        <v>45</v>
      </c>
      <c r="B1967" t="s">
        <v>4392</v>
      </c>
      <c r="C1967" t="s">
        <v>47</v>
      </c>
      <c r="D1967" t="s">
        <v>4431</v>
      </c>
      <c r="E1967" t="s">
        <v>4431</v>
      </c>
      <c r="F1967" t="s">
        <v>49</v>
      </c>
      <c r="G1967" t="s">
        <v>50</v>
      </c>
      <c r="H1967" t="s">
        <v>4432</v>
      </c>
      <c r="J1967" t="str">
        <f>HYPERLINK("https://www.facebook.com/357267201017935/inbox/7080548552023066/","https://www.facebook.com/357267201017935/inbox/7080548552023066/")</f>
        <v>https://www.facebook.com/357267201017935/inbox/7080548552023066/</v>
      </c>
      <c r="O1967">
        <v>0</v>
      </c>
      <c r="P1967">
        <v>0</v>
      </c>
      <c r="Q1967">
        <v>0</v>
      </c>
      <c r="S1967">
        <v>0</v>
      </c>
      <c r="T1967">
        <v>0</v>
      </c>
      <c r="U1967">
        <v>0</v>
      </c>
      <c r="W1967" t="s">
        <v>52</v>
      </c>
    </row>
    <row r="1968" spans="1:42" x14ac:dyDescent="0.35">
      <c r="A1968" t="s">
        <v>45</v>
      </c>
      <c r="B1968" t="s">
        <v>4392</v>
      </c>
      <c r="C1968" t="s">
        <v>47</v>
      </c>
      <c r="D1968" t="s">
        <v>4433</v>
      </c>
      <c r="E1968" t="s">
        <v>4433</v>
      </c>
      <c r="F1968" t="s">
        <v>49</v>
      </c>
      <c r="G1968" t="s">
        <v>4434</v>
      </c>
      <c r="H1968" t="s">
        <v>4435</v>
      </c>
      <c r="J1968" t="str">
        <f>HYPERLINK("https://www.facebook.com/454965103328545/posts/763274915830894?comment_id=971834674455948","https://www.facebook.com/454965103328545/posts/763274915830894?comment_id=971834674455948")</f>
        <v>https://www.facebook.com/454965103328545/posts/763274915830894?comment_id=971834674455948</v>
      </c>
      <c r="O1968">
        <v>0</v>
      </c>
      <c r="P1968">
        <v>0</v>
      </c>
      <c r="Q1968">
        <v>0</v>
      </c>
      <c r="S1968">
        <v>0</v>
      </c>
      <c r="T1968">
        <v>0</v>
      </c>
      <c r="U1968">
        <v>0</v>
      </c>
      <c r="W1968" t="s">
        <v>62</v>
      </c>
    </row>
    <row r="1969" spans="1:42" x14ac:dyDescent="0.35">
      <c r="A1969" t="s">
        <v>45</v>
      </c>
      <c r="B1969" t="s">
        <v>4392</v>
      </c>
      <c r="C1969" t="s">
        <v>139</v>
      </c>
      <c r="D1969" t="s">
        <v>942</v>
      </c>
      <c r="E1969" t="s">
        <v>943</v>
      </c>
      <c r="F1969" t="s">
        <v>49</v>
      </c>
      <c r="G1969" t="s">
        <v>4436</v>
      </c>
      <c r="H1969" t="s">
        <v>4437</v>
      </c>
      <c r="J1969" t="str">
        <f>HYPERLINK("https://twitter.com/rajendras1819/status/1762442481122394144","https://twitter.com/rajendras1819/status/1762442481122394144")</f>
        <v>https://twitter.com/rajendras1819/status/1762442481122394144</v>
      </c>
      <c r="O1969">
        <v>0</v>
      </c>
      <c r="P1969">
        <v>0</v>
      </c>
      <c r="Q1969">
        <v>256</v>
      </c>
      <c r="R1969" t="s">
        <v>946</v>
      </c>
      <c r="S1969">
        <v>0</v>
      </c>
      <c r="T1969">
        <v>0</v>
      </c>
      <c r="U1969">
        <v>0</v>
      </c>
      <c r="W1969" t="s">
        <v>552</v>
      </c>
      <c r="AO1969" t="s">
        <v>67</v>
      </c>
    </row>
    <row r="1970" spans="1:42" x14ac:dyDescent="0.35">
      <c r="A1970" t="s">
        <v>45</v>
      </c>
      <c r="B1970" t="s">
        <v>4392</v>
      </c>
      <c r="C1970" t="s">
        <v>139</v>
      </c>
      <c r="D1970" t="s">
        <v>4438</v>
      </c>
      <c r="E1970" t="s">
        <v>4439</v>
      </c>
      <c r="F1970" t="s">
        <v>142</v>
      </c>
      <c r="G1970" t="s">
        <v>4440</v>
      </c>
      <c r="H1970" t="s">
        <v>4441</v>
      </c>
      <c r="J1970" t="str">
        <f>HYPERLINK("https://twitter.com/Kaweer0/status/1762440116205715877","https://twitter.com/Kaweer0/status/1762440116205715877")</f>
        <v>https://twitter.com/Kaweer0/status/1762440116205715877</v>
      </c>
      <c r="O1970">
        <v>0</v>
      </c>
      <c r="P1970">
        <v>0</v>
      </c>
      <c r="Q1970">
        <v>6</v>
      </c>
      <c r="S1970">
        <v>0</v>
      </c>
      <c r="T1970">
        <v>0</v>
      </c>
      <c r="U1970">
        <v>0</v>
      </c>
      <c r="W1970" t="s">
        <v>146</v>
      </c>
      <c r="AO1970" t="s">
        <v>67</v>
      </c>
      <c r="AP1970" t="s">
        <v>147</v>
      </c>
    </row>
    <row r="1971" spans="1:42" x14ac:dyDescent="0.35">
      <c r="A1971" t="s">
        <v>45</v>
      </c>
      <c r="B1971" t="s">
        <v>4392</v>
      </c>
      <c r="C1971" t="s">
        <v>63</v>
      </c>
      <c r="D1971" t="s">
        <v>186</v>
      </c>
      <c r="E1971" t="s">
        <v>186</v>
      </c>
      <c r="F1971" t="s">
        <v>49</v>
      </c>
      <c r="G1971" t="s">
        <v>4442</v>
      </c>
      <c r="H1971" t="s">
        <v>4443</v>
      </c>
      <c r="J1971" t="str">
        <f>HYPERLINK("https://www.instagram.com/p/C32Wxgyh-8B/","https://www.instagram.com/p/C32Wxgyh-8B/")</f>
        <v>https://www.instagram.com/p/C32Wxgyh-8B/</v>
      </c>
      <c r="O1971">
        <v>0</v>
      </c>
      <c r="P1971">
        <v>0</v>
      </c>
      <c r="Q1971">
        <v>0</v>
      </c>
      <c r="S1971">
        <v>5</v>
      </c>
      <c r="T1971">
        <v>83</v>
      </c>
      <c r="U1971">
        <v>0</v>
      </c>
      <c r="W1971" t="s">
        <v>106</v>
      </c>
      <c r="AO1971" t="s">
        <v>67</v>
      </c>
    </row>
    <row r="1972" spans="1:42" x14ac:dyDescent="0.35">
      <c r="A1972" t="s">
        <v>45</v>
      </c>
      <c r="B1972" t="s">
        <v>4392</v>
      </c>
      <c r="C1972" t="s">
        <v>139</v>
      </c>
      <c r="D1972" t="s">
        <v>190</v>
      </c>
      <c r="E1972" t="s">
        <v>45</v>
      </c>
      <c r="F1972" t="s">
        <v>49</v>
      </c>
      <c r="G1972" t="s">
        <v>4436</v>
      </c>
      <c r="H1972" t="s">
        <v>4444</v>
      </c>
      <c r="J1972" t="str">
        <f>HYPERLINK("https://twitter.com/FinoPaymntsBank/status/1762439937830326627","https://twitter.com/FinoPaymntsBank/status/1762439937830326627")</f>
        <v>https://twitter.com/FinoPaymntsBank/status/1762439937830326627</v>
      </c>
      <c r="K1972" t="s">
        <v>145</v>
      </c>
      <c r="O1972">
        <v>0</v>
      </c>
      <c r="P1972">
        <v>0</v>
      </c>
      <c r="Q1972">
        <v>8398</v>
      </c>
      <c r="R1972" t="s">
        <v>193</v>
      </c>
      <c r="S1972">
        <v>0</v>
      </c>
      <c r="T1972">
        <v>0</v>
      </c>
      <c r="U1972">
        <v>0</v>
      </c>
      <c r="W1972" t="s">
        <v>146</v>
      </c>
      <c r="AO1972" t="s">
        <v>67</v>
      </c>
    </row>
    <row r="1973" spans="1:42" x14ac:dyDescent="0.35">
      <c r="A1973" t="s">
        <v>45</v>
      </c>
      <c r="B1973" t="s">
        <v>4392</v>
      </c>
      <c r="C1973" t="s">
        <v>47</v>
      </c>
      <c r="D1973" t="s">
        <v>45</v>
      </c>
      <c r="E1973" t="s">
        <v>45</v>
      </c>
      <c r="F1973" t="s">
        <v>49</v>
      </c>
      <c r="G1973" t="s">
        <v>4442</v>
      </c>
      <c r="H1973" t="s">
        <v>4444</v>
      </c>
      <c r="J1973" t="str">
        <f>HYPERLINK("https://www.facebook.com/357267201017935_768718115286574","https://www.facebook.com/357267201017935_768718115286574")</f>
        <v>https://www.facebook.com/357267201017935_768718115286574</v>
      </c>
      <c r="O1973">
        <v>0</v>
      </c>
      <c r="P1973">
        <v>0</v>
      </c>
      <c r="Q1973">
        <v>0</v>
      </c>
      <c r="S1973">
        <v>3</v>
      </c>
      <c r="T1973">
        <v>67</v>
      </c>
      <c r="U1973">
        <v>3</v>
      </c>
      <c r="W1973" t="s">
        <v>106</v>
      </c>
      <c r="AO1973" t="s">
        <v>67</v>
      </c>
    </row>
    <row r="1974" spans="1:42" x14ac:dyDescent="0.35">
      <c r="A1974" t="s">
        <v>45</v>
      </c>
      <c r="B1974" t="s">
        <v>4392</v>
      </c>
      <c r="C1974" t="s">
        <v>47</v>
      </c>
      <c r="D1974" t="s">
        <v>4445</v>
      </c>
      <c r="E1974" t="s">
        <v>4445</v>
      </c>
      <c r="F1974" t="s">
        <v>49</v>
      </c>
      <c r="G1974" t="s">
        <v>4446</v>
      </c>
      <c r="H1974" t="s">
        <v>4447</v>
      </c>
      <c r="J1974" t="str">
        <f>HYPERLINK("https://www.facebook.com/357267201017935/inbox/7092493160828605/","https://www.facebook.com/357267201017935/inbox/7092493160828605/")</f>
        <v>https://www.facebook.com/357267201017935/inbox/7092493160828605/</v>
      </c>
      <c r="O1974">
        <v>0</v>
      </c>
      <c r="P1974">
        <v>0</v>
      </c>
      <c r="Q1974">
        <v>0</v>
      </c>
      <c r="S1974">
        <v>0</v>
      </c>
      <c r="T1974">
        <v>0</v>
      </c>
      <c r="U1974">
        <v>0</v>
      </c>
      <c r="W1974" t="s">
        <v>52</v>
      </c>
    </row>
    <row r="1975" spans="1:42" x14ac:dyDescent="0.35">
      <c r="A1975" t="s">
        <v>45</v>
      </c>
      <c r="B1975" t="s">
        <v>4392</v>
      </c>
      <c r="C1975" t="s">
        <v>47</v>
      </c>
      <c r="D1975" t="s">
        <v>4445</v>
      </c>
      <c r="E1975" t="s">
        <v>4445</v>
      </c>
      <c r="F1975" t="s">
        <v>49</v>
      </c>
      <c r="G1975" t="s">
        <v>4448</v>
      </c>
      <c r="H1975" t="s">
        <v>4447</v>
      </c>
      <c r="J1975" t="str">
        <f>HYPERLINK("https://www.facebook.com/357267201017935/inbox/7092493160828605/","https://www.facebook.com/357267201017935/inbox/7092493160828605/")</f>
        <v>https://www.facebook.com/357267201017935/inbox/7092493160828605/</v>
      </c>
      <c r="O1975">
        <v>0</v>
      </c>
      <c r="P1975">
        <v>0</v>
      </c>
      <c r="Q1975">
        <v>0</v>
      </c>
      <c r="S1975">
        <v>0</v>
      </c>
      <c r="T1975">
        <v>0</v>
      </c>
      <c r="U1975">
        <v>0</v>
      </c>
      <c r="W1975" t="s">
        <v>52</v>
      </c>
    </row>
    <row r="1976" spans="1:42" x14ac:dyDescent="0.35">
      <c r="A1976" t="s">
        <v>45</v>
      </c>
      <c r="B1976" t="s">
        <v>4392</v>
      </c>
      <c r="C1976" t="s">
        <v>47</v>
      </c>
      <c r="D1976" t="s">
        <v>45</v>
      </c>
      <c r="E1976" t="s">
        <v>45</v>
      </c>
      <c r="F1976" t="s">
        <v>49</v>
      </c>
      <c r="G1976" t="s">
        <v>4449</v>
      </c>
      <c r="H1976" t="s">
        <v>4450</v>
      </c>
      <c r="J1976" t="str">
        <f>HYPERLINK("https://www.facebook.com/357267201017935/inbox/7080376458706942/","https://www.facebook.com/357267201017935/inbox/7080376458706942/")</f>
        <v>https://www.facebook.com/357267201017935/inbox/7080376458706942/</v>
      </c>
      <c r="O1976">
        <v>0</v>
      </c>
      <c r="P1976">
        <v>0</v>
      </c>
      <c r="Q1976">
        <v>0</v>
      </c>
      <c r="S1976">
        <v>0</v>
      </c>
      <c r="T1976">
        <v>0</v>
      </c>
      <c r="U1976">
        <v>0</v>
      </c>
      <c r="W1976" t="s">
        <v>52</v>
      </c>
    </row>
    <row r="1977" spans="1:42" x14ac:dyDescent="0.35">
      <c r="A1977" t="s">
        <v>45</v>
      </c>
      <c r="B1977" t="s">
        <v>4392</v>
      </c>
      <c r="C1977" t="s">
        <v>63</v>
      </c>
      <c r="D1977" t="s">
        <v>186</v>
      </c>
      <c r="E1977" t="s">
        <v>186</v>
      </c>
      <c r="F1977" t="s">
        <v>49</v>
      </c>
      <c r="G1977" t="s">
        <v>4451</v>
      </c>
      <c r="H1977" t="s">
        <v>4452</v>
      </c>
      <c r="J1977" t="str">
        <f>HYPERLINK("https://www.instagram.com/p/C3U1uytgenK/","https://www.instagram.com/p/C3U1uytgenK/")</f>
        <v>https://www.instagram.com/p/C3U1uytgenK/</v>
      </c>
      <c r="O1977">
        <v>0</v>
      </c>
      <c r="P1977">
        <v>0</v>
      </c>
      <c r="Q1977">
        <v>0</v>
      </c>
      <c r="S1977">
        <v>0</v>
      </c>
      <c r="T1977">
        <v>0</v>
      </c>
      <c r="U1977">
        <v>0</v>
      </c>
      <c r="W1977" t="s">
        <v>62</v>
      </c>
    </row>
    <row r="1978" spans="1:42" x14ac:dyDescent="0.35">
      <c r="A1978" t="s">
        <v>45</v>
      </c>
      <c r="B1978" t="s">
        <v>4392</v>
      </c>
      <c r="C1978" t="s">
        <v>47</v>
      </c>
      <c r="D1978" t="s">
        <v>45</v>
      </c>
      <c r="E1978" t="s">
        <v>45</v>
      </c>
      <c r="F1978" t="s">
        <v>49</v>
      </c>
      <c r="G1978" t="s">
        <v>4453</v>
      </c>
      <c r="H1978" t="s">
        <v>4454</v>
      </c>
      <c r="J1978" t="str">
        <f>HYPERLINK("https://www.facebook.com/357267201017935/inbox/7080548552023066/","https://www.facebook.com/357267201017935/inbox/7080548552023066/")</f>
        <v>https://www.facebook.com/357267201017935/inbox/7080548552023066/</v>
      </c>
      <c r="O1978">
        <v>0</v>
      </c>
      <c r="P1978">
        <v>0</v>
      </c>
      <c r="Q1978">
        <v>0</v>
      </c>
      <c r="S1978">
        <v>0</v>
      </c>
      <c r="T1978">
        <v>0</v>
      </c>
      <c r="U1978">
        <v>0</v>
      </c>
      <c r="W1978" t="s">
        <v>52</v>
      </c>
    </row>
    <row r="1979" spans="1:42" x14ac:dyDescent="0.35">
      <c r="A1979" t="s">
        <v>45</v>
      </c>
      <c r="B1979" t="s">
        <v>4392</v>
      </c>
      <c r="C1979" t="s">
        <v>47</v>
      </c>
      <c r="D1979" t="s">
        <v>4455</v>
      </c>
      <c r="E1979" t="s">
        <v>4455</v>
      </c>
      <c r="F1979" t="s">
        <v>49</v>
      </c>
      <c r="G1979" t="s">
        <v>373</v>
      </c>
      <c r="H1979" t="s">
        <v>4456</v>
      </c>
      <c r="J1979" t="str">
        <f>HYPERLINK("https://www.facebook.com/357267201017935/inbox/7092322900845631/","https://www.facebook.com/357267201017935/inbox/7092322900845631/")</f>
        <v>https://www.facebook.com/357267201017935/inbox/7092322900845631/</v>
      </c>
      <c r="O1979">
        <v>0</v>
      </c>
      <c r="P1979">
        <v>0</v>
      </c>
      <c r="Q1979">
        <v>0</v>
      </c>
      <c r="S1979">
        <v>0</v>
      </c>
      <c r="T1979">
        <v>0</v>
      </c>
      <c r="U1979">
        <v>0</v>
      </c>
      <c r="W1979" t="s">
        <v>52</v>
      </c>
    </row>
    <row r="1980" spans="1:42" x14ac:dyDescent="0.35">
      <c r="A1980" t="s">
        <v>45</v>
      </c>
      <c r="B1980" t="s">
        <v>4392</v>
      </c>
      <c r="C1980" t="s">
        <v>58</v>
      </c>
      <c r="D1980" t="s">
        <v>4457</v>
      </c>
      <c r="E1980" t="s">
        <v>4457</v>
      </c>
      <c r="F1980" t="s">
        <v>49</v>
      </c>
      <c r="G1980" t="s">
        <v>4458</v>
      </c>
      <c r="H1980" t="s">
        <v>4459</v>
      </c>
      <c r="J1980" t="str">
        <f>HYPERLINK("https://www.youtube.com/watch?v=eT3-yvKTE4c","https://www.youtube.com/watch?v=eT3-yvKTE4c")</f>
        <v>https://www.youtube.com/watch?v=eT3-yvKTE4c</v>
      </c>
      <c r="O1980">
        <v>0</v>
      </c>
      <c r="P1980">
        <v>0</v>
      </c>
      <c r="Q1980">
        <v>0</v>
      </c>
      <c r="S1980">
        <v>0</v>
      </c>
      <c r="T1980">
        <v>0</v>
      </c>
      <c r="U1980">
        <v>0</v>
      </c>
      <c r="W1980" t="s">
        <v>106</v>
      </c>
    </row>
    <row r="1981" spans="1:42" x14ac:dyDescent="0.35">
      <c r="A1981" t="s">
        <v>45</v>
      </c>
      <c r="B1981" t="s">
        <v>4392</v>
      </c>
      <c r="C1981" t="s">
        <v>139</v>
      </c>
      <c r="D1981" t="s">
        <v>4460</v>
      </c>
      <c r="E1981" t="s">
        <v>4461</v>
      </c>
      <c r="F1981" t="s">
        <v>49</v>
      </c>
      <c r="G1981" t="s">
        <v>4462</v>
      </c>
      <c r="H1981" t="s">
        <v>4463</v>
      </c>
      <c r="J1981" t="str">
        <f>HYPERLINK("https://twitter.com/Mahendr86765780/status/1762390034403950920","https://twitter.com/Mahendr86765780/status/1762390034403950920")</f>
        <v>https://twitter.com/Mahendr86765780/status/1762390034403950920</v>
      </c>
      <c r="K1981" t="s">
        <v>145</v>
      </c>
      <c r="O1981">
        <v>0</v>
      </c>
      <c r="P1981">
        <v>0</v>
      </c>
      <c r="Q1981">
        <v>4</v>
      </c>
      <c r="S1981">
        <v>0</v>
      </c>
      <c r="T1981">
        <v>0</v>
      </c>
      <c r="U1981">
        <v>0</v>
      </c>
      <c r="W1981" t="s">
        <v>146</v>
      </c>
      <c r="AP1981" t="s">
        <v>94</v>
      </c>
    </row>
    <row r="1982" spans="1:42" x14ac:dyDescent="0.35">
      <c r="A1982" t="s">
        <v>45</v>
      </c>
      <c r="B1982" t="s">
        <v>4392</v>
      </c>
      <c r="C1982" t="s">
        <v>139</v>
      </c>
      <c r="D1982" t="s">
        <v>4460</v>
      </c>
      <c r="E1982" t="s">
        <v>4461</v>
      </c>
      <c r="F1982" t="s">
        <v>49</v>
      </c>
      <c r="G1982" t="s">
        <v>4462</v>
      </c>
      <c r="H1982" t="s">
        <v>4464</v>
      </c>
      <c r="J1982" t="str">
        <f>HYPERLINK("https://twitter.com/Mahendr86765780/status/1762389933874934016","https://twitter.com/Mahendr86765780/status/1762389933874934016")</f>
        <v>https://twitter.com/Mahendr86765780/status/1762389933874934016</v>
      </c>
      <c r="K1982" t="s">
        <v>145</v>
      </c>
      <c r="O1982">
        <v>0</v>
      </c>
      <c r="P1982">
        <v>0</v>
      </c>
      <c r="Q1982">
        <v>4</v>
      </c>
      <c r="S1982">
        <v>0</v>
      </c>
      <c r="T1982">
        <v>0</v>
      </c>
      <c r="U1982">
        <v>0</v>
      </c>
      <c r="W1982" t="s">
        <v>146</v>
      </c>
      <c r="AP1982" t="s">
        <v>94</v>
      </c>
    </row>
    <row r="1983" spans="1:42" x14ac:dyDescent="0.35">
      <c r="A1983" t="s">
        <v>45</v>
      </c>
      <c r="B1983" t="s">
        <v>4392</v>
      </c>
      <c r="C1983" t="s">
        <v>139</v>
      </c>
      <c r="D1983" t="s">
        <v>4460</v>
      </c>
      <c r="E1983" t="s">
        <v>4461</v>
      </c>
      <c r="F1983" t="s">
        <v>49</v>
      </c>
      <c r="G1983" t="s">
        <v>4465</v>
      </c>
      <c r="H1983" t="s">
        <v>4466</v>
      </c>
      <c r="J1983" t="str">
        <f>HYPERLINK("https://twitter.com/Mahendr86765780/status/1762389868271882261","https://twitter.com/Mahendr86765780/status/1762389868271882261")</f>
        <v>https://twitter.com/Mahendr86765780/status/1762389868271882261</v>
      </c>
      <c r="K1983" t="s">
        <v>145</v>
      </c>
      <c r="O1983">
        <v>0</v>
      </c>
      <c r="P1983">
        <v>0</v>
      </c>
      <c r="Q1983">
        <v>4</v>
      </c>
      <c r="S1983">
        <v>0</v>
      </c>
      <c r="T1983">
        <v>0</v>
      </c>
      <c r="U1983">
        <v>0</v>
      </c>
      <c r="W1983" t="s">
        <v>146</v>
      </c>
      <c r="AP1983" t="s">
        <v>94</v>
      </c>
    </row>
    <row r="1984" spans="1:42" x14ac:dyDescent="0.35">
      <c r="A1984" t="s">
        <v>45</v>
      </c>
      <c r="B1984" t="s">
        <v>4392</v>
      </c>
      <c r="C1984" t="s">
        <v>139</v>
      </c>
      <c r="D1984" t="s">
        <v>4460</v>
      </c>
      <c r="E1984" t="s">
        <v>4461</v>
      </c>
      <c r="F1984" t="s">
        <v>49</v>
      </c>
      <c r="G1984" t="s">
        <v>4465</v>
      </c>
      <c r="H1984" t="s">
        <v>4467</v>
      </c>
      <c r="J1984" t="str">
        <f>HYPERLINK("https://twitter.com/Mahendr86765780/status/1762389801083294133","https://twitter.com/Mahendr86765780/status/1762389801083294133")</f>
        <v>https://twitter.com/Mahendr86765780/status/1762389801083294133</v>
      </c>
      <c r="K1984" t="s">
        <v>145</v>
      </c>
      <c r="O1984">
        <v>0</v>
      </c>
      <c r="P1984">
        <v>0</v>
      </c>
      <c r="Q1984">
        <v>4</v>
      </c>
      <c r="S1984">
        <v>0</v>
      </c>
      <c r="T1984">
        <v>0</v>
      </c>
      <c r="U1984">
        <v>0</v>
      </c>
      <c r="W1984" t="s">
        <v>146</v>
      </c>
      <c r="AP1984" t="s">
        <v>94</v>
      </c>
    </row>
    <row r="1985" spans="1:42" x14ac:dyDescent="0.35">
      <c r="A1985" t="s">
        <v>45</v>
      </c>
      <c r="B1985" t="s">
        <v>4392</v>
      </c>
      <c r="C1985" t="s">
        <v>139</v>
      </c>
      <c r="D1985" t="s">
        <v>4468</v>
      </c>
      <c r="E1985" t="s">
        <v>4469</v>
      </c>
      <c r="F1985" t="s">
        <v>49</v>
      </c>
      <c r="G1985" t="s">
        <v>4470</v>
      </c>
      <c r="H1985" t="s">
        <v>4471</v>
      </c>
      <c r="J1985" t="str">
        <f>HYPERLINK("https://twitter.com/dhruvilsanghvi/status/1762389616387104785","https://twitter.com/dhruvilsanghvi/status/1762389616387104785")</f>
        <v>https://twitter.com/dhruvilsanghvi/status/1762389616387104785</v>
      </c>
      <c r="K1985" t="s">
        <v>145</v>
      </c>
      <c r="O1985">
        <v>0</v>
      </c>
      <c r="P1985">
        <v>0</v>
      </c>
      <c r="Q1985">
        <v>24876</v>
      </c>
      <c r="R1985" t="s">
        <v>4472</v>
      </c>
      <c r="S1985">
        <v>0</v>
      </c>
      <c r="T1985">
        <v>0</v>
      </c>
      <c r="U1985">
        <v>0</v>
      </c>
      <c r="W1985" t="s">
        <v>146</v>
      </c>
    </row>
    <row r="1986" spans="1:42" x14ac:dyDescent="0.35">
      <c r="A1986" t="s">
        <v>45</v>
      </c>
      <c r="B1986" t="s">
        <v>4392</v>
      </c>
      <c r="C1986" t="s">
        <v>139</v>
      </c>
      <c r="D1986" t="s">
        <v>3765</v>
      </c>
      <c r="E1986" t="s">
        <v>3766</v>
      </c>
      <c r="F1986" t="s">
        <v>142</v>
      </c>
      <c r="G1986" t="s">
        <v>4473</v>
      </c>
      <c r="H1986" t="s">
        <v>4474</v>
      </c>
      <c r="J1986" t="str">
        <f>HYPERLINK("https://twitter.com/PremaKhan5/status/1762387328343867610","https://twitter.com/PremaKhan5/status/1762387328343867610")</f>
        <v>https://twitter.com/PremaKhan5/status/1762387328343867610</v>
      </c>
      <c r="K1986" t="s">
        <v>1769</v>
      </c>
      <c r="O1986">
        <v>0</v>
      </c>
      <c r="P1986">
        <v>0</v>
      </c>
      <c r="Q1986">
        <v>4</v>
      </c>
      <c r="S1986">
        <v>0</v>
      </c>
      <c r="T1986">
        <v>0</v>
      </c>
      <c r="U1986">
        <v>0</v>
      </c>
      <c r="W1986" t="s">
        <v>146</v>
      </c>
    </row>
    <row r="1987" spans="1:42" x14ac:dyDescent="0.35">
      <c r="A1987" t="s">
        <v>45</v>
      </c>
      <c r="B1987" t="s">
        <v>4392</v>
      </c>
      <c r="C1987" t="s">
        <v>47</v>
      </c>
      <c r="D1987" t="s">
        <v>3912</v>
      </c>
      <c r="E1987" t="s">
        <v>3912</v>
      </c>
      <c r="F1987" t="s">
        <v>49</v>
      </c>
      <c r="G1987" t="s">
        <v>253</v>
      </c>
      <c r="H1987" t="s">
        <v>4475</v>
      </c>
      <c r="J1987" t="str">
        <f>HYPERLINK("https://www.facebook.com/357267201017935/inbox/6704881606256431/","https://www.facebook.com/357267201017935/inbox/6704881606256431/")</f>
        <v>https://www.facebook.com/357267201017935/inbox/6704881606256431/</v>
      </c>
      <c r="O1987">
        <v>0</v>
      </c>
      <c r="P1987">
        <v>0</v>
      </c>
      <c r="Q1987">
        <v>0</v>
      </c>
      <c r="S1987">
        <v>0</v>
      </c>
      <c r="T1987">
        <v>0</v>
      </c>
      <c r="U1987">
        <v>0</v>
      </c>
      <c r="W1987" t="s">
        <v>52</v>
      </c>
    </row>
    <row r="1988" spans="1:42" x14ac:dyDescent="0.35">
      <c r="A1988" t="s">
        <v>45</v>
      </c>
      <c r="B1988" t="s">
        <v>4392</v>
      </c>
      <c r="C1988" t="s">
        <v>58</v>
      </c>
      <c r="D1988" t="s">
        <v>4476</v>
      </c>
      <c r="E1988" t="s">
        <v>4476</v>
      </c>
      <c r="F1988" t="s">
        <v>49</v>
      </c>
      <c r="G1988" t="s">
        <v>4477</v>
      </c>
      <c r="H1988" t="s">
        <v>4478</v>
      </c>
      <c r="J1988" t="str">
        <f>HYPERLINK("https://www.youtube.com/watch?v=n3kQsgUvu1k&amp;lc=Ugy1VemYfQ4N3XEqYsN4AaABAg","https://www.youtube.com/watch?v=n3kQsgUvu1k&amp;lc=Ugy1VemYfQ4N3XEqYsN4AaABAg")</f>
        <v>https://www.youtube.com/watch?v=n3kQsgUvu1k&amp;lc=Ugy1VemYfQ4N3XEqYsN4AaABAg</v>
      </c>
      <c r="O1988">
        <v>0</v>
      </c>
      <c r="P1988">
        <v>0</v>
      </c>
      <c r="Q1988">
        <v>0</v>
      </c>
      <c r="S1988">
        <v>0</v>
      </c>
      <c r="T1988">
        <v>0</v>
      </c>
      <c r="U1988">
        <v>0</v>
      </c>
      <c r="W1988" t="s">
        <v>62</v>
      </c>
      <c r="AP1988" t="s">
        <v>94</v>
      </c>
    </row>
    <row r="1989" spans="1:42" x14ac:dyDescent="0.35">
      <c r="A1989" t="s">
        <v>45</v>
      </c>
      <c r="B1989" t="s">
        <v>4392</v>
      </c>
      <c r="C1989" t="s">
        <v>58</v>
      </c>
      <c r="D1989" t="s">
        <v>4476</v>
      </c>
      <c r="E1989" t="s">
        <v>4476</v>
      </c>
      <c r="F1989" t="s">
        <v>49</v>
      </c>
      <c r="G1989" t="s">
        <v>4477</v>
      </c>
      <c r="H1989" t="s">
        <v>4479</v>
      </c>
      <c r="J1989" t="str">
        <f>HYPERLINK("https://www.youtube.com/watch?v=0_BXHbkw4M4&amp;lc=UgzDcaa5-qx6TrMJcg54AaABAg","https://www.youtube.com/watch?v=0_BXHbkw4M4&amp;lc=UgzDcaa5-qx6TrMJcg54AaABAg")</f>
        <v>https://www.youtube.com/watch?v=0_BXHbkw4M4&amp;lc=UgzDcaa5-qx6TrMJcg54AaABAg</v>
      </c>
      <c r="O1989">
        <v>0</v>
      </c>
      <c r="P1989">
        <v>0</v>
      </c>
      <c r="Q1989">
        <v>0</v>
      </c>
      <c r="S1989">
        <v>0</v>
      </c>
      <c r="T1989">
        <v>0</v>
      </c>
      <c r="U1989">
        <v>0</v>
      </c>
      <c r="W1989" t="s">
        <v>62</v>
      </c>
      <c r="AP1989" t="s">
        <v>94</v>
      </c>
    </row>
    <row r="1990" spans="1:42" x14ac:dyDescent="0.35">
      <c r="A1990" t="s">
        <v>45</v>
      </c>
      <c r="B1990" t="s">
        <v>4392</v>
      </c>
      <c r="C1990" t="s">
        <v>58</v>
      </c>
      <c r="D1990" t="s">
        <v>4476</v>
      </c>
      <c r="E1990" t="s">
        <v>4476</v>
      </c>
      <c r="F1990" t="s">
        <v>49</v>
      </c>
      <c r="G1990" t="s">
        <v>4477</v>
      </c>
      <c r="H1990" t="s">
        <v>4480</v>
      </c>
      <c r="J1990" t="str">
        <f>HYPERLINK("https://www.youtube.com/watch?v=izgWXHIWFFg&amp;lc=UgzLeojCfRi7suk4Ugx4AaABAg","https://www.youtube.com/watch?v=izgWXHIWFFg&amp;lc=UgzLeojCfRi7suk4Ugx4AaABAg")</f>
        <v>https://www.youtube.com/watch?v=izgWXHIWFFg&amp;lc=UgzLeojCfRi7suk4Ugx4AaABAg</v>
      </c>
      <c r="O1990">
        <v>0</v>
      </c>
      <c r="P1990">
        <v>0</v>
      </c>
      <c r="Q1990">
        <v>0</v>
      </c>
      <c r="S1990">
        <v>0</v>
      </c>
      <c r="T1990">
        <v>0</v>
      </c>
      <c r="U1990">
        <v>0</v>
      </c>
      <c r="W1990" t="s">
        <v>62</v>
      </c>
      <c r="AP1990" t="s">
        <v>94</v>
      </c>
    </row>
    <row r="1991" spans="1:42" x14ac:dyDescent="0.35">
      <c r="A1991" t="s">
        <v>45</v>
      </c>
      <c r="B1991" t="s">
        <v>4392</v>
      </c>
      <c r="C1991" t="s">
        <v>58</v>
      </c>
      <c r="D1991" t="s">
        <v>4476</v>
      </c>
      <c r="E1991" t="s">
        <v>4476</v>
      </c>
      <c r="F1991" t="s">
        <v>49</v>
      </c>
      <c r="G1991" t="s">
        <v>4477</v>
      </c>
      <c r="H1991" t="s">
        <v>4481</v>
      </c>
      <c r="J1991" t="str">
        <f>HYPERLINK("https://www.youtube.com/watch?v=9h2vI9n4bpg&amp;lc=UgwBsxX0PUPC4iWMh2B4AaABAg","https://www.youtube.com/watch?v=9h2vI9n4bpg&amp;lc=UgwBsxX0PUPC4iWMh2B4AaABAg")</f>
        <v>https://www.youtube.com/watch?v=9h2vI9n4bpg&amp;lc=UgwBsxX0PUPC4iWMh2B4AaABAg</v>
      </c>
      <c r="O1991">
        <v>0</v>
      </c>
      <c r="P1991">
        <v>0</v>
      </c>
      <c r="Q1991">
        <v>0</v>
      </c>
      <c r="S1991">
        <v>0</v>
      </c>
      <c r="T1991">
        <v>0</v>
      </c>
      <c r="U1991">
        <v>0</v>
      </c>
      <c r="W1991" t="s">
        <v>62</v>
      </c>
      <c r="AP1991" t="s">
        <v>94</v>
      </c>
    </row>
    <row r="1992" spans="1:42" x14ac:dyDescent="0.35">
      <c r="A1992" t="s">
        <v>45</v>
      </c>
      <c r="B1992" t="s">
        <v>4392</v>
      </c>
      <c r="C1992" t="s">
        <v>58</v>
      </c>
      <c r="D1992" t="s">
        <v>4476</v>
      </c>
      <c r="E1992" t="s">
        <v>4476</v>
      </c>
      <c r="F1992" t="s">
        <v>49</v>
      </c>
      <c r="G1992" t="s">
        <v>4477</v>
      </c>
      <c r="H1992" t="s">
        <v>4482</v>
      </c>
      <c r="J1992" t="str">
        <f>HYPERLINK("https://www.youtube.com/watch?v=ga7wAGJ9iFk&amp;lc=UgzYL9PGfP_7TBBnL5J4AaABAg","https://www.youtube.com/watch?v=ga7wAGJ9iFk&amp;lc=UgzYL9PGfP_7TBBnL5J4AaABAg")</f>
        <v>https://www.youtube.com/watch?v=ga7wAGJ9iFk&amp;lc=UgzYL9PGfP_7TBBnL5J4AaABAg</v>
      </c>
      <c r="O1992">
        <v>0</v>
      </c>
      <c r="P1992">
        <v>0</v>
      </c>
      <c r="Q1992">
        <v>0</v>
      </c>
      <c r="S1992">
        <v>0</v>
      </c>
      <c r="T1992">
        <v>0</v>
      </c>
      <c r="U1992">
        <v>0</v>
      </c>
      <c r="W1992" t="s">
        <v>62</v>
      </c>
      <c r="AP1992" t="s">
        <v>94</v>
      </c>
    </row>
    <row r="1993" spans="1:42" x14ac:dyDescent="0.35">
      <c r="A1993" t="s">
        <v>45</v>
      </c>
      <c r="B1993" t="s">
        <v>4392</v>
      </c>
      <c r="C1993" t="s">
        <v>58</v>
      </c>
      <c r="D1993" t="s">
        <v>4476</v>
      </c>
      <c r="E1993" t="s">
        <v>4476</v>
      </c>
      <c r="F1993" t="s">
        <v>49</v>
      </c>
      <c r="G1993" t="s">
        <v>4477</v>
      </c>
      <c r="H1993" t="s">
        <v>4483</v>
      </c>
      <c r="J1993" t="str">
        <f>HYPERLINK("https://www.youtube.com/watch?v=1mn3dk7wuRI&amp;lc=UgzYtcpG96cjCGB832p4AaABAg","https://www.youtube.com/watch?v=1mn3dk7wuRI&amp;lc=UgzYtcpG96cjCGB832p4AaABAg")</f>
        <v>https://www.youtube.com/watch?v=1mn3dk7wuRI&amp;lc=UgzYtcpG96cjCGB832p4AaABAg</v>
      </c>
      <c r="O1993">
        <v>0</v>
      </c>
      <c r="P1993">
        <v>0</v>
      </c>
      <c r="Q1993">
        <v>0</v>
      </c>
      <c r="S1993">
        <v>0</v>
      </c>
      <c r="T1993">
        <v>0</v>
      </c>
      <c r="U1993">
        <v>0</v>
      </c>
      <c r="W1993" t="s">
        <v>62</v>
      </c>
      <c r="AP1993" t="s">
        <v>94</v>
      </c>
    </row>
    <row r="1994" spans="1:42" x14ac:dyDescent="0.35">
      <c r="A1994" t="s">
        <v>45</v>
      </c>
      <c r="B1994" t="s">
        <v>4392</v>
      </c>
      <c r="C1994" t="s">
        <v>58</v>
      </c>
      <c r="D1994" t="s">
        <v>4476</v>
      </c>
      <c r="E1994" t="s">
        <v>4476</v>
      </c>
      <c r="F1994" t="s">
        <v>142</v>
      </c>
      <c r="G1994" t="s">
        <v>4484</v>
      </c>
      <c r="H1994" t="s">
        <v>4485</v>
      </c>
      <c r="J1994" t="str">
        <f>HYPERLINK("https://www.youtube.com/watch?v=uIKLPIGHaTc&amp;lc=Ugy5P_ZAPcpJNv_yKCV4AaABAg","https://www.youtube.com/watch?v=uIKLPIGHaTc&amp;lc=Ugy5P_ZAPcpJNv_yKCV4AaABAg")</f>
        <v>https://www.youtube.com/watch?v=uIKLPIGHaTc&amp;lc=Ugy5P_ZAPcpJNv_yKCV4AaABAg</v>
      </c>
      <c r="O1994">
        <v>0</v>
      </c>
      <c r="P1994">
        <v>0</v>
      </c>
      <c r="Q1994">
        <v>0</v>
      </c>
      <c r="S1994">
        <v>0</v>
      </c>
      <c r="T1994">
        <v>0</v>
      </c>
      <c r="U1994">
        <v>0</v>
      </c>
      <c r="W1994" t="s">
        <v>62</v>
      </c>
    </row>
    <row r="1995" spans="1:42" x14ac:dyDescent="0.35">
      <c r="A1995" t="s">
        <v>45</v>
      </c>
      <c r="B1995" t="s">
        <v>4392</v>
      </c>
      <c r="C1995" t="s">
        <v>47</v>
      </c>
      <c r="F1995" t="s">
        <v>76</v>
      </c>
      <c r="G1995" t="s">
        <v>4486</v>
      </c>
      <c r="H1995" t="s">
        <v>4487</v>
      </c>
      <c r="J1995" t="str">
        <f>HYPERLINK("https://www.facebook.com/25261577743427560_10163448013313574","https://www.facebook.com/25261577743427560_10163448013313574")</f>
        <v>https://www.facebook.com/25261577743427560_10163448013313574</v>
      </c>
      <c r="O1995">
        <v>0</v>
      </c>
      <c r="P1995">
        <v>0</v>
      </c>
      <c r="Q1995">
        <v>0</v>
      </c>
      <c r="S1995">
        <v>0</v>
      </c>
      <c r="T1995">
        <v>0</v>
      </c>
      <c r="U1995">
        <v>0</v>
      </c>
      <c r="W1995" t="s">
        <v>106</v>
      </c>
    </row>
    <row r="1996" spans="1:42" x14ac:dyDescent="0.35">
      <c r="A1996" t="s">
        <v>45</v>
      </c>
      <c r="B1996" t="s">
        <v>4392</v>
      </c>
      <c r="C1996" t="s">
        <v>47</v>
      </c>
      <c r="D1996" t="s">
        <v>4488</v>
      </c>
      <c r="E1996" t="s">
        <v>4488</v>
      </c>
      <c r="F1996" t="s">
        <v>49</v>
      </c>
      <c r="G1996" t="s">
        <v>4489</v>
      </c>
      <c r="H1996" t="s">
        <v>4490</v>
      </c>
      <c r="J1996" t="str">
        <f>HYPERLINK("https://www.facebook.com/454965103328545/posts/773156588176060?comment_id=770429508393347","https://www.facebook.com/454965103328545/posts/773156588176060?comment_id=770429508393347")</f>
        <v>https://www.facebook.com/454965103328545/posts/773156588176060?comment_id=770429508393347</v>
      </c>
      <c r="O1996">
        <v>0</v>
      </c>
      <c r="P1996">
        <v>0</v>
      </c>
      <c r="Q1996">
        <v>0</v>
      </c>
      <c r="S1996">
        <v>0</v>
      </c>
      <c r="T1996">
        <v>0</v>
      </c>
      <c r="U1996">
        <v>0</v>
      </c>
      <c r="W1996" t="s">
        <v>62</v>
      </c>
    </row>
    <row r="1997" spans="1:42" x14ac:dyDescent="0.35">
      <c r="A1997" t="s">
        <v>45</v>
      </c>
      <c r="B1997" t="s">
        <v>4392</v>
      </c>
      <c r="C1997" t="s">
        <v>47</v>
      </c>
      <c r="D1997" t="s">
        <v>3912</v>
      </c>
      <c r="E1997" t="s">
        <v>3912</v>
      </c>
      <c r="F1997" t="s">
        <v>49</v>
      </c>
      <c r="G1997" t="s">
        <v>4491</v>
      </c>
      <c r="H1997" t="s">
        <v>4492</v>
      </c>
      <c r="J1997" t="str">
        <f>HYPERLINK("https://www.facebook.com/357267201017935/inbox/6704881606256431/","https://www.facebook.com/357267201017935/inbox/6704881606256431/")</f>
        <v>https://www.facebook.com/357267201017935/inbox/6704881606256431/</v>
      </c>
      <c r="O1997">
        <v>0</v>
      </c>
      <c r="P1997">
        <v>0</v>
      </c>
      <c r="Q1997">
        <v>0</v>
      </c>
      <c r="S1997">
        <v>0</v>
      </c>
      <c r="T1997">
        <v>0</v>
      </c>
      <c r="U1997">
        <v>0</v>
      </c>
      <c r="W1997" t="s">
        <v>52</v>
      </c>
    </row>
    <row r="1998" spans="1:42" x14ac:dyDescent="0.35">
      <c r="A1998" t="s">
        <v>45</v>
      </c>
      <c r="B1998" t="s">
        <v>4392</v>
      </c>
      <c r="C1998" t="s">
        <v>47</v>
      </c>
      <c r="D1998" t="s">
        <v>4493</v>
      </c>
      <c r="E1998" t="s">
        <v>4493</v>
      </c>
      <c r="F1998" t="s">
        <v>49</v>
      </c>
      <c r="G1998" t="s">
        <v>4494</v>
      </c>
      <c r="H1998" t="s">
        <v>4495</v>
      </c>
      <c r="J1998" t="str">
        <f>HYPERLINK("https://www.facebook.com/357267201017935/inbox/7091827300895191/","https://www.facebook.com/357267201017935/inbox/7091827300895191/")</f>
        <v>https://www.facebook.com/357267201017935/inbox/7091827300895191/</v>
      </c>
      <c r="O1998">
        <v>0</v>
      </c>
      <c r="P1998">
        <v>0</v>
      </c>
      <c r="Q1998">
        <v>0</v>
      </c>
      <c r="S1998">
        <v>0</v>
      </c>
      <c r="T1998">
        <v>0</v>
      </c>
      <c r="U1998">
        <v>0</v>
      </c>
      <c r="W1998" t="s">
        <v>52</v>
      </c>
    </row>
    <row r="1999" spans="1:42" x14ac:dyDescent="0.35">
      <c r="A1999" t="s">
        <v>45</v>
      </c>
      <c r="B1999" t="s">
        <v>4392</v>
      </c>
      <c r="C1999" t="s">
        <v>102</v>
      </c>
      <c r="D1999" t="s">
        <v>4496</v>
      </c>
      <c r="E1999" t="s">
        <v>4496</v>
      </c>
      <c r="F1999" t="s">
        <v>76</v>
      </c>
      <c r="G1999" t="s">
        <v>4497</v>
      </c>
      <c r="H1999" t="s">
        <v>4498</v>
      </c>
      <c r="J1999" t="str">
        <f>HYPERLINK("https://www.linkedin.com/feed/update/urn:li:ugcPost:7168123255260741634","https://www.linkedin.com/feed/update/urn:li:ugcPost:7168123255260741634")</f>
        <v>https://www.linkedin.com/feed/update/urn:li:ugcPost:7168123255260741634</v>
      </c>
      <c r="O1999">
        <v>0</v>
      </c>
      <c r="P1999">
        <v>0</v>
      </c>
      <c r="Q1999">
        <v>0</v>
      </c>
      <c r="S1999">
        <v>0</v>
      </c>
      <c r="T1999">
        <v>0</v>
      </c>
      <c r="U1999">
        <v>0</v>
      </c>
      <c r="W1999" t="s">
        <v>106</v>
      </c>
    </row>
    <row r="2000" spans="1:42" x14ac:dyDescent="0.35">
      <c r="A2000" t="s">
        <v>45</v>
      </c>
      <c r="B2000" t="s">
        <v>4392</v>
      </c>
      <c r="C2000" t="s">
        <v>47</v>
      </c>
      <c r="D2000" t="s">
        <v>4499</v>
      </c>
      <c r="E2000" t="s">
        <v>4499</v>
      </c>
      <c r="F2000" t="s">
        <v>49</v>
      </c>
      <c r="G2000" t="s">
        <v>4500</v>
      </c>
      <c r="H2000" t="s">
        <v>4501</v>
      </c>
      <c r="J2000" t="str">
        <f>HYPERLINK("https://www.facebook.com/357267201017935/posts/3069910089753619/?comment_id=7475987255796367","https://www.facebook.com/357267201017935/posts/3069910089753619/?comment_id=7475987255796367")</f>
        <v>https://www.facebook.com/357267201017935/posts/3069910089753619/?comment_id=7475987255796367</v>
      </c>
      <c r="O2000">
        <v>0</v>
      </c>
      <c r="P2000">
        <v>0</v>
      </c>
      <c r="Q2000">
        <v>0</v>
      </c>
      <c r="S2000">
        <v>0</v>
      </c>
      <c r="T2000">
        <v>0</v>
      </c>
      <c r="U2000">
        <v>0</v>
      </c>
      <c r="W2000" t="s">
        <v>62</v>
      </c>
    </row>
    <row r="2001" spans="1:42" x14ac:dyDescent="0.35">
      <c r="A2001" t="s">
        <v>45</v>
      </c>
      <c r="B2001" t="s">
        <v>4392</v>
      </c>
      <c r="C2001" t="s">
        <v>139</v>
      </c>
      <c r="D2001" t="s">
        <v>190</v>
      </c>
      <c r="E2001" t="s">
        <v>45</v>
      </c>
      <c r="F2001" t="s">
        <v>49</v>
      </c>
      <c r="G2001" t="s">
        <v>4502</v>
      </c>
      <c r="H2001" t="s">
        <v>4503</v>
      </c>
      <c r="J2001" t="str">
        <f>HYPERLINK("https://twitter.com/FinoPaymntsBank/status/1762333323215712700","https://twitter.com/FinoPaymntsBank/status/1762333323215712700")</f>
        <v>https://twitter.com/FinoPaymntsBank/status/1762333323215712700</v>
      </c>
      <c r="K2001" t="s">
        <v>145</v>
      </c>
      <c r="O2001">
        <v>0</v>
      </c>
      <c r="P2001">
        <v>0</v>
      </c>
      <c r="Q2001">
        <v>8397</v>
      </c>
      <c r="R2001" t="s">
        <v>193</v>
      </c>
      <c r="S2001">
        <v>0</v>
      </c>
      <c r="T2001">
        <v>0</v>
      </c>
      <c r="U2001">
        <v>0</v>
      </c>
      <c r="W2001" t="s">
        <v>146</v>
      </c>
    </row>
    <row r="2002" spans="1:42" x14ac:dyDescent="0.35">
      <c r="A2002" t="s">
        <v>45</v>
      </c>
      <c r="B2002" t="s">
        <v>4392</v>
      </c>
      <c r="C2002" t="s">
        <v>58</v>
      </c>
      <c r="D2002" t="s">
        <v>3440</v>
      </c>
      <c r="E2002" t="s">
        <v>3440</v>
      </c>
      <c r="F2002" t="s">
        <v>49</v>
      </c>
      <c r="G2002" t="s">
        <v>4504</v>
      </c>
      <c r="H2002" t="s">
        <v>4505</v>
      </c>
      <c r="J2002" t="str">
        <f>HYPERLINK("https://www.youtube.com/watch?v=woX69t9AxFU","https://www.youtube.com/watch?v=woX69t9AxFU")</f>
        <v>https://www.youtube.com/watch?v=woX69t9AxFU</v>
      </c>
      <c r="O2002">
        <v>0</v>
      </c>
      <c r="P2002">
        <v>0</v>
      </c>
      <c r="Q2002">
        <v>0</v>
      </c>
      <c r="S2002">
        <v>0</v>
      </c>
      <c r="T2002">
        <v>0</v>
      </c>
      <c r="U2002">
        <v>0</v>
      </c>
      <c r="W2002" t="s">
        <v>106</v>
      </c>
      <c r="AP2002" t="s">
        <v>101</v>
      </c>
    </row>
    <row r="2003" spans="1:42" x14ac:dyDescent="0.35">
      <c r="A2003" t="s">
        <v>45</v>
      </c>
      <c r="B2003" t="s">
        <v>4392</v>
      </c>
      <c r="C2003" t="s">
        <v>139</v>
      </c>
      <c r="D2003" t="s">
        <v>942</v>
      </c>
      <c r="E2003" t="s">
        <v>943</v>
      </c>
      <c r="F2003" t="s">
        <v>49</v>
      </c>
      <c r="G2003" t="s">
        <v>4506</v>
      </c>
      <c r="H2003" t="s">
        <v>4507</v>
      </c>
      <c r="J2003" t="str">
        <f>HYPERLINK("https://twitter.com/rajendras1819/status/1762323643567403043","https://twitter.com/rajendras1819/status/1762323643567403043")</f>
        <v>https://twitter.com/rajendras1819/status/1762323643567403043</v>
      </c>
      <c r="O2003">
        <v>0</v>
      </c>
      <c r="P2003">
        <v>0</v>
      </c>
      <c r="Q2003">
        <v>256</v>
      </c>
      <c r="R2003" t="s">
        <v>946</v>
      </c>
      <c r="S2003">
        <v>0</v>
      </c>
      <c r="T2003">
        <v>0</v>
      </c>
      <c r="U2003">
        <v>0</v>
      </c>
      <c r="W2003" t="s">
        <v>552</v>
      </c>
    </row>
    <row r="2004" spans="1:42" x14ac:dyDescent="0.35">
      <c r="A2004" t="s">
        <v>45</v>
      </c>
      <c r="B2004" t="s">
        <v>4392</v>
      </c>
      <c r="C2004" t="s">
        <v>139</v>
      </c>
      <c r="D2004" t="s">
        <v>942</v>
      </c>
      <c r="E2004" t="s">
        <v>943</v>
      </c>
      <c r="F2004" t="s">
        <v>49</v>
      </c>
      <c r="G2004" t="s">
        <v>4508</v>
      </c>
      <c r="H2004" t="s">
        <v>4509</v>
      </c>
      <c r="J2004" t="str">
        <f>HYPERLINK("https://twitter.com/rajendras1819/status/1762323571127570700","https://twitter.com/rajendras1819/status/1762323571127570700")</f>
        <v>https://twitter.com/rajendras1819/status/1762323571127570700</v>
      </c>
      <c r="O2004">
        <v>0</v>
      </c>
      <c r="P2004">
        <v>0</v>
      </c>
      <c r="Q2004">
        <v>256</v>
      </c>
      <c r="R2004" t="s">
        <v>946</v>
      </c>
      <c r="S2004">
        <v>0</v>
      </c>
      <c r="T2004">
        <v>0</v>
      </c>
      <c r="U2004">
        <v>0</v>
      </c>
      <c r="W2004" t="s">
        <v>552</v>
      </c>
    </row>
    <row r="2005" spans="1:42" x14ac:dyDescent="0.35">
      <c r="A2005" t="s">
        <v>45</v>
      </c>
      <c r="B2005" t="s">
        <v>4392</v>
      </c>
      <c r="C2005" t="s">
        <v>47</v>
      </c>
      <c r="D2005" t="s">
        <v>4510</v>
      </c>
      <c r="E2005" t="s">
        <v>4510</v>
      </c>
      <c r="F2005" t="s">
        <v>49</v>
      </c>
      <c r="G2005" t="s">
        <v>253</v>
      </c>
      <c r="H2005" t="s">
        <v>4511</v>
      </c>
      <c r="J2005" t="str">
        <f>HYPERLINK("https://www.facebook.com/357267201017935/inbox/7091255517619036/","https://www.facebook.com/357267201017935/inbox/7091255517619036/")</f>
        <v>https://www.facebook.com/357267201017935/inbox/7091255517619036/</v>
      </c>
      <c r="O2005">
        <v>0</v>
      </c>
      <c r="P2005">
        <v>0</v>
      </c>
      <c r="Q2005">
        <v>0</v>
      </c>
      <c r="S2005">
        <v>0</v>
      </c>
      <c r="T2005">
        <v>0</v>
      </c>
      <c r="U2005">
        <v>0</v>
      </c>
      <c r="W2005" t="s">
        <v>52</v>
      </c>
    </row>
    <row r="2006" spans="1:42" x14ac:dyDescent="0.35">
      <c r="A2006" t="s">
        <v>45</v>
      </c>
      <c r="B2006" t="s">
        <v>4392</v>
      </c>
      <c r="C2006" t="s">
        <v>58</v>
      </c>
      <c r="D2006" t="s">
        <v>3259</v>
      </c>
      <c r="E2006" t="s">
        <v>3259</v>
      </c>
      <c r="F2006" t="s">
        <v>49</v>
      </c>
      <c r="G2006" t="s">
        <v>4512</v>
      </c>
      <c r="H2006" t="s">
        <v>4513</v>
      </c>
      <c r="J2006" t="str">
        <f>HYPERLINK("https://www.youtube.com/watch?v=KSbqGNVAcuY","https://www.youtube.com/watch?v=KSbqGNVAcuY")</f>
        <v>https://www.youtube.com/watch?v=KSbqGNVAcuY</v>
      </c>
      <c r="O2006">
        <v>0</v>
      </c>
      <c r="P2006">
        <v>0</v>
      </c>
      <c r="Q2006">
        <v>0</v>
      </c>
      <c r="S2006">
        <v>0</v>
      </c>
      <c r="T2006">
        <v>0</v>
      </c>
      <c r="U2006">
        <v>0</v>
      </c>
      <c r="W2006" t="s">
        <v>106</v>
      </c>
      <c r="AP2006" t="s">
        <v>101</v>
      </c>
    </row>
    <row r="2007" spans="1:42" x14ac:dyDescent="0.35">
      <c r="A2007" t="s">
        <v>45</v>
      </c>
      <c r="B2007" t="s">
        <v>4392</v>
      </c>
      <c r="C2007" t="s">
        <v>63</v>
      </c>
      <c r="D2007" t="s">
        <v>186</v>
      </c>
      <c r="E2007" t="s">
        <v>186</v>
      </c>
      <c r="F2007" t="s">
        <v>49</v>
      </c>
      <c r="G2007" t="s">
        <v>4514</v>
      </c>
      <c r="H2007" t="s">
        <v>4515</v>
      </c>
      <c r="J2007" t="str">
        <f>HYPERLINK("https://www.instagram.com/p/C31f2NsB8Su/","https://www.instagram.com/p/C31f2NsB8Su/")</f>
        <v>https://www.instagram.com/p/C31f2NsB8Su/</v>
      </c>
      <c r="O2007">
        <v>0</v>
      </c>
      <c r="P2007">
        <v>0</v>
      </c>
      <c r="Q2007">
        <v>0</v>
      </c>
      <c r="S2007">
        <v>0</v>
      </c>
      <c r="T2007">
        <v>38</v>
      </c>
      <c r="U2007">
        <v>0</v>
      </c>
      <c r="W2007" t="s">
        <v>106</v>
      </c>
    </row>
    <row r="2008" spans="1:42" x14ac:dyDescent="0.35">
      <c r="A2008" t="s">
        <v>45</v>
      </c>
      <c r="B2008" t="s">
        <v>4392</v>
      </c>
      <c r="C2008" t="s">
        <v>47</v>
      </c>
      <c r="D2008" t="s">
        <v>45</v>
      </c>
      <c r="E2008" t="s">
        <v>45</v>
      </c>
      <c r="F2008" t="s">
        <v>49</v>
      </c>
      <c r="G2008" t="s">
        <v>4516</v>
      </c>
      <c r="H2008" t="s">
        <v>4517</v>
      </c>
      <c r="J2008" t="str">
        <f>HYPERLINK("https://www.facebook.com/357267201017935_773156588176060","https://www.facebook.com/357267201017935_773156588176060")</f>
        <v>https://www.facebook.com/357267201017935_773156588176060</v>
      </c>
      <c r="O2008">
        <v>0</v>
      </c>
      <c r="P2008">
        <v>0</v>
      </c>
      <c r="Q2008">
        <v>0</v>
      </c>
      <c r="S2008">
        <v>3</v>
      </c>
      <c r="T2008">
        <v>39</v>
      </c>
      <c r="U2008">
        <v>0</v>
      </c>
      <c r="W2008" t="s">
        <v>106</v>
      </c>
    </row>
    <row r="2009" spans="1:42" x14ac:dyDescent="0.35">
      <c r="A2009" t="s">
        <v>45</v>
      </c>
      <c r="B2009" t="s">
        <v>4392</v>
      </c>
      <c r="C2009" t="s">
        <v>139</v>
      </c>
      <c r="D2009" t="s">
        <v>190</v>
      </c>
      <c r="E2009" t="s">
        <v>45</v>
      </c>
      <c r="F2009" t="s">
        <v>49</v>
      </c>
      <c r="G2009" t="s">
        <v>4508</v>
      </c>
      <c r="H2009" t="s">
        <v>4518</v>
      </c>
      <c r="J2009" t="str">
        <f>HYPERLINK("https://twitter.com/FinoPaymntsBank/status/1762319141061677282","https://twitter.com/FinoPaymntsBank/status/1762319141061677282")</f>
        <v>https://twitter.com/FinoPaymntsBank/status/1762319141061677282</v>
      </c>
      <c r="K2009" t="s">
        <v>145</v>
      </c>
      <c r="O2009">
        <v>0</v>
      </c>
      <c r="P2009">
        <v>0</v>
      </c>
      <c r="Q2009">
        <v>8397</v>
      </c>
      <c r="R2009" t="s">
        <v>193</v>
      </c>
      <c r="S2009">
        <v>0</v>
      </c>
      <c r="T2009">
        <v>0</v>
      </c>
      <c r="U2009">
        <v>0</v>
      </c>
      <c r="W2009" t="s">
        <v>146</v>
      </c>
    </row>
    <row r="2010" spans="1:42" x14ac:dyDescent="0.35">
      <c r="A2010" t="s">
        <v>45</v>
      </c>
      <c r="B2010" t="s">
        <v>4392</v>
      </c>
      <c r="C2010" t="s">
        <v>47</v>
      </c>
      <c r="D2010" t="s">
        <v>4519</v>
      </c>
      <c r="E2010" t="s">
        <v>4519</v>
      </c>
      <c r="F2010" t="s">
        <v>49</v>
      </c>
      <c r="G2010" t="s">
        <v>4520</v>
      </c>
      <c r="H2010" t="s">
        <v>4521</v>
      </c>
      <c r="J2010" t="str">
        <f>HYPERLINK("https://www.facebook.com/357267201017935/inbox/7091174697627118/","https://www.facebook.com/357267201017935/inbox/7091174697627118/")</f>
        <v>https://www.facebook.com/357267201017935/inbox/7091174697627118/</v>
      </c>
      <c r="O2010">
        <v>0</v>
      </c>
      <c r="P2010">
        <v>0</v>
      </c>
      <c r="Q2010">
        <v>0</v>
      </c>
      <c r="S2010">
        <v>0</v>
      </c>
      <c r="T2010">
        <v>0</v>
      </c>
      <c r="U2010">
        <v>0</v>
      </c>
      <c r="W2010" t="s">
        <v>52</v>
      </c>
    </row>
    <row r="2011" spans="1:42" x14ac:dyDescent="0.35">
      <c r="A2011" t="s">
        <v>45</v>
      </c>
      <c r="B2011" t="s">
        <v>4392</v>
      </c>
      <c r="C2011" t="s">
        <v>47</v>
      </c>
      <c r="D2011" t="s">
        <v>4519</v>
      </c>
      <c r="E2011" t="s">
        <v>4519</v>
      </c>
      <c r="F2011" t="s">
        <v>49</v>
      </c>
      <c r="G2011" t="s">
        <v>4522</v>
      </c>
      <c r="H2011" t="s">
        <v>4523</v>
      </c>
      <c r="J2011" t="str">
        <f>HYPERLINK("https://www.facebook.com/357267201017935/inbox/7091174697627118/","https://www.facebook.com/357267201017935/inbox/7091174697627118/")</f>
        <v>https://www.facebook.com/357267201017935/inbox/7091174697627118/</v>
      </c>
      <c r="O2011">
        <v>0</v>
      </c>
      <c r="P2011">
        <v>0</v>
      </c>
      <c r="Q2011">
        <v>0</v>
      </c>
      <c r="S2011">
        <v>0</v>
      </c>
      <c r="T2011">
        <v>0</v>
      </c>
      <c r="U2011">
        <v>0</v>
      </c>
      <c r="W2011" t="s">
        <v>52</v>
      </c>
    </row>
    <row r="2012" spans="1:42" x14ac:dyDescent="0.35">
      <c r="A2012" t="s">
        <v>45</v>
      </c>
      <c r="B2012" t="s">
        <v>4392</v>
      </c>
      <c r="C2012" t="s">
        <v>63</v>
      </c>
      <c r="D2012" t="s">
        <v>186</v>
      </c>
      <c r="E2012" t="s">
        <v>186</v>
      </c>
      <c r="F2012" t="s">
        <v>49</v>
      </c>
      <c r="G2012" t="s">
        <v>4524</v>
      </c>
      <c r="H2012" t="s">
        <v>4525</v>
      </c>
      <c r="J2012" t="str">
        <f>HYPERLINK("https://www.instagram.com/p/C31Y-dyLuTw/","https://www.instagram.com/p/C31Y-dyLuTw/")</f>
        <v>https://www.instagram.com/p/C31Y-dyLuTw/</v>
      </c>
      <c r="O2012">
        <v>0</v>
      </c>
      <c r="P2012">
        <v>0</v>
      </c>
      <c r="Q2012">
        <v>0</v>
      </c>
      <c r="S2012">
        <v>0</v>
      </c>
      <c r="T2012">
        <v>68</v>
      </c>
      <c r="U2012">
        <v>0</v>
      </c>
      <c r="W2012" t="s">
        <v>106</v>
      </c>
    </row>
    <row r="2013" spans="1:42" x14ac:dyDescent="0.35">
      <c r="A2013" t="s">
        <v>45</v>
      </c>
      <c r="B2013" t="s">
        <v>4392</v>
      </c>
      <c r="C2013" t="s">
        <v>47</v>
      </c>
      <c r="D2013" t="s">
        <v>45</v>
      </c>
      <c r="E2013" t="s">
        <v>45</v>
      </c>
      <c r="F2013" t="s">
        <v>49</v>
      </c>
      <c r="G2013" t="s">
        <v>4524</v>
      </c>
      <c r="H2013" t="s">
        <v>4526</v>
      </c>
      <c r="J2013" t="str">
        <f>HYPERLINK("https://www.facebook.com/357267201017935_773143024844083","https://www.facebook.com/357267201017935_773143024844083")</f>
        <v>https://www.facebook.com/357267201017935_773143024844083</v>
      </c>
      <c r="O2013">
        <v>0</v>
      </c>
      <c r="P2013">
        <v>0</v>
      </c>
      <c r="Q2013">
        <v>0</v>
      </c>
      <c r="S2013">
        <v>0</v>
      </c>
      <c r="T2013">
        <v>31</v>
      </c>
      <c r="U2013">
        <v>0</v>
      </c>
      <c r="W2013" t="s">
        <v>106</v>
      </c>
    </row>
    <row r="2014" spans="1:42" x14ac:dyDescent="0.35">
      <c r="A2014" t="s">
        <v>45</v>
      </c>
      <c r="B2014" t="s">
        <v>4392</v>
      </c>
      <c r="C2014" t="s">
        <v>139</v>
      </c>
      <c r="D2014" t="s">
        <v>4527</v>
      </c>
      <c r="E2014" t="s">
        <v>4528</v>
      </c>
      <c r="F2014" t="s">
        <v>49</v>
      </c>
      <c r="G2014" t="s">
        <v>4529</v>
      </c>
      <c r="H2014" t="s">
        <v>4530</v>
      </c>
      <c r="J2014" t="str">
        <f>HYPERLINK("https://twitter.com/fizzleroxx/status/1762188015462408581","https://twitter.com/fizzleroxx/status/1762188015462408581")</f>
        <v>https://twitter.com/fizzleroxx/status/1762188015462408581</v>
      </c>
      <c r="O2014">
        <v>0</v>
      </c>
      <c r="P2014">
        <v>0</v>
      </c>
      <c r="Q2014">
        <v>159</v>
      </c>
      <c r="R2014" t="s">
        <v>1247</v>
      </c>
      <c r="S2014">
        <v>0</v>
      </c>
      <c r="T2014">
        <v>0</v>
      </c>
      <c r="U2014">
        <v>0</v>
      </c>
      <c r="W2014" t="s">
        <v>146</v>
      </c>
    </row>
    <row r="2015" spans="1:42" x14ac:dyDescent="0.35">
      <c r="A2015" t="s">
        <v>45</v>
      </c>
      <c r="B2015" t="s">
        <v>4392</v>
      </c>
      <c r="C2015" t="s">
        <v>139</v>
      </c>
      <c r="D2015" t="s">
        <v>4527</v>
      </c>
      <c r="E2015" t="s">
        <v>4528</v>
      </c>
      <c r="F2015" t="s">
        <v>142</v>
      </c>
      <c r="G2015" t="s">
        <v>4531</v>
      </c>
      <c r="H2015" t="s">
        <v>4532</v>
      </c>
      <c r="J2015" t="str">
        <f>HYPERLINK("https://twitter.com/fizzleroxx/status/1762187826546827551","https://twitter.com/fizzleroxx/status/1762187826546827551")</f>
        <v>https://twitter.com/fizzleroxx/status/1762187826546827551</v>
      </c>
      <c r="O2015">
        <v>0</v>
      </c>
      <c r="P2015">
        <v>0</v>
      </c>
      <c r="Q2015">
        <v>159</v>
      </c>
      <c r="R2015" t="s">
        <v>1247</v>
      </c>
      <c r="S2015">
        <v>0</v>
      </c>
      <c r="T2015">
        <v>0</v>
      </c>
      <c r="U2015">
        <v>0</v>
      </c>
      <c r="W2015" t="s">
        <v>552</v>
      </c>
    </row>
    <row r="2016" spans="1:42" x14ac:dyDescent="0.35">
      <c r="A2016" t="s">
        <v>45</v>
      </c>
      <c r="B2016" t="s">
        <v>4533</v>
      </c>
      <c r="C2016" t="s">
        <v>139</v>
      </c>
      <c r="D2016" t="s">
        <v>4534</v>
      </c>
      <c r="E2016" t="s">
        <v>4535</v>
      </c>
      <c r="F2016" t="s">
        <v>142</v>
      </c>
      <c r="G2016" t="s">
        <v>4531</v>
      </c>
      <c r="H2016" t="s">
        <v>4536</v>
      </c>
      <c r="J2016" t="str">
        <f>HYPERLINK("https://twitter.com/kshitij0710/status/1762177301842907522","https://twitter.com/kshitij0710/status/1762177301842907522")</f>
        <v>https://twitter.com/kshitij0710/status/1762177301842907522</v>
      </c>
      <c r="K2016" t="s">
        <v>145</v>
      </c>
      <c r="O2016">
        <v>0</v>
      </c>
      <c r="P2016">
        <v>0</v>
      </c>
      <c r="Q2016">
        <v>68</v>
      </c>
      <c r="S2016">
        <v>0</v>
      </c>
      <c r="T2016">
        <v>0</v>
      </c>
      <c r="U2016">
        <v>0</v>
      </c>
      <c r="W2016" t="s">
        <v>552</v>
      </c>
    </row>
    <row r="2017" spans="1:42" x14ac:dyDescent="0.35">
      <c r="A2017" t="s">
        <v>45</v>
      </c>
      <c r="B2017" t="s">
        <v>4533</v>
      </c>
      <c r="C2017" t="s">
        <v>139</v>
      </c>
      <c r="D2017" t="s">
        <v>4537</v>
      </c>
      <c r="E2017" t="s">
        <v>4538</v>
      </c>
      <c r="F2017" t="s">
        <v>142</v>
      </c>
      <c r="G2017" t="s">
        <v>4531</v>
      </c>
      <c r="H2017" t="s">
        <v>4539</v>
      </c>
      <c r="J2017" t="str">
        <f>HYPERLINK("https://twitter.com/NMaster32862/status/1762173794884472960","https://twitter.com/NMaster32862/status/1762173794884472960")</f>
        <v>https://twitter.com/NMaster32862/status/1762173794884472960</v>
      </c>
      <c r="O2017">
        <v>0</v>
      </c>
      <c r="P2017">
        <v>0</v>
      </c>
      <c r="Q2017">
        <v>2</v>
      </c>
      <c r="S2017">
        <v>0</v>
      </c>
      <c r="T2017">
        <v>0</v>
      </c>
      <c r="U2017">
        <v>0</v>
      </c>
      <c r="W2017" t="s">
        <v>552</v>
      </c>
    </row>
    <row r="2018" spans="1:42" x14ac:dyDescent="0.35">
      <c r="A2018" t="s">
        <v>45</v>
      </c>
      <c r="B2018" t="s">
        <v>4533</v>
      </c>
      <c r="C2018" t="s">
        <v>139</v>
      </c>
      <c r="D2018" t="s">
        <v>4540</v>
      </c>
      <c r="E2018" t="s">
        <v>4541</v>
      </c>
      <c r="F2018" t="s">
        <v>49</v>
      </c>
      <c r="G2018" t="s">
        <v>4542</v>
      </c>
      <c r="H2018" t="s">
        <v>4543</v>
      </c>
      <c r="J2018" t="str">
        <f>HYPERLINK("https://twitter.com/bipinyadav0704/status/1762173673681916127","https://twitter.com/bipinyadav0704/status/1762173673681916127")</f>
        <v>https://twitter.com/bipinyadav0704/status/1762173673681916127</v>
      </c>
      <c r="K2018" t="s">
        <v>145</v>
      </c>
      <c r="O2018">
        <v>0</v>
      </c>
      <c r="P2018">
        <v>0</v>
      </c>
      <c r="Q2018">
        <v>0</v>
      </c>
      <c r="S2018">
        <v>0</v>
      </c>
      <c r="T2018">
        <v>0</v>
      </c>
      <c r="U2018">
        <v>0</v>
      </c>
      <c r="W2018" t="s">
        <v>146</v>
      </c>
    </row>
    <row r="2019" spans="1:42" x14ac:dyDescent="0.35">
      <c r="A2019" t="s">
        <v>45</v>
      </c>
      <c r="B2019" t="s">
        <v>4533</v>
      </c>
      <c r="C2019" t="s">
        <v>139</v>
      </c>
      <c r="D2019" t="s">
        <v>4540</v>
      </c>
      <c r="E2019" t="s">
        <v>4541</v>
      </c>
      <c r="F2019" t="s">
        <v>142</v>
      </c>
      <c r="G2019" t="s">
        <v>4531</v>
      </c>
      <c r="H2019" t="s">
        <v>4544</v>
      </c>
      <c r="J2019" t="str">
        <f>HYPERLINK("https://twitter.com/bipinyadav0704/status/1762172159219355853","https://twitter.com/bipinyadav0704/status/1762172159219355853")</f>
        <v>https://twitter.com/bipinyadav0704/status/1762172159219355853</v>
      </c>
      <c r="K2019" t="s">
        <v>145</v>
      </c>
      <c r="O2019">
        <v>0</v>
      </c>
      <c r="P2019">
        <v>0</v>
      </c>
      <c r="Q2019">
        <v>0</v>
      </c>
      <c r="S2019">
        <v>0</v>
      </c>
      <c r="T2019">
        <v>0</v>
      </c>
      <c r="U2019">
        <v>0</v>
      </c>
      <c r="W2019" t="s">
        <v>552</v>
      </c>
    </row>
    <row r="2020" spans="1:42" x14ac:dyDescent="0.35">
      <c r="A2020" t="s">
        <v>45</v>
      </c>
      <c r="B2020" t="s">
        <v>4533</v>
      </c>
      <c r="C2020" t="s">
        <v>139</v>
      </c>
      <c r="D2020" t="s">
        <v>4545</v>
      </c>
      <c r="E2020" t="s">
        <v>4546</v>
      </c>
      <c r="F2020" t="s">
        <v>49</v>
      </c>
      <c r="G2020" t="s">
        <v>4547</v>
      </c>
      <c r="H2020" t="s">
        <v>4548</v>
      </c>
      <c r="J2020" t="str">
        <f>HYPERLINK("https://twitter.com/AnmolSingh73412/status/1762170544622030940","https://twitter.com/AnmolSingh73412/status/1762170544622030940")</f>
        <v>https://twitter.com/AnmolSingh73412/status/1762170544622030940</v>
      </c>
      <c r="K2020" t="s">
        <v>145</v>
      </c>
      <c r="O2020">
        <v>0</v>
      </c>
      <c r="P2020">
        <v>0</v>
      </c>
      <c r="Q2020">
        <v>4</v>
      </c>
      <c r="S2020">
        <v>0</v>
      </c>
      <c r="T2020">
        <v>0</v>
      </c>
      <c r="U2020">
        <v>0</v>
      </c>
      <c r="W2020" t="s">
        <v>552</v>
      </c>
    </row>
    <row r="2021" spans="1:42" x14ac:dyDescent="0.35">
      <c r="A2021" t="s">
        <v>45</v>
      </c>
      <c r="B2021" t="s">
        <v>4533</v>
      </c>
      <c r="C2021" t="s">
        <v>139</v>
      </c>
      <c r="D2021" t="s">
        <v>4545</v>
      </c>
      <c r="E2021" t="s">
        <v>4546</v>
      </c>
      <c r="F2021" t="s">
        <v>76</v>
      </c>
      <c r="G2021" t="s">
        <v>4549</v>
      </c>
      <c r="H2021" t="s">
        <v>4550</v>
      </c>
      <c r="J2021" t="str">
        <f>HYPERLINK("https://twitter.com/AnmolSingh73412/status/1762170531644903846","https://twitter.com/AnmolSingh73412/status/1762170531644903846")</f>
        <v>https://twitter.com/AnmolSingh73412/status/1762170531644903846</v>
      </c>
      <c r="K2021" t="s">
        <v>145</v>
      </c>
      <c r="O2021">
        <v>0</v>
      </c>
      <c r="P2021">
        <v>0</v>
      </c>
      <c r="Q2021">
        <v>4</v>
      </c>
      <c r="S2021">
        <v>0</v>
      </c>
      <c r="T2021">
        <v>0</v>
      </c>
      <c r="U2021">
        <v>0</v>
      </c>
      <c r="W2021" t="s">
        <v>552</v>
      </c>
    </row>
    <row r="2022" spans="1:42" x14ac:dyDescent="0.35">
      <c r="A2022" t="s">
        <v>45</v>
      </c>
      <c r="B2022" t="s">
        <v>4533</v>
      </c>
      <c r="C2022" t="s">
        <v>139</v>
      </c>
      <c r="D2022" t="s">
        <v>4545</v>
      </c>
      <c r="E2022" t="s">
        <v>4546</v>
      </c>
      <c r="F2022" t="s">
        <v>49</v>
      </c>
      <c r="G2022" t="s">
        <v>4551</v>
      </c>
      <c r="H2022" t="s">
        <v>4552</v>
      </c>
      <c r="J2022" t="str">
        <f>HYPERLINK("https://twitter.com/AnmolSingh73412/status/1762170524283900233","https://twitter.com/AnmolSingh73412/status/1762170524283900233")</f>
        <v>https://twitter.com/AnmolSingh73412/status/1762170524283900233</v>
      </c>
      <c r="K2022" t="s">
        <v>145</v>
      </c>
      <c r="O2022">
        <v>0</v>
      </c>
      <c r="P2022">
        <v>0</v>
      </c>
      <c r="Q2022">
        <v>4</v>
      </c>
      <c r="S2022">
        <v>0</v>
      </c>
      <c r="T2022">
        <v>0</v>
      </c>
      <c r="U2022">
        <v>0</v>
      </c>
      <c r="W2022" t="s">
        <v>552</v>
      </c>
      <c r="AP2022" t="s">
        <v>101</v>
      </c>
    </row>
    <row r="2023" spans="1:42" x14ac:dyDescent="0.35">
      <c r="A2023" t="s">
        <v>45</v>
      </c>
      <c r="B2023" t="s">
        <v>4533</v>
      </c>
      <c r="C2023" t="s">
        <v>139</v>
      </c>
      <c r="D2023" t="s">
        <v>4545</v>
      </c>
      <c r="E2023" t="s">
        <v>4546</v>
      </c>
      <c r="F2023" t="s">
        <v>142</v>
      </c>
      <c r="G2023" t="s">
        <v>4553</v>
      </c>
      <c r="H2023" t="s">
        <v>4554</v>
      </c>
      <c r="J2023" t="str">
        <f>HYPERLINK("https://twitter.com/AnmolSingh73412/status/1762170515610079294","https://twitter.com/AnmolSingh73412/status/1762170515610079294")</f>
        <v>https://twitter.com/AnmolSingh73412/status/1762170515610079294</v>
      </c>
      <c r="K2023" t="s">
        <v>145</v>
      </c>
      <c r="O2023">
        <v>0</v>
      </c>
      <c r="P2023">
        <v>0</v>
      </c>
      <c r="Q2023">
        <v>4</v>
      </c>
      <c r="S2023">
        <v>0</v>
      </c>
      <c r="T2023">
        <v>0</v>
      </c>
      <c r="U2023">
        <v>0</v>
      </c>
      <c r="W2023" t="s">
        <v>552</v>
      </c>
    </row>
    <row r="2024" spans="1:42" x14ac:dyDescent="0.35">
      <c r="A2024" t="s">
        <v>45</v>
      </c>
      <c r="B2024" t="s">
        <v>4533</v>
      </c>
      <c r="C2024" t="s">
        <v>139</v>
      </c>
      <c r="D2024" t="s">
        <v>4545</v>
      </c>
      <c r="E2024" t="s">
        <v>4546</v>
      </c>
      <c r="F2024" t="s">
        <v>76</v>
      </c>
      <c r="G2024" t="s">
        <v>4555</v>
      </c>
      <c r="H2024" t="s">
        <v>4556</v>
      </c>
      <c r="J2024" t="str">
        <f>HYPERLINK("https://twitter.com/AnmolSingh73412/status/1762170506906898804","https://twitter.com/AnmolSingh73412/status/1762170506906898804")</f>
        <v>https://twitter.com/AnmolSingh73412/status/1762170506906898804</v>
      </c>
      <c r="K2024" t="s">
        <v>145</v>
      </c>
      <c r="O2024">
        <v>0</v>
      </c>
      <c r="P2024">
        <v>0</v>
      </c>
      <c r="Q2024">
        <v>4</v>
      </c>
      <c r="S2024">
        <v>0</v>
      </c>
      <c r="T2024">
        <v>0</v>
      </c>
      <c r="U2024">
        <v>0</v>
      </c>
      <c r="W2024" t="s">
        <v>552</v>
      </c>
    </row>
    <row r="2025" spans="1:42" x14ac:dyDescent="0.35">
      <c r="A2025" t="s">
        <v>45</v>
      </c>
      <c r="B2025" t="s">
        <v>4533</v>
      </c>
      <c r="C2025" t="s">
        <v>139</v>
      </c>
      <c r="D2025" t="s">
        <v>4545</v>
      </c>
      <c r="E2025" t="s">
        <v>4546</v>
      </c>
      <c r="F2025" t="s">
        <v>49</v>
      </c>
      <c r="G2025" t="s">
        <v>4557</v>
      </c>
      <c r="H2025" t="s">
        <v>4558</v>
      </c>
      <c r="J2025" t="str">
        <f>HYPERLINK("https://twitter.com/AnmolSingh73412/status/1762170497817878862","https://twitter.com/AnmolSingh73412/status/1762170497817878862")</f>
        <v>https://twitter.com/AnmolSingh73412/status/1762170497817878862</v>
      </c>
      <c r="K2025" t="s">
        <v>145</v>
      </c>
      <c r="O2025">
        <v>0</v>
      </c>
      <c r="P2025">
        <v>0</v>
      </c>
      <c r="Q2025">
        <v>4</v>
      </c>
      <c r="S2025">
        <v>0</v>
      </c>
      <c r="T2025">
        <v>0</v>
      </c>
      <c r="U2025">
        <v>0</v>
      </c>
      <c r="W2025" t="s">
        <v>552</v>
      </c>
    </row>
    <row r="2026" spans="1:42" x14ac:dyDescent="0.35">
      <c r="A2026" t="s">
        <v>45</v>
      </c>
      <c r="B2026" t="s">
        <v>4533</v>
      </c>
      <c r="C2026" t="s">
        <v>139</v>
      </c>
      <c r="D2026" t="s">
        <v>4545</v>
      </c>
      <c r="E2026" t="s">
        <v>4546</v>
      </c>
      <c r="F2026" t="s">
        <v>142</v>
      </c>
      <c r="G2026" t="s">
        <v>4559</v>
      </c>
      <c r="H2026" t="s">
        <v>4560</v>
      </c>
      <c r="J2026" t="str">
        <f>HYPERLINK("https://twitter.com/AnmolSingh73412/status/1762170489253073263","https://twitter.com/AnmolSingh73412/status/1762170489253073263")</f>
        <v>https://twitter.com/AnmolSingh73412/status/1762170489253073263</v>
      </c>
      <c r="K2026" t="s">
        <v>145</v>
      </c>
      <c r="O2026">
        <v>0</v>
      </c>
      <c r="P2026">
        <v>0</v>
      </c>
      <c r="Q2026">
        <v>4</v>
      </c>
      <c r="S2026">
        <v>0</v>
      </c>
      <c r="T2026">
        <v>0</v>
      </c>
      <c r="U2026">
        <v>0</v>
      </c>
      <c r="W2026" t="s">
        <v>552</v>
      </c>
    </row>
    <row r="2027" spans="1:42" x14ac:dyDescent="0.35">
      <c r="A2027" t="s">
        <v>45</v>
      </c>
      <c r="B2027" t="s">
        <v>4533</v>
      </c>
      <c r="C2027" t="s">
        <v>139</v>
      </c>
      <c r="D2027" t="s">
        <v>4545</v>
      </c>
      <c r="E2027" t="s">
        <v>4546</v>
      </c>
      <c r="F2027" t="s">
        <v>49</v>
      </c>
      <c r="G2027" t="s">
        <v>4561</v>
      </c>
      <c r="H2027" t="s">
        <v>4562</v>
      </c>
      <c r="J2027" t="str">
        <f>HYPERLINK("https://twitter.com/AnmolSingh73412/status/1762170481183232360","https://twitter.com/AnmolSingh73412/status/1762170481183232360")</f>
        <v>https://twitter.com/AnmolSingh73412/status/1762170481183232360</v>
      </c>
      <c r="K2027" t="s">
        <v>145</v>
      </c>
      <c r="O2027">
        <v>0</v>
      </c>
      <c r="P2027">
        <v>0</v>
      </c>
      <c r="Q2027">
        <v>4</v>
      </c>
      <c r="S2027">
        <v>0</v>
      </c>
      <c r="T2027">
        <v>0</v>
      </c>
      <c r="U2027">
        <v>0</v>
      </c>
      <c r="W2027" t="s">
        <v>552</v>
      </c>
    </row>
    <row r="2028" spans="1:42" x14ac:dyDescent="0.35">
      <c r="A2028" t="s">
        <v>45</v>
      </c>
      <c r="B2028" t="s">
        <v>4533</v>
      </c>
      <c r="C2028" t="s">
        <v>139</v>
      </c>
      <c r="D2028" t="s">
        <v>4545</v>
      </c>
      <c r="E2028" t="s">
        <v>4546</v>
      </c>
      <c r="F2028" t="s">
        <v>142</v>
      </c>
      <c r="G2028" t="s">
        <v>4531</v>
      </c>
      <c r="H2028" t="s">
        <v>4563</v>
      </c>
      <c r="J2028" t="str">
        <f>HYPERLINK("https://twitter.com/AnmolSingh73412/status/1762170471091736842","https://twitter.com/AnmolSingh73412/status/1762170471091736842")</f>
        <v>https://twitter.com/AnmolSingh73412/status/1762170471091736842</v>
      </c>
      <c r="K2028" t="s">
        <v>145</v>
      </c>
      <c r="O2028">
        <v>0</v>
      </c>
      <c r="P2028">
        <v>0</v>
      </c>
      <c r="Q2028">
        <v>4</v>
      </c>
      <c r="S2028">
        <v>0</v>
      </c>
      <c r="T2028">
        <v>0</v>
      </c>
      <c r="U2028">
        <v>0</v>
      </c>
      <c r="W2028" t="s">
        <v>552</v>
      </c>
    </row>
    <row r="2029" spans="1:42" x14ac:dyDescent="0.35">
      <c r="A2029" t="s">
        <v>45</v>
      </c>
      <c r="B2029" t="s">
        <v>4533</v>
      </c>
      <c r="C2029" t="s">
        <v>139</v>
      </c>
      <c r="D2029" t="s">
        <v>4545</v>
      </c>
      <c r="E2029" t="s">
        <v>4546</v>
      </c>
      <c r="F2029" t="s">
        <v>142</v>
      </c>
      <c r="G2029" t="s">
        <v>4564</v>
      </c>
      <c r="H2029" t="s">
        <v>4565</v>
      </c>
      <c r="J2029" t="str">
        <f>HYPERLINK("https://twitter.com/AnmolSingh73412/status/1762170459804864778","https://twitter.com/AnmolSingh73412/status/1762170459804864778")</f>
        <v>https://twitter.com/AnmolSingh73412/status/1762170459804864778</v>
      </c>
      <c r="K2029" t="s">
        <v>145</v>
      </c>
      <c r="O2029">
        <v>0</v>
      </c>
      <c r="P2029">
        <v>0</v>
      </c>
      <c r="Q2029">
        <v>4</v>
      </c>
      <c r="S2029">
        <v>0</v>
      </c>
      <c r="T2029">
        <v>0</v>
      </c>
      <c r="U2029">
        <v>0</v>
      </c>
      <c r="W2029" t="s">
        <v>552</v>
      </c>
    </row>
    <row r="2030" spans="1:42" x14ac:dyDescent="0.35">
      <c r="A2030" t="s">
        <v>45</v>
      </c>
      <c r="B2030" t="s">
        <v>4533</v>
      </c>
      <c r="C2030" t="s">
        <v>139</v>
      </c>
      <c r="D2030" t="s">
        <v>4566</v>
      </c>
      <c r="E2030" t="s">
        <v>4567</v>
      </c>
      <c r="F2030" t="s">
        <v>142</v>
      </c>
      <c r="G2030" t="s">
        <v>4564</v>
      </c>
      <c r="H2030" t="s">
        <v>4568</v>
      </c>
      <c r="J2030" t="str">
        <f>HYPERLINK("https://twitter.com/imvaibhav0909/status/1762163929516482658","https://twitter.com/imvaibhav0909/status/1762163929516482658")</f>
        <v>https://twitter.com/imvaibhav0909/status/1762163929516482658</v>
      </c>
      <c r="K2030" t="s">
        <v>1769</v>
      </c>
      <c r="O2030">
        <v>0</v>
      </c>
      <c r="P2030">
        <v>0</v>
      </c>
      <c r="Q2030">
        <v>4</v>
      </c>
      <c r="S2030">
        <v>0</v>
      </c>
      <c r="T2030">
        <v>0</v>
      </c>
      <c r="U2030">
        <v>0</v>
      </c>
      <c r="W2030" t="s">
        <v>552</v>
      </c>
    </row>
    <row r="2031" spans="1:42" x14ac:dyDescent="0.35">
      <c r="A2031" t="s">
        <v>45</v>
      </c>
      <c r="B2031" t="s">
        <v>4533</v>
      </c>
      <c r="C2031" t="s">
        <v>47</v>
      </c>
      <c r="D2031" t="s">
        <v>4569</v>
      </c>
      <c r="E2031" t="s">
        <v>4569</v>
      </c>
      <c r="F2031" t="s">
        <v>49</v>
      </c>
      <c r="G2031" t="s">
        <v>373</v>
      </c>
      <c r="H2031" t="s">
        <v>4570</v>
      </c>
      <c r="J2031" t="str">
        <f>HYPERLINK("https://www.facebook.com/357267201017935/inbox/7089342061143715/","https://www.facebook.com/357267201017935/inbox/7089342061143715/")</f>
        <v>https://www.facebook.com/357267201017935/inbox/7089342061143715/</v>
      </c>
      <c r="O2031">
        <v>0</v>
      </c>
      <c r="P2031">
        <v>0</v>
      </c>
      <c r="Q2031">
        <v>0</v>
      </c>
      <c r="S2031">
        <v>0</v>
      </c>
      <c r="T2031">
        <v>0</v>
      </c>
      <c r="U2031">
        <v>0</v>
      </c>
      <c r="W2031" t="s">
        <v>52</v>
      </c>
    </row>
    <row r="2032" spans="1:42" x14ac:dyDescent="0.35">
      <c r="A2032" t="s">
        <v>45</v>
      </c>
      <c r="B2032" t="s">
        <v>4533</v>
      </c>
      <c r="C2032" t="s">
        <v>139</v>
      </c>
      <c r="D2032" t="s">
        <v>4571</v>
      </c>
      <c r="E2032" t="s">
        <v>4572</v>
      </c>
      <c r="F2032" t="s">
        <v>49</v>
      </c>
      <c r="G2032" t="s">
        <v>4547</v>
      </c>
      <c r="H2032" t="s">
        <v>4573</v>
      </c>
      <c r="J2032" t="str">
        <f>HYPERLINK("https://twitter.com/Richaa_Tripathi/status/1762160415549886925","https://twitter.com/Richaa_Tripathi/status/1762160415549886925")</f>
        <v>https://twitter.com/Richaa_Tripathi/status/1762160415549886925</v>
      </c>
      <c r="K2032" t="s">
        <v>1769</v>
      </c>
      <c r="O2032">
        <v>0</v>
      </c>
      <c r="P2032">
        <v>0</v>
      </c>
      <c r="Q2032">
        <v>0</v>
      </c>
      <c r="R2032" t="s">
        <v>1247</v>
      </c>
      <c r="S2032">
        <v>0</v>
      </c>
      <c r="T2032">
        <v>0</v>
      </c>
      <c r="U2032">
        <v>0</v>
      </c>
      <c r="W2032" t="s">
        <v>146</v>
      </c>
    </row>
    <row r="2033" spans="1:42" x14ac:dyDescent="0.35">
      <c r="A2033" t="s">
        <v>45</v>
      </c>
      <c r="B2033" t="s">
        <v>4533</v>
      </c>
      <c r="C2033" t="s">
        <v>139</v>
      </c>
      <c r="D2033" t="s">
        <v>4571</v>
      </c>
      <c r="E2033" t="s">
        <v>4572</v>
      </c>
      <c r="F2033" t="s">
        <v>49</v>
      </c>
      <c r="G2033" t="s">
        <v>4549</v>
      </c>
      <c r="H2033" t="s">
        <v>4574</v>
      </c>
      <c r="J2033" t="str">
        <f>HYPERLINK("https://twitter.com/Richaa_Tripathi/status/1762160267444818348","https://twitter.com/Richaa_Tripathi/status/1762160267444818348")</f>
        <v>https://twitter.com/Richaa_Tripathi/status/1762160267444818348</v>
      </c>
      <c r="K2033" t="s">
        <v>1769</v>
      </c>
      <c r="O2033">
        <v>0</v>
      </c>
      <c r="P2033">
        <v>0</v>
      </c>
      <c r="Q2033">
        <v>0</v>
      </c>
      <c r="R2033" t="s">
        <v>1247</v>
      </c>
      <c r="S2033">
        <v>0</v>
      </c>
      <c r="T2033">
        <v>0</v>
      </c>
      <c r="U2033">
        <v>0</v>
      </c>
      <c r="W2033" t="s">
        <v>146</v>
      </c>
    </row>
    <row r="2034" spans="1:42" x14ac:dyDescent="0.35">
      <c r="A2034" t="s">
        <v>45</v>
      </c>
      <c r="B2034" t="s">
        <v>4533</v>
      </c>
      <c r="C2034" t="s">
        <v>139</v>
      </c>
      <c r="D2034" t="s">
        <v>4571</v>
      </c>
      <c r="E2034" t="s">
        <v>4572</v>
      </c>
      <c r="F2034" t="s">
        <v>49</v>
      </c>
      <c r="G2034" t="s">
        <v>4551</v>
      </c>
      <c r="H2034" t="s">
        <v>4575</v>
      </c>
      <c r="J2034" t="str">
        <f>HYPERLINK("https://twitter.com/Richaa_Tripathi/status/1762159292441104444","https://twitter.com/Richaa_Tripathi/status/1762159292441104444")</f>
        <v>https://twitter.com/Richaa_Tripathi/status/1762159292441104444</v>
      </c>
      <c r="K2034" t="s">
        <v>1769</v>
      </c>
      <c r="O2034">
        <v>0</v>
      </c>
      <c r="P2034">
        <v>0</v>
      </c>
      <c r="Q2034">
        <v>0</v>
      </c>
      <c r="R2034" t="s">
        <v>1247</v>
      </c>
      <c r="S2034">
        <v>0</v>
      </c>
      <c r="T2034">
        <v>0</v>
      </c>
      <c r="U2034">
        <v>0</v>
      </c>
      <c r="W2034" t="s">
        <v>146</v>
      </c>
      <c r="AP2034" t="s">
        <v>101</v>
      </c>
    </row>
    <row r="2035" spans="1:42" x14ac:dyDescent="0.35">
      <c r="A2035" t="s">
        <v>45</v>
      </c>
      <c r="B2035" t="s">
        <v>4533</v>
      </c>
      <c r="C2035" t="s">
        <v>139</v>
      </c>
      <c r="D2035" t="s">
        <v>4571</v>
      </c>
      <c r="E2035" t="s">
        <v>4572</v>
      </c>
      <c r="F2035" t="s">
        <v>49</v>
      </c>
      <c r="G2035" t="s">
        <v>4553</v>
      </c>
      <c r="H2035" t="s">
        <v>4576</v>
      </c>
      <c r="J2035" t="str">
        <f>HYPERLINK("https://twitter.com/Richaa_Tripathi/status/1762158891251732593","https://twitter.com/Richaa_Tripathi/status/1762158891251732593")</f>
        <v>https://twitter.com/Richaa_Tripathi/status/1762158891251732593</v>
      </c>
      <c r="K2035" t="s">
        <v>1769</v>
      </c>
      <c r="O2035">
        <v>0</v>
      </c>
      <c r="P2035">
        <v>0</v>
      </c>
      <c r="Q2035">
        <v>0</v>
      </c>
      <c r="R2035" t="s">
        <v>1247</v>
      </c>
      <c r="S2035">
        <v>0</v>
      </c>
      <c r="T2035">
        <v>0</v>
      </c>
      <c r="U2035">
        <v>0</v>
      </c>
      <c r="W2035" t="s">
        <v>146</v>
      </c>
    </row>
    <row r="2036" spans="1:42" x14ac:dyDescent="0.35">
      <c r="A2036" t="s">
        <v>45</v>
      </c>
      <c r="B2036" t="s">
        <v>4533</v>
      </c>
      <c r="C2036" t="s">
        <v>139</v>
      </c>
      <c r="D2036" t="s">
        <v>4571</v>
      </c>
      <c r="E2036" t="s">
        <v>4572</v>
      </c>
      <c r="F2036" t="s">
        <v>49</v>
      </c>
      <c r="G2036" t="s">
        <v>4555</v>
      </c>
      <c r="H2036" t="s">
        <v>4577</v>
      </c>
      <c r="J2036" t="str">
        <f>HYPERLINK("https://twitter.com/Richaa_Tripathi/status/1762158661726835032","https://twitter.com/Richaa_Tripathi/status/1762158661726835032")</f>
        <v>https://twitter.com/Richaa_Tripathi/status/1762158661726835032</v>
      </c>
      <c r="K2036" t="s">
        <v>1769</v>
      </c>
      <c r="O2036">
        <v>0</v>
      </c>
      <c r="P2036">
        <v>0</v>
      </c>
      <c r="Q2036">
        <v>0</v>
      </c>
      <c r="R2036" t="s">
        <v>1247</v>
      </c>
      <c r="S2036">
        <v>0</v>
      </c>
      <c r="T2036">
        <v>0</v>
      </c>
      <c r="U2036">
        <v>0</v>
      </c>
      <c r="W2036" t="s">
        <v>146</v>
      </c>
    </row>
    <row r="2037" spans="1:42" x14ac:dyDescent="0.35">
      <c r="A2037" t="s">
        <v>45</v>
      </c>
      <c r="B2037" t="s">
        <v>4533</v>
      </c>
      <c r="C2037" t="s">
        <v>139</v>
      </c>
      <c r="D2037" t="s">
        <v>4571</v>
      </c>
      <c r="E2037" t="s">
        <v>4572</v>
      </c>
      <c r="F2037" t="s">
        <v>49</v>
      </c>
      <c r="G2037" t="s">
        <v>4557</v>
      </c>
      <c r="H2037" t="s">
        <v>4578</v>
      </c>
      <c r="J2037" t="str">
        <f>HYPERLINK("https://twitter.com/Richaa_Tripathi/status/1762157834152906987","https://twitter.com/Richaa_Tripathi/status/1762157834152906987")</f>
        <v>https://twitter.com/Richaa_Tripathi/status/1762157834152906987</v>
      </c>
      <c r="K2037" t="s">
        <v>1769</v>
      </c>
      <c r="O2037">
        <v>0</v>
      </c>
      <c r="P2037">
        <v>0</v>
      </c>
      <c r="Q2037">
        <v>0</v>
      </c>
      <c r="R2037" t="s">
        <v>1247</v>
      </c>
      <c r="S2037">
        <v>0</v>
      </c>
      <c r="T2037">
        <v>0</v>
      </c>
      <c r="U2037">
        <v>0</v>
      </c>
      <c r="W2037" t="s">
        <v>146</v>
      </c>
    </row>
    <row r="2038" spans="1:42" x14ac:dyDescent="0.35">
      <c r="A2038" t="s">
        <v>45</v>
      </c>
      <c r="B2038" t="s">
        <v>4533</v>
      </c>
      <c r="C2038" t="s">
        <v>139</v>
      </c>
      <c r="D2038" t="s">
        <v>4571</v>
      </c>
      <c r="E2038" t="s">
        <v>4572</v>
      </c>
      <c r="F2038" t="s">
        <v>49</v>
      </c>
      <c r="G2038" t="s">
        <v>4559</v>
      </c>
      <c r="H2038" t="s">
        <v>4579</v>
      </c>
      <c r="J2038" t="str">
        <f>HYPERLINK("https://twitter.com/Richaa_Tripathi/status/1762156862571696166","https://twitter.com/Richaa_Tripathi/status/1762156862571696166")</f>
        <v>https://twitter.com/Richaa_Tripathi/status/1762156862571696166</v>
      </c>
      <c r="K2038" t="s">
        <v>1769</v>
      </c>
      <c r="O2038">
        <v>0</v>
      </c>
      <c r="P2038">
        <v>0</v>
      </c>
      <c r="Q2038">
        <v>0</v>
      </c>
      <c r="R2038" t="s">
        <v>1247</v>
      </c>
      <c r="S2038">
        <v>0</v>
      </c>
      <c r="T2038">
        <v>0</v>
      </c>
      <c r="U2038">
        <v>0</v>
      </c>
      <c r="W2038" t="s">
        <v>146</v>
      </c>
    </row>
    <row r="2039" spans="1:42" x14ac:dyDescent="0.35">
      <c r="A2039" t="s">
        <v>45</v>
      </c>
      <c r="B2039" t="s">
        <v>4533</v>
      </c>
      <c r="C2039" t="s">
        <v>139</v>
      </c>
      <c r="D2039" t="s">
        <v>4571</v>
      </c>
      <c r="E2039" t="s">
        <v>4572</v>
      </c>
      <c r="F2039" t="s">
        <v>49</v>
      </c>
      <c r="G2039" t="s">
        <v>4561</v>
      </c>
      <c r="H2039" t="s">
        <v>4580</v>
      </c>
      <c r="J2039" t="str">
        <f>HYPERLINK("https://twitter.com/Richaa_Tripathi/status/1762155824468922464","https://twitter.com/Richaa_Tripathi/status/1762155824468922464")</f>
        <v>https://twitter.com/Richaa_Tripathi/status/1762155824468922464</v>
      </c>
      <c r="K2039" t="s">
        <v>1769</v>
      </c>
      <c r="O2039">
        <v>0</v>
      </c>
      <c r="P2039">
        <v>0</v>
      </c>
      <c r="Q2039">
        <v>0</v>
      </c>
      <c r="R2039" t="s">
        <v>1247</v>
      </c>
      <c r="S2039">
        <v>0</v>
      </c>
      <c r="T2039">
        <v>0</v>
      </c>
      <c r="U2039">
        <v>0</v>
      </c>
      <c r="W2039" t="s">
        <v>146</v>
      </c>
    </row>
    <row r="2040" spans="1:42" x14ac:dyDescent="0.35">
      <c r="A2040" t="s">
        <v>45</v>
      </c>
      <c r="B2040" t="s">
        <v>4533</v>
      </c>
      <c r="C2040" t="s">
        <v>139</v>
      </c>
      <c r="D2040" t="s">
        <v>4571</v>
      </c>
      <c r="E2040" t="s">
        <v>4572</v>
      </c>
      <c r="F2040" t="s">
        <v>142</v>
      </c>
      <c r="G2040" t="s">
        <v>4531</v>
      </c>
      <c r="H2040" t="s">
        <v>4581</v>
      </c>
      <c r="J2040" t="str">
        <f>HYPERLINK("https://twitter.com/Richaa_Tripathi/status/1762155523032682656","https://twitter.com/Richaa_Tripathi/status/1762155523032682656")</f>
        <v>https://twitter.com/Richaa_Tripathi/status/1762155523032682656</v>
      </c>
      <c r="K2040" t="s">
        <v>1769</v>
      </c>
      <c r="O2040">
        <v>0</v>
      </c>
      <c r="P2040">
        <v>0</v>
      </c>
      <c r="Q2040">
        <v>0</v>
      </c>
      <c r="R2040" t="s">
        <v>1247</v>
      </c>
      <c r="S2040">
        <v>0</v>
      </c>
      <c r="T2040">
        <v>0</v>
      </c>
      <c r="U2040">
        <v>0</v>
      </c>
      <c r="W2040" t="s">
        <v>146</v>
      </c>
    </row>
    <row r="2041" spans="1:42" x14ac:dyDescent="0.35">
      <c r="A2041" t="s">
        <v>45</v>
      </c>
      <c r="B2041" t="s">
        <v>4533</v>
      </c>
      <c r="C2041" t="s">
        <v>139</v>
      </c>
      <c r="D2041" t="s">
        <v>4571</v>
      </c>
      <c r="E2041" t="s">
        <v>4572</v>
      </c>
      <c r="F2041" t="s">
        <v>142</v>
      </c>
      <c r="G2041" t="s">
        <v>4564</v>
      </c>
      <c r="H2041" t="s">
        <v>4582</v>
      </c>
      <c r="J2041" t="str">
        <f>HYPERLINK("https://twitter.com/Richaa_Tripathi/status/1762155066805653950","https://twitter.com/Richaa_Tripathi/status/1762155066805653950")</f>
        <v>https://twitter.com/Richaa_Tripathi/status/1762155066805653950</v>
      </c>
      <c r="K2041" t="s">
        <v>1769</v>
      </c>
      <c r="O2041">
        <v>0</v>
      </c>
      <c r="P2041">
        <v>0</v>
      </c>
      <c r="Q2041">
        <v>0</v>
      </c>
      <c r="R2041" t="s">
        <v>1247</v>
      </c>
      <c r="S2041">
        <v>0</v>
      </c>
      <c r="T2041">
        <v>0</v>
      </c>
      <c r="U2041">
        <v>0</v>
      </c>
      <c r="W2041" t="s">
        <v>146</v>
      </c>
    </row>
    <row r="2042" spans="1:42" x14ac:dyDescent="0.35">
      <c r="A2042" t="s">
        <v>45</v>
      </c>
      <c r="B2042" t="s">
        <v>4533</v>
      </c>
      <c r="C2042" t="s">
        <v>139</v>
      </c>
      <c r="D2042" t="s">
        <v>4583</v>
      </c>
      <c r="E2042" t="s">
        <v>4584</v>
      </c>
      <c r="F2042" t="s">
        <v>49</v>
      </c>
      <c r="G2042" t="s">
        <v>4585</v>
      </c>
      <c r="H2042" t="s">
        <v>4586</v>
      </c>
      <c r="J2042" t="str">
        <f>HYPERLINK("https://twitter.com/Sintu74688725/status/1762151209388122252","https://twitter.com/Sintu74688725/status/1762151209388122252")</f>
        <v>https://twitter.com/Sintu74688725/status/1762151209388122252</v>
      </c>
      <c r="K2042" t="s">
        <v>145</v>
      </c>
      <c r="O2042">
        <v>0</v>
      </c>
      <c r="P2042">
        <v>0</v>
      </c>
      <c r="Q2042">
        <v>0</v>
      </c>
      <c r="R2042" t="s">
        <v>4587</v>
      </c>
      <c r="S2042">
        <v>0</v>
      </c>
      <c r="T2042">
        <v>0</v>
      </c>
      <c r="U2042">
        <v>0</v>
      </c>
      <c r="W2042" t="s">
        <v>146</v>
      </c>
    </row>
    <row r="2043" spans="1:42" x14ac:dyDescent="0.35">
      <c r="A2043" t="s">
        <v>45</v>
      </c>
      <c r="B2043" t="s">
        <v>4533</v>
      </c>
      <c r="C2043" t="s">
        <v>47</v>
      </c>
      <c r="D2043" t="s">
        <v>4588</v>
      </c>
      <c r="E2043" t="s">
        <v>4588</v>
      </c>
      <c r="F2043" t="s">
        <v>49</v>
      </c>
      <c r="G2043" t="s">
        <v>4589</v>
      </c>
      <c r="H2043" t="s">
        <v>4590</v>
      </c>
      <c r="J2043" t="str">
        <f>HYPERLINK("https://www.facebook.com/357267201017935/inbox/2528254640585836/","https://www.facebook.com/357267201017935/inbox/2528254640585836/")</f>
        <v>https://www.facebook.com/357267201017935/inbox/2528254640585836/</v>
      </c>
      <c r="O2043">
        <v>0</v>
      </c>
      <c r="P2043">
        <v>0</v>
      </c>
      <c r="Q2043">
        <v>0</v>
      </c>
      <c r="S2043">
        <v>0</v>
      </c>
      <c r="T2043">
        <v>0</v>
      </c>
      <c r="U2043">
        <v>0</v>
      </c>
      <c r="W2043" t="s">
        <v>52</v>
      </c>
      <c r="AP2043" t="s">
        <v>101</v>
      </c>
    </row>
    <row r="2044" spans="1:42" x14ac:dyDescent="0.35">
      <c r="A2044" t="s">
        <v>45</v>
      </c>
      <c r="B2044" t="s">
        <v>4533</v>
      </c>
      <c r="C2044" t="s">
        <v>47</v>
      </c>
      <c r="D2044" t="s">
        <v>4591</v>
      </c>
      <c r="E2044" t="s">
        <v>4591</v>
      </c>
      <c r="F2044" t="s">
        <v>49</v>
      </c>
      <c r="G2044" t="s">
        <v>4592</v>
      </c>
      <c r="H2044" t="s">
        <v>4593</v>
      </c>
      <c r="J2044" t="str">
        <f>HYPERLINK("https://www.facebook.com/454965103328545/posts/771262205032165?comment_id=2314259668948226","https://www.facebook.com/454965103328545/posts/771262205032165?comment_id=2314259668948226")</f>
        <v>https://www.facebook.com/454965103328545/posts/771262205032165?comment_id=2314259668948226</v>
      </c>
      <c r="O2044">
        <v>0</v>
      </c>
      <c r="P2044">
        <v>0</v>
      </c>
      <c r="Q2044">
        <v>0</v>
      </c>
      <c r="S2044">
        <v>0</v>
      </c>
      <c r="T2044">
        <v>0</v>
      </c>
      <c r="U2044">
        <v>0</v>
      </c>
      <c r="W2044" t="s">
        <v>62</v>
      </c>
    </row>
    <row r="2045" spans="1:42" x14ac:dyDescent="0.35">
      <c r="A2045" t="s">
        <v>45</v>
      </c>
      <c r="B2045" t="s">
        <v>4533</v>
      </c>
      <c r="C2045" t="s">
        <v>139</v>
      </c>
      <c r="D2045" t="s">
        <v>1243</v>
      </c>
      <c r="E2045" t="s">
        <v>1244</v>
      </c>
      <c r="F2045" t="s">
        <v>49</v>
      </c>
      <c r="G2045" t="s">
        <v>4594</v>
      </c>
      <c r="H2045" t="s">
        <v>4595</v>
      </c>
      <c r="J2045" t="str">
        <f>HYPERLINK("https://twitter.com/PayNearby/status/1762100888469131734","https://twitter.com/PayNearby/status/1762100888469131734")</f>
        <v>https://twitter.com/PayNearby/status/1762100888469131734</v>
      </c>
      <c r="O2045">
        <v>0</v>
      </c>
      <c r="P2045">
        <v>0</v>
      </c>
      <c r="Q2045">
        <v>6002</v>
      </c>
      <c r="R2045" t="s">
        <v>1247</v>
      </c>
      <c r="S2045">
        <v>0</v>
      </c>
      <c r="T2045">
        <v>0</v>
      </c>
      <c r="U2045">
        <v>0</v>
      </c>
      <c r="W2045" t="s">
        <v>146</v>
      </c>
    </row>
    <row r="2046" spans="1:42" x14ac:dyDescent="0.35">
      <c r="A2046" t="s">
        <v>45</v>
      </c>
      <c r="B2046" t="s">
        <v>4533</v>
      </c>
      <c r="C2046" t="s">
        <v>139</v>
      </c>
      <c r="D2046" t="s">
        <v>1243</v>
      </c>
      <c r="E2046" t="s">
        <v>1244</v>
      </c>
      <c r="F2046" t="s">
        <v>49</v>
      </c>
      <c r="G2046" t="s">
        <v>4596</v>
      </c>
      <c r="H2046" t="s">
        <v>4597</v>
      </c>
      <c r="J2046" t="str">
        <f>HYPERLINK("https://twitter.com/PayNearby/status/1762100883507335324","https://twitter.com/PayNearby/status/1762100883507335324")</f>
        <v>https://twitter.com/PayNearby/status/1762100883507335324</v>
      </c>
      <c r="O2046">
        <v>0</v>
      </c>
      <c r="P2046">
        <v>0</v>
      </c>
      <c r="Q2046">
        <v>6002</v>
      </c>
      <c r="R2046" t="s">
        <v>1247</v>
      </c>
      <c r="S2046">
        <v>0</v>
      </c>
      <c r="T2046">
        <v>0</v>
      </c>
      <c r="U2046">
        <v>0</v>
      </c>
      <c r="W2046" t="s">
        <v>146</v>
      </c>
      <c r="AP2046" t="s">
        <v>147</v>
      </c>
    </row>
    <row r="2047" spans="1:42" x14ac:dyDescent="0.35">
      <c r="A2047" t="s">
        <v>45</v>
      </c>
      <c r="B2047" t="s">
        <v>4533</v>
      </c>
      <c r="C2047" t="s">
        <v>139</v>
      </c>
      <c r="D2047" t="s">
        <v>4153</v>
      </c>
      <c r="E2047" t="s">
        <v>4154</v>
      </c>
      <c r="F2047" t="s">
        <v>49</v>
      </c>
      <c r="G2047" t="s">
        <v>4598</v>
      </c>
      <c r="H2047" t="s">
        <v>4599</v>
      </c>
      <c r="J2047" t="str">
        <f>HYPERLINK("https://twitter.com/Gr8AdvisorIN/status/1762097775401959621","https://twitter.com/Gr8AdvisorIN/status/1762097775401959621")</f>
        <v>https://twitter.com/Gr8AdvisorIN/status/1762097775401959621</v>
      </c>
      <c r="O2047">
        <v>0</v>
      </c>
      <c r="P2047">
        <v>0</v>
      </c>
      <c r="Q2047">
        <v>35</v>
      </c>
      <c r="S2047">
        <v>0</v>
      </c>
      <c r="T2047">
        <v>0</v>
      </c>
      <c r="U2047">
        <v>0</v>
      </c>
      <c r="W2047" t="s">
        <v>146</v>
      </c>
    </row>
    <row r="2048" spans="1:42" x14ac:dyDescent="0.35">
      <c r="A2048" t="s">
        <v>45</v>
      </c>
      <c r="B2048" t="s">
        <v>4533</v>
      </c>
      <c r="C2048" t="s">
        <v>58</v>
      </c>
      <c r="D2048" t="s">
        <v>4600</v>
      </c>
      <c r="E2048" t="s">
        <v>4600</v>
      </c>
      <c r="F2048" t="s">
        <v>76</v>
      </c>
      <c r="G2048" t="s">
        <v>501</v>
      </c>
      <c r="H2048" t="s">
        <v>4601</v>
      </c>
      <c r="J2048" t="str">
        <f>HYPERLINK("https://www.youtube.com/watch?v=nNTi7GPdTsw&amp;lc=Ugw63dlWkbr-NXUjpN54AaABAg","https://www.youtube.com/watch?v=nNTi7GPdTsw&amp;lc=Ugw63dlWkbr-NXUjpN54AaABAg")</f>
        <v>https://www.youtube.com/watch?v=nNTi7GPdTsw&amp;lc=Ugw63dlWkbr-NXUjpN54AaABAg</v>
      </c>
      <c r="O2048">
        <v>0</v>
      </c>
      <c r="P2048">
        <v>0</v>
      </c>
      <c r="Q2048">
        <v>0</v>
      </c>
      <c r="S2048">
        <v>0</v>
      </c>
      <c r="T2048">
        <v>0</v>
      </c>
      <c r="U2048">
        <v>0</v>
      </c>
      <c r="W2048" t="s">
        <v>62</v>
      </c>
    </row>
    <row r="2049" spans="1:42" x14ac:dyDescent="0.35">
      <c r="A2049" t="s">
        <v>45</v>
      </c>
      <c r="B2049" t="s">
        <v>4533</v>
      </c>
      <c r="C2049" t="s">
        <v>47</v>
      </c>
      <c r="D2049" t="s">
        <v>4602</v>
      </c>
      <c r="E2049" t="s">
        <v>4602</v>
      </c>
      <c r="F2049" t="s">
        <v>49</v>
      </c>
      <c r="G2049" t="s">
        <v>56</v>
      </c>
      <c r="H2049" t="s">
        <v>4603</v>
      </c>
      <c r="J2049" t="str">
        <f>HYPERLINK("https://www.facebook.com/357267201017935/inbox/7088405981237323/","https://www.facebook.com/357267201017935/inbox/7088405981237323/")</f>
        <v>https://www.facebook.com/357267201017935/inbox/7088405981237323/</v>
      </c>
      <c r="O2049">
        <v>0</v>
      </c>
      <c r="P2049">
        <v>0</v>
      </c>
      <c r="Q2049">
        <v>0</v>
      </c>
      <c r="S2049">
        <v>0</v>
      </c>
      <c r="T2049">
        <v>0</v>
      </c>
      <c r="U2049">
        <v>0</v>
      </c>
      <c r="W2049" t="s">
        <v>52</v>
      </c>
    </row>
    <row r="2050" spans="1:42" x14ac:dyDescent="0.35">
      <c r="A2050" t="s">
        <v>45</v>
      </c>
      <c r="B2050" t="s">
        <v>4533</v>
      </c>
      <c r="C2050" t="s">
        <v>139</v>
      </c>
      <c r="D2050" t="s">
        <v>4604</v>
      </c>
      <c r="E2050" t="s">
        <v>4605</v>
      </c>
      <c r="F2050" t="s">
        <v>49</v>
      </c>
      <c r="G2050" t="s">
        <v>4606</v>
      </c>
      <c r="H2050" t="s">
        <v>4607</v>
      </c>
      <c r="J2050" t="str">
        <f>HYPERLINK("https://twitter.com/ramsingh251/status/1762089546844627294","https://twitter.com/ramsingh251/status/1762089546844627294")</f>
        <v>https://twitter.com/ramsingh251/status/1762089546844627294</v>
      </c>
      <c r="K2050" t="s">
        <v>145</v>
      </c>
      <c r="O2050">
        <v>0</v>
      </c>
      <c r="P2050">
        <v>0</v>
      </c>
      <c r="Q2050">
        <v>55</v>
      </c>
      <c r="R2050" t="s">
        <v>4608</v>
      </c>
      <c r="S2050">
        <v>0</v>
      </c>
      <c r="T2050">
        <v>0</v>
      </c>
      <c r="U2050">
        <v>0</v>
      </c>
      <c r="W2050" t="s">
        <v>146</v>
      </c>
    </row>
    <row r="2051" spans="1:42" x14ac:dyDescent="0.35">
      <c r="A2051" t="s">
        <v>45</v>
      </c>
      <c r="B2051" t="s">
        <v>4533</v>
      </c>
      <c r="C2051" t="s">
        <v>58</v>
      </c>
      <c r="D2051" t="s">
        <v>3774</v>
      </c>
      <c r="E2051" t="s">
        <v>3774</v>
      </c>
      <c r="F2051" t="s">
        <v>49</v>
      </c>
      <c r="G2051" t="s">
        <v>4609</v>
      </c>
      <c r="H2051" t="s">
        <v>4610</v>
      </c>
      <c r="J2051" t="str">
        <f>HYPERLINK("https://www.youtube.com/watch?v=3AR5ZZ4Uets","https://www.youtube.com/watch?v=3AR5ZZ4Uets")</f>
        <v>https://www.youtube.com/watch?v=3AR5ZZ4Uets</v>
      </c>
      <c r="O2051">
        <v>0</v>
      </c>
      <c r="P2051">
        <v>0</v>
      </c>
      <c r="Q2051">
        <v>0</v>
      </c>
      <c r="S2051">
        <v>0</v>
      </c>
      <c r="T2051">
        <v>0</v>
      </c>
      <c r="U2051">
        <v>0</v>
      </c>
      <c r="W2051" t="s">
        <v>106</v>
      </c>
      <c r="AP2051" t="s">
        <v>101</v>
      </c>
    </row>
    <row r="2052" spans="1:42" x14ac:dyDescent="0.35">
      <c r="A2052" t="s">
        <v>45</v>
      </c>
      <c r="B2052" t="s">
        <v>4533</v>
      </c>
      <c r="C2052" t="s">
        <v>58</v>
      </c>
      <c r="D2052" t="s">
        <v>4611</v>
      </c>
      <c r="E2052" t="s">
        <v>4611</v>
      </c>
      <c r="F2052" t="s">
        <v>49</v>
      </c>
      <c r="G2052" t="s">
        <v>4612</v>
      </c>
      <c r="H2052" t="s">
        <v>4613</v>
      </c>
      <c r="J2052" t="str">
        <f>HYPERLINK("https://www.youtube.com/watch?v=wXo0eIPa_7c","https://www.youtube.com/watch?v=wXo0eIPa_7c")</f>
        <v>https://www.youtube.com/watch?v=wXo0eIPa_7c</v>
      </c>
      <c r="O2052">
        <v>0</v>
      </c>
      <c r="P2052">
        <v>0</v>
      </c>
      <c r="Q2052">
        <v>0</v>
      </c>
      <c r="S2052">
        <v>0</v>
      </c>
      <c r="T2052">
        <v>0</v>
      </c>
      <c r="U2052">
        <v>0</v>
      </c>
      <c r="W2052" t="s">
        <v>106</v>
      </c>
    </row>
    <row r="2053" spans="1:42" x14ac:dyDescent="0.35">
      <c r="A2053" t="s">
        <v>45</v>
      </c>
      <c r="B2053" t="s">
        <v>4533</v>
      </c>
      <c r="C2053" t="s">
        <v>47</v>
      </c>
      <c r="D2053" t="s">
        <v>4614</v>
      </c>
      <c r="E2053" t="s">
        <v>4614</v>
      </c>
      <c r="F2053" t="s">
        <v>49</v>
      </c>
      <c r="G2053" t="s">
        <v>4615</v>
      </c>
      <c r="H2053" t="s">
        <v>4616</v>
      </c>
      <c r="J2053" t="str">
        <f>HYPERLINK("https://www.facebook.com/357267201017935/posts/3418723634872261/?comment_id=1426087234673910","https://www.facebook.com/357267201017935/posts/3418723634872261/?comment_id=1426087234673910")</f>
        <v>https://www.facebook.com/357267201017935/posts/3418723634872261/?comment_id=1426087234673910</v>
      </c>
      <c r="O2053">
        <v>0</v>
      </c>
      <c r="P2053">
        <v>0</v>
      </c>
      <c r="Q2053">
        <v>0</v>
      </c>
      <c r="S2053">
        <v>0</v>
      </c>
      <c r="T2053">
        <v>0</v>
      </c>
      <c r="U2053">
        <v>0</v>
      </c>
      <c r="W2053" t="s">
        <v>62</v>
      </c>
    </row>
    <row r="2054" spans="1:42" x14ac:dyDescent="0.35">
      <c r="A2054" t="s">
        <v>45</v>
      </c>
      <c r="B2054" t="s">
        <v>4533</v>
      </c>
      <c r="C2054" t="s">
        <v>139</v>
      </c>
      <c r="D2054" t="s">
        <v>2555</v>
      </c>
      <c r="E2054" t="s">
        <v>2556</v>
      </c>
      <c r="F2054" t="s">
        <v>49</v>
      </c>
      <c r="G2054" t="s">
        <v>4617</v>
      </c>
      <c r="H2054" t="s">
        <v>4618</v>
      </c>
      <c r="J2054" t="str">
        <f>HYPERLINK("https://twitter.com/DaijaDevi6934/status/1762029973932589066","https://twitter.com/DaijaDevi6934/status/1762029973932589066")</f>
        <v>https://twitter.com/DaijaDevi6934/status/1762029973932589066</v>
      </c>
      <c r="O2054">
        <v>0</v>
      </c>
      <c r="P2054">
        <v>0</v>
      </c>
      <c r="Q2054">
        <v>0</v>
      </c>
      <c r="S2054">
        <v>0</v>
      </c>
      <c r="T2054">
        <v>0</v>
      </c>
      <c r="U2054">
        <v>0</v>
      </c>
      <c r="W2054" t="s">
        <v>146</v>
      </c>
    </row>
    <row r="2055" spans="1:42" x14ac:dyDescent="0.35">
      <c r="A2055" t="s">
        <v>45</v>
      </c>
      <c r="B2055" t="s">
        <v>4533</v>
      </c>
      <c r="C2055" t="s">
        <v>58</v>
      </c>
      <c r="D2055" t="s">
        <v>3869</v>
      </c>
      <c r="E2055" t="s">
        <v>3869</v>
      </c>
      <c r="F2055" t="s">
        <v>49</v>
      </c>
      <c r="G2055" t="s">
        <v>4619</v>
      </c>
      <c r="H2055" t="s">
        <v>4620</v>
      </c>
      <c r="J2055" t="str">
        <f>HYPERLINK("https://www.youtube.com/watch?v=2q_AjDeN1fc","https://www.youtube.com/watch?v=2q_AjDeN1fc")</f>
        <v>https://www.youtube.com/watch?v=2q_AjDeN1fc</v>
      </c>
      <c r="O2055">
        <v>0</v>
      </c>
      <c r="P2055">
        <v>0</v>
      </c>
      <c r="Q2055">
        <v>0</v>
      </c>
      <c r="S2055">
        <v>0</v>
      </c>
      <c r="T2055">
        <v>0</v>
      </c>
      <c r="U2055">
        <v>0</v>
      </c>
      <c r="W2055" t="s">
        <v>106</v>
      </c>
    </row>
    <row r="2056" spans="1:42" x14ac:dyDescent="0.35">
      <c r="A2056" t="s">
        <v>45</v>
      </c>
      <c r="B2056" t="s">
        <v>4533</v>
      </c>
      <c r="C2056" t="s">
        <v>139</v>
      </c>
      <c r="D2056" t="s">
        <v>2555</v>
      </c>
      <c r="E2056" t="s">
        <v>2556</v>
      </c>
      <c r="F2056" t="s">
        <v>49</v>
      </c>
      <c r="G2056" t="s">
        <v>4621</v>
      </c>
      <c r="H2056" t="s">
        <v>4622</v>
      </c>
      <c r="J2056" t="str">
        <f>HYPERLINK("https://twitter.com/DaijaDevi6934/status/1762026943594057770","https://twitter.com/DaijaDevi6934/status/1762026943594057770")</f>
        <v>https://twitter.com/DaijaDevi6934/status/1762026943594057770</v>
      </c>
      <c r="O2056">
        <v>0</v>
      </c>
      <c r="P2056">
        <v>0</v>
      </c>
      <c r="Q2056">
        <v>0</v>
      </c>
      <c r="S2056">
        <v>0</v>
      </c>
      <c r="T2056">
        <v>0</v>
      </c>
      <c r="U2056">
        <v>0</v>
      </c>
      <c r="W2056" t="s">
        <v>146</v>
      </c>
    </row>
    <row r="2057" spans="1:42" x14ac:dyDescent="0.35">
      <c r="A2057" t="s">
        <v>45</v>
      </c>
      <c r="B2057" t="s">
        <v>4533</v>
      </c>
      <c r="C2057" t="s">
        <v>47</v>
      </c>
      <c r="D2057" t="s">
        <v>4623</v>
      </c>
      <c r="E2057" t="s">
        <v>4623</v>
      </c>
      <c r="F2057" t="s">
        <v>49</v>
      </c>
      <c r="G2057" t="s">
        <v>50</v>
      </c>
      <c r="H2057" t="s">
        <v>4624</v>
      </c>
      <c r="J2057" t="str">
        <f>HYPERLINK("https://www.facebook.com/357267201017935/inbox/7087570017987586/","https://www.facebook.com/357267201017935/inbox/7087570017987586/")</f>
        <v>https://www.facebook.com/357267201017935/inbox/7087570017987586/</v>
      </c>
      <c r="O2057">
        <v>0</v>
      </c>
      <c r="P2057">
        <v>0</v>
      </c>
      <c r="Q2057">
        <v>0</v>
      </c>
      <c r="S2057">
        <v>0</v>
      </c>
      <c r="T2057">
        <v>0</v>
      </c>
      <c r="U2057">
        <v>0</v>
      </c>
      <c r="W2057" t="s">
        <v>52</v>
      </c>
    </row>
    <row r="2058" spans="1:42" x14ac:dyDescent="0.35">
      <c r="A2058" t="s">
        <v>45</v>
      </c>
      <c r="B2058" t="s">
        <v>4533</v>
      </c>
      <c r="C2058" t="s">
        <v>47</v>
      </c>
      <c r="D2058" t="s">
        <v>4625</v>
      </c>
      <c r="E2058" t="s">
        <v>4625</v>
      </c>
      <c r="F2058" t="s">
        <v>49</v>
      </c>
      <c r="G2058" t="s">
        <v>4626</v>
      </c>
      <c r="H2058" t="s">
        <v>4627</v>
      </c>
      <c r="J2058" t="str">
        <f>HYPERLINK("https://www.facebook.com/454965103328545/posts/771262205032165?comment_id=411402987925520","https://www.facebook.com/454965103328545/posts/771262205032165?comment_id=411402987925520")</f>
        <v>https://www.facebook.com/454965103328545/posts/771262205032165?comment_id=411402987925520</v>
      </c>
      <c r="O2058">
        <v>0</v>
      </c>
      <c r="P2058">
        <v>0</v>
      </c>
      <c r="Q2058">
        <v>0</v>
      </c>
      <c r="S2058">
        <v>0</v>
      </c>
      <c r="T2058">
        <v>0</v>
      </c>
      <c r="U2058">
        <v>0</v>
      </c>
      <c r="W2058" t="s">
        <v>62</v>
      </c>
    </row>
    <row r="2059" spans="1:42" x14ac:dyDescent="0.35">
      <c r="A2059" t="s">
        <v>45</v>
      </c>
      <c r="B2059" t="s">
        <v>4533</v>
      </c>
      <c r="C2059" t="s">
        <v>139</v>
      </c>
      <c r="D2059" t="s">
        <v>4628</v>
      </c>
      <c r="E2059" t="s">
        <v>4629</v>
      </c>
      <c r="F2059" t="s">
        <v>49</v>
      </c>
      <c r="G2059" t="s">
        <v>4630</v>
      </c>
      <c r="H2059" t="s">
        <v>4631</v>
      </c>
      <c r="J2059" t="str">
        <f>HYPERLINK("https://twitter.com/_____000TEJPAL/status/1762004471138144577","https://twitter.com/_____000TEJPAL/status/1762004471138144577")</f>
        <v>https://twitter.com/_____000TEJPAL/status/1762004471138144577</v>
      </c>
      <c r="O2059">
        <v>0</v>
      </c>
      <c r="P2059">
        <v>0</v>
      </c>
      <c r="Q2059">
        <v>380</v>
      </c>
      <c r="S2059">
        <v>0</v>
      </c>
      <c r="T2059">
        <v>0</v>
      </c>
      <c r="U2059">
        <v>0</v>
      </c>
      <c r="W2059" t="s">
        <v>146</v>
      </c>
    </row>
    <row r="2060" spans="1:42" x14ac:dyDescent="0.35">
      <c r="A2060" t="s">
        <v>45</v>
      </c>
      <c r="B2060" t="s">
        <v>4533</v>
      </c>
      <c r="C2060" t="s">
        <v>47</v>
      </c>
      <c r="D2060" t="s">
        <v>4632</v>
      </c>
      <c r="E2060" t="s">
        <v>4632</v>
      </c>
      <c r="F2060" t="s">
        <v>49</v>
      </c>
      <c r="G2060" t="s">
        <v>4633</v>
      </c>
      <c r="H2060" t="s">
        <v>4634</v>
      </c>
      <c r="J2060" t="str">
        <f>HYPERLINK("https://www.facebook.com/454965103328545/posts/755944923230560?comment_id=1889985038100019","https://www.facebook.com/454965103328545/posts/755944923230560?comment_id=1889985038100019")</f>
        <v>https://www.facebook.com/454965103328545/posts/755944923230560?comment_id=1889985038100019</v>
      </c>
      <c r="O2060">
        <v>0</v>
      </c>
      <c r="P2060">
        <v>0</v>
      </c>
      <c r="Q2060">
        <v>0</v>
      </c>
      <c r="S2060">
        <v>0</v>
      </c>
      <c r="T2060">
        <v>0</v>
      </c>
      <c r="U2060">
        <v>0</v>
      </c>
      <c r="W2060" t="s">
        <v>62</v>
      </c>
      <c r="AP2060" t="s">
        <v>101</v>
      </c>
    </row>
    <row r="2061" spans="1:42" x14ac:dyDescent="0.35">
      <c r="A2061" t="s">
        <v>45</v>
      </c>
      <c r="B2061" t="s">
        <v>4533</v>
      </c>
      <c r="C2061" t="s">
        <v>47</v>
      </c>
      <c r="D2061" t="s">
        <v>4635</v>
      </c>
      <c r="E2061" t="s">
        <v>4635</v>
      </c>
      <c r="F2061" t="s">
        <v>49</v>
      </c>
      <c r="G2061" t="s">
        <v>56</v>
      </c>
      <c r="H2061" t="s">
        <v>4636</v>
      </c>
      <c r="J2061" t="str">
        <f>HYPERLINK("https://www.facebook.com/357267201017935/inbox/7087164281361493/","https://www.facebook.com/357267201017935/inbox/7087164281361493/")</f>
        <v>https://www.facebook.com/357267201017935/inbox/7087164281361493/</v>
      </c>
      <c r="O2061">
        <v>0</v>
      </c>
      <c r="P2061">
        <v>0</v>
      </c>
      <c r="Q2061">
        <v>0</v>
      </c>
      <c r="S2061">
        <v>0</v>
      </c>
      <c r="T2061">
        <v>0</v>
      </c>
      <c r="U2061">
        <v>0</v>
      </c>
      <c r="W2061" t="s">
        <v>52</v>
      </c>
    </row>
    <row r="2062" spans="1:42" x14ac:dyDescent="0.35">
      <c r="A2062" t="s">
        <v>45</v>
      </c>
      <c r="B2062" t="s">
        <v>4533</v>
      </c>
      <c r="C2062" t="s">
        <v>139</v>
      </c>
      <c r="D2062" t="s">
        <v>4637</v>
      </c>
      <c r="E2062" t="s">
        <v>4638</v>
      </c>
      <c r="F2062" t="s">
        <v>49</v>
      </c>
      <c r="G2062" t="s">
        <v>4639</v>
      </c>
      <c r="H2062" t="s">
        <v>4640</v>
      </c>
      <c r="J2062" t="str">
        <f>HYPERLINK("https://twitter.com/stocksthiti/status/1761976590001680584","https://twitter.com/stocksthiti/status/1761976590001680584")</f>
        <v>https://twitter.com/stocksthiti/status/1761976590001680584</v>
      </c>
      <c r="O2062">
        <v>0</v>
      </c>
      <c r="P2062">
        <v>0</v>
      </c>
      <c r="Q2062">
        <v>174</v>
      </c>
      <c r="R2062" t="s">
        <v>1868</v>
      </c>
      <c r="S2062">
        <v>0</v>
      </c>
      <c r="T2062">
        <v>0</v>
      </c>
      <c r="U2062">
        <v>0</v>
      </c>
      <c r="W2062" t="s">
        <v>146</v>
      </c>
    </row>
    <row r="2063" spans="1:42" x14ac:dyDescent="0.35">
      <c r="A2063" t="s">
        <v>45</v>
      </c>
      <c r="B2063" t="s">
        <v>4533</v>
      </c>
      <c r="C2063" t="s">
        <v>139</v>
      </c>
      <c r="D2063" t="s">
        <v>4637</v>
      </c>
      <c r="E2063" t="s">
        <v>4638</v>
      </c>
      <c r="F2063" t="s">
        <v>49</v>
      </c>
      <c r="G2063" t="s">
        <v>4641</v>
      </c>
      <c r="H2063" t="s">
        <v>4642</v>
      </c>
      <c r="J2063" t="str">
        <f>HYPERLINK("https://twitter.com/stocksthiti/status/1761976312602964123","https://twitter.com/stocksthiti/status/1761976312602964123")</f>
        <v>https://twitter.com/stocksthiti/status/1761976312602964123</v>
      </c>
      <c r="O2063">
        <v>0</v>
      </c>
      <c r="P2063">
        <v>0</v>
      </c>
      <c r="Q2063">
        <v>174</v>
      </c>
      <c r="R2063" t="s">
        <v>1868</v>
      </c>
      <c r="S2063">
        <v>0</v>
      </c>
      <c r="T2063">
        <v>0</v>
      </c>
      <c r="U2063">
        <v>0</v>
      </c>
      <c r="W2063" t="s">
        <v>146</v>
      </c>
    </row>
    <row r="2064" spans="1:42" x14ac:dyDescent="0.35">
      <c r="A2064" t="s">
        <v>45</v>
      </c>
      <c r="B2064" t="s">
        <v>4533</v>
      </c>
      <c r="C2064" t="s">
        <v>102</v>
      </c>
      <c r="D2064" t="s">
        <v>4643</v>
      </c>
      <c r="E2064" t="s">
        <v>4643</v>
      </c>
      <c r="F2064" t="s">
        <v>49</v>
      </c>
      <c r="G2064" t="s">
        <v>4644</v>
      </c>
      <c r="H2064" t="s">
        <v>4645</v>
      </c>
      <c r="J2064" t="str">
        <f>HYPERLINK("https://www.linkedin.com/feed/update/urn:li:ugcPost:7167727617947680769","https://www.linkedin.com/feed/update/urn:li:ugcPost:7167727617947680769")</f>
        <v>https://www.linkedin.com/feed/update/urn:li:ugcPost:7167727617947680769</v>
      </c>
      <c r="O2064">
        <v>0</v>
      </c>
      <c r="P2064">
        <v>0</v>
      </c>
      <c r="Q2064">
        <v>0</v>
      </c>
      <c r="S2064">
        <v>0</v>
      </c>
      <c r="T2064">
        <v>0</v>
      </c>
      <c r="U2064">
        <v>0</v>
      </c>
      <c r="W2064" t="s">
        <v>106</v>
      </c>
    </row>
    <row r="2065" spans="1:42" x14ac:dyDescent="0.35">
      <c r="A2065" t="s">
        <v>45</v>
      </c>
      <c r="B2065" t="s">
        <v>4533</v>
      </c>
      <c r="C2065" t="s">
        <v>58</v>
      </c>
      <c r="D2065" t="s">
        <v>2862</v>
      </c>
      <c r="E2065" t="s">
        <v>2862</v>
      </c>
      <c r="F2065" t="s">
        <v>49</v>
      </c>
      <c r="G2065" t="s">
        <v>4646</v>
      </c>
      <c r="H2065" t="s">
        <v>4647</v>
      </c>
      <c r="J2065" t="str">
        <f>HYPERLINK("https://www.youtube.com/watch?v=somyL5yYrdY","https://www.youtube.com/watch?v=somyL5yYrdY")</f>
        <v>https://www.youtube.com/watch?v=somyL5yYrdY</v>
      </c>
      <c r="O2065">
        <v>0</v>
      </c>
      <c r="P2065">
        <v>0</v>
      </c>
      <c r="Q2065">
        <v>0</v>
      </c>
      <c r="S2065">
        <v>0</v>
      </c>
      <c r="T2065">
        <v>0</v>
      </c>
      <c r="U2065">
        <v>0</v>
      </c>
      <c r="W2065" t="s">
        <v>106</v>
      </c>
      <c r="AP2065" t="s">
        <v>101</v>
      </c>
    </row>
    <row r="2066" spans="1:42" x14ac:dyDescent="0.35">
      <c r="A2066" t="s">
        <v>45</v>
      </c>
      <c r="B2066" t="s">
        <v>4533</v>
      </c>
      <c r="C2066" t="s">
        <v>139</v>
      </c>
      <c r="D2066" t="s">
        <v>4648</v>
      </c>
      <c r="E2066" t="s">
        <v>4649</v>
      </c>
      <c r="F2066" t="s">
        <v>142</v>
      </c>
      <c r="G2066" t="s">
        <v>4650</v>
      </c>
      <c r="H2066" t="s">
        <v>4651</v>
      </c>
      <c r="J2066" t="str">
        <f>HYPERLINK("https://twitter.com/Shivamshravasti/status/1761824036722741747","https://twitter.com/Shivamshravasti/status/1761824036722741747")</f>
        <v>https://twitter.com/Shivamshravasti/status/1761824036722741747</v>
      </c>
      <c r="K2066" t="s">
        <v>145</v>
      </c>
      <c r="O2066">
        <v>0</v>
      </c>
      <c r="P2066">
        <v>0</v>
      </c>
      <c r="Q2066">
        <v>225</v>
      </c>
      <c r="R2066" t="s">
        <v>4652</v>
      </c>
      <c r="S2066">
        <v>0</v>
      </c>
      <c r="T2066">
        <v>0</v>
      </c>
      <c r="U2066">
        <v>0</v>
      </c>
      <c r="W2066" t="s">
        <v>146</v>
      </c>
    </row>
    <row r="2067" spans="1:42" x14ac:dyDescent="0.35">
      <c r="A2067" t="s">
        <v>45</v>
      </c>
      <c r="B2067" t="s">
        <v>4653</v>
      </c>
      <c r="C2067" t="s">
        <v>47</v>
      </c>
      <c r="D2067" t="s">
        <v>4654</v>
      </c>
      <c r="E2067" t="s">
        <v>4654</v>
      </c>
      <c r="F2067" t="s">
        <v>76</v>
      </c>
      <c r="G2067" t="s">
        <v>4655</v>
      </c>
      <c r="H2067" t="s">
        <v>4656</v>
      </c>
      <c r="J2067" t="str">
        <f>HYPERLINK("https://www.facebook.com/454965103328545/posts/771262205032165?comment_id=416002644417894","https://www.facebook.com/454965103328545/posts/771262205032165?comment_id=416002644417894")</f>
        <v>https://www.facebook.com/454965103328545/posts/771262205032165?comment_id=416002644417894</v>
      </c>
      <c r="O2067">
        <v>0</v>
      </c>
      <c r="P2067">
        <v>0</v>
      </c>
      <c r="Q2067">
        <v>0</v>
      </c>
      <c r="S2067">
        <v>0</v>
      </c>
      <c r="T2067">
        <v>0</v>
      </c>
      <c r="U2067">
        <v>0</v>
      </c>
      <c r="W2067" t="s">
        <v>62</v>
      </c>
    </row>
    <row r="2068" spans="1:42" x14ac:dyDescent="0.35">
      <c r="A2068" t="s">
        <v>45</v>
      </c>
      <c r="B2068" t="s">
        <v>4653</v>
      </c>
      <c r="C2068" t="s">
        <v>139</v>
      </c>
      <c r="D2068" t="s">
        <v>4657</v>
      </c>
      <c r="E2068" t="s">
        <v>4658</v>
      </c>
      <c r="F2068" t="s">
        <v>142</v>
      </c>
      <c r="G2068" t="s">
        <v>4659</v>
      </c>
      <c r="H2068" t="s">
        <v>4660</v>
      </c>
      <c r="J2068" t="str">
        <f>HYPERLINK("https://twitter.com/TafizAhmed2000/status/1761794831825936457","https://twitter.com/TafizAhmed2000/status/1761794831825936457")</f>
        <v>https://twitter.com/TafizAhmed2000/status/1761794831825936457</v>
      </c>
      <c r="O2068">
        <v>0</v>
      </c>
      <c r="P2068">
        <v>0</v>
      </c>
      <c r="Q2068">
        <v>1</v>
      </c>
      <c r="S2068">
        <v>0</v>
      </c>
      <c r="T2068">
        <v>0</v>
      </c>
      <c r="U2068">
        <v>0</v>
      </c>
      <c r="W2068" t="s">
        <v>146</v>
      </c>
      <c r="AP2068" t="s">
        <v>147</v>
      </c>
    </row>
    <row r="2069" spans="1:42" x14ac:dyDescent="0.35">
      <c r="A2069" t="s">
        <v>45</v>
      </c>
      <c r="B2069" t="s">
        <v>4653</v>
      </c>
      <c r="C2069" t="s">
        <v>139</v>
      </c>
      <c r="D2069" t="s">
        <v>4657</v>
      </c>
      <c r="E2069" t="s">
        <v>4658</v>
      </c>
      <c r="F2069" t="s">
        <v>142</v>
      </c>
      <c r="G2069" t="s">
        <v>4661</v>
      </c>
      <c r="H2069" t="s">
        <v>4662</v>
      </c>
      <c r="J2069" t="str">
        <f>HYPERLINK("https://twitter.com/TafizAhmed2000/status/1761794307823198231","https://twitter.com/TafizAhmed2000/status/1761794307823198231")</f>
        <v>https://twitter.com/TafizAhmed2000/status/1761794307823198231</v>
      </c>
      <c r="O2069">
        <v>0</v>
      </c>
      <c r="P2069">
        <v>0</v>
      </c>
      <c r="Q2069">
        <v>1</v>
      </c>
      <c r="S2069">
        <v>0</v>
      </c>
      <c r="T2069">
        <v>0</v>
      </c>
      <c r="U2069">
        <v>0</v>
      </c>
      <c r="W2069" t="s">
        <v>146</v>
      </c>
      <c r="AP2069" t="s">
        <v>101</v>
      </c>
    </row>
    <row r="2070" spans="1:42" x14ac:dyDescent="0.35">
      <c r="A2070" t="s">
        <v>45</v>
      </c>
      <c r="B2070" t="s">
        <v>4653</v>
      </c>
      <c r="C2070" t="s">
        <v>63</v>
      </c>
      <c r="D2070" t="s">
        <v>4090</v>
      </c>
      <c r="E2070" t="s">
        <v>4090</v>
      </c>
      <c r="F2070" t="s">
        <v>49</v>
      </c>
      <c r="G2070" t="s">
        <v>4663</v>
      </c>
      <c r="H2070" t="s">
        <v>4664</v>
      </c>
      <c r="J2070" t="str">
        <f>HYPERLINK("https://www.instagram.com/p/C2KNZxcvv1V/","https://www.instagram.com/p/C2KNZxcvv1V/")</f>
        <v>https://www.instagram.com/p/C2KNZxcvv1V/</v>
      </c>
      <c r="O2070">
        <v>0</v>
      </c>
      <c r="P2070">
        <v>0</v>
      </c>
      <c r="Q2070">
        <v>0</v>
      </c>
      <c r="S2070">
        <v>0</v>
      </c>
      <c r="T2070">
        <v>0</v>
      </c>
      <c r="U2070">
        <v>0</v>
      </c>
      <c r="W2070" t="s">
        <v>62</v>
      </c>
    </row>
    <row r="2071" spans="1:42" x14ac:dyDescent="0.35">
      <c r="A2071" t="s">
        <v>45</v>
      </c>
      <c r="B2071" t="s">
        <v>4653</v>
      </c>
      <c r="C2071" t="s">
        <v>63</v>
      </c>
      <c r="D2071" t="s">
        <v>4090</v>
      </c>
      <c r="E2071" t="s">
        <v>4090</v>
      </c>
      <c r="F2071" t="s">
        <v>49</v>
      </c>
      <c r="G2071" t="s">
        <v>4665</v>
      </c>
      <c r="H2071" t="s">
        <v>4666</v>
      </c>
      <c r="J2071" t="str">
        <f>HYPERLINK("https://www.instagram.com/p/C2KNZxcvv1V/","https://www.instagram.com/p/C2KNZxcvv1V/")</f>
        <v>https://www.instagram.com/p/C2KNZxcvv1V/</v>
      </c>
      <c r="O2071">
        <v>0</v>
      </c>
      <c r="P2071">
        <v>0</v>
      </c>
      <c r="Q2071">
        <v>0</v>
      </c>
      <c r="S2071">
        <v>0</v>
      </c>
      <c r="T2071">
        <v>0</v>
      </c>
      <c r="U2071">
        <v>0</v>
      </c>
      <c r="W2071" t="s">
        <v>62</v>
      </c>
    </row>
    <row r="2072" spans="1:42" x14ac:dyDescent="0.35">
      <c r="A2072" t="s">
        <v>45</v>
      </c>
      <c r="B2072" t="s">
        <v>4653</v>
      </c>
      <c r="C2072" t="s">
        <v>47</v>
      </c>
      <c r="D2072" t="s">
        <v>4667</v>
      </c>
      <c r="E2072" t="s">
        <v>4667</v>
      </c>
      <c r="F2072" t="s">
        <v>49</v>
      </c>
      <c r="G2072" t="s">
        <v>4668</v>
      </c>
      <c r="H2072" t="s">
        <v>4669</v>
      </c>
      <c r="J2072" t="str">
        <f>HYPERLINK("https://www.facebook.com/357267201017935/inbox/7084872661590655/","https://www.facebook.com/357267201017935/inbox/7084872661590655/")</f>
        <v>https://www.facebook.com/357267201017935/inbox/7084872661590655/</v>
      </c>
      <c r="O2072">
        <v>0</v>
      </c>
      <c r="P2072">
        <v>0</v>
      </c>
      <c r="Q2072">
        <v>0</v>
      </c>
      <c r="S2072">
        <v>0</v>
      </c>
      <c r="T2072">
        <v>0</v>
      </c>
      <c r="U2072">
        <v>0</v>
      </c>
      <c r="W2072" t="s">
        <v>52</v>
      </c>
    </row>
    <row r="2073" spans="1:42" x14ac:dyDescent="0.35">
      <c r="A2073" t="s">
        <v>45</v>
      </c>
      <c r="B2073" t="s">
        <v>4653</v>
      </c>
      <c r="C2073" t="s">
        <v>47</v>
      </c>
      <c r="D2073" t="s">
        <v>4667</v>
      </c>
      <c r="E2073" t="s">
        <v>4667</v>
      </c>
      <c r="F2073" t="s">
        <v>49</v>
      </c>
      <c r="G2073" t="s">
        <v>988</v>
      </c>
      <c r="H2073" t="s">
        <v>4670</v>
      </c>
      <c r="J2073" t="str">
        <f>HYPERLINK("https://www.facebook.com/357267201017935/inbox/7084872661590655/","https://www.facebook.com/357267201017935/inbox/7084872661590655/")</f>
        <v>https://www.facebook.com/357267201017935/inbox/7084872661590655/</v>
      </c>
      <c r="O2073">
        <v>0</v>
      </c>
      <c r="P2073">
        <v>0</v>
      </c>
      <c r="Q2073">
        <v>0</v>
      </c>
      <c r="S2073">
        <v>0</v>
      </c>
      <c r="T2073">
        <v>0</v>
      </c>
      <c r="U2073">
        <v>0</v>
      </c>
      <c r="W2073" t="s">
        <v>52</v>
      </c>
    </row>
    <row r="2074" spans="1:42" x14ac:dyDescent="0.35">
      <c r="A2074" t="s">
        <v>45</v>
      </c>
      <c r="B2074" t="s">
        <v>4653</v>
      </c>
      <c r="C2074" t="s">
        <v>47</v>
      </c>
      <c r="D2074" t="s">
        <v>4667</v>
      </c>
      <c r="E2074" t="s">
        <v>4667</v>
      </c>
      <c r="F2074" t="s">
        <v>49</v>
      </c>
      <c r="G2074" t="s">
        <v>4671</v>
      </c>
      <c r="H2074" t="s">
        <v>4672</v>
      </c>
      <c r="J2074" t="str">
        <f>HYPERLINK("https://www.facebook.com/357267201017935/inbox/7084872661590655/","https://www.facebook.com/357267201017935/inbox/7084872661590655/")</f>
        <v>https://www.facebook.com/357267201017935/inbox/7084872661590655/</v>
      </c>
      <c r="O2074">
        <v>0</v>
      </c>
      <c r="P2074">
        <v>0</v>
      </c>
      <c r="Q2074">
        <v>0</v>
      </c>
      <c r="S2074">
        <v>0</v>
      </c>
      <c r="T2074">
        <v>0</v>
      </c>
      <c r="U2074">
        <v>0</v>
      </c>
      <c r="W2074" t="s">
        <v>52</v>
      </c>
    </row>
    <row r="2075" spans="1:42" x14ac:dyDescent="0.35">
      <c r="A2075" t="s">
        <v>45</v>
      </c>
      <c r="B2075" t="s">
        <v>4653</v>
      </c>
      <c r="C2075" t="s">
        <v>139</v>
      </c>
      <c r="D2075" t="s">
        <v>4673</v>
      </c>
      <c r="E2075" t="s">
        <v>4674</v>
      </c>
      <c r="F2075" t="s">
        <v>49</v>
      </c>
      <c r="G2075" t="s">
        <v>4675</v>
      </c>
      <c r="H2075" t="s">
        <v>4676</v>
      </c>
      <c r="J2075" t="str">
        <f>HYPERLINK("https://twitter.com/navneet4192/status/1761778398886867281","https://twitter.com/navneet4192/status/1761778398886867281")</f>
        <v>https://twitter.com/navneet4192/status/1761778398886867281</v>
      </c>
      <c r="K2075" t="s">
        <v>145</v>
      </c>
      <c r="O2075">
        <v>0</v>
      </c>
      <c r="P2075">
        <v>0</v>
      </c>
      <c r="Q2075">
        <v>0</v>
      </c>
      <c r="S2075">
        <v>0</v>
      </c>
      <c r="T2075">
        <v>0</v>
      </c>
      <c r="U2075">
        <v>0</v>
      </c>
      <c r="W2075" t="s">
        <v>146</v>
      </c>
    </row>
    <row r="2076" spans="1:42" x14ac:dyDescent="0.35">
      <c r="A2076" t="s">
        <v>45</v>
      </c>
      <c r="B2076" t="s">
        <v>4653</v>
      </c>
      <c r="C2076" t="s">
        <v>139</v>
      </c>
      <c r="D2076" t="s">
        <v>4673</v>
      </c>
      <c r="E2076" t="s">
        <v>4674</v>
      </c>
      <c r="F2076" t="s">
        <v>49</v>
      </c>
      <c r="G2076" t="s">
        <v>4677</v>
      </c>
      <c r="H2076" t="s">
        <v>4678</v>
      </c>
      <c r="J2076" t="str">
        <f>HYPERLINK("https://twitter.com/navneet4192/status/1761778281635000669","https://twitter.com/navneet4192/status/1761778281635000669")</f>
        <v>https://twitter.com/navneet4192/status/1761778281635000669</v>
      </c>
      <c r="K2076" t="s">
        <v>145</v>
      </c>
      <c r="O2076">
        <v>0</v>
      </c>
      <c r="P2076">
        <v>0</v>
      </c>
      <c r="Q2076">
        <v>0</v>
      </c>
      <c r="S2076">
        <v>0</v>
      </c>
      <c r="T2076">
        <v>0</v>
      </c>
      <c r="U2076">
        <v>0</v>
      </c>
      <c r="W2076" t="s">
        <v>146</v>
      </c>
    </row>
    <row r="2077" spans="1:42" x14ac:dyDescent="0.35">
      <c r="A2077" t="s">
        <v>45</v>
      </c>
      <c r="B2077" t="s">
        <v>4653</v>
      </c>
      <c r="C2077" t="s">
        <v>139</v>
      </c>
      <c r="D2077" t="s">
        <v>4673</v>
      </c>
      <c r="E2077" t="s">
        <v>4674</v>
      </c>
      <c r="F2077" t="s">
        <v>49</v>
      </c>
      <c r="G2077" t="s">
        <v>4679</v>
      </c>
      <c r="H2077" t="s">
        <v>4680</v>
      </c>
      <c r="J2077" t="str">
        <f>HYPERLINK("https://twitter.com/navneet4192/status/1761778081138884688","https://twitter.com/navneet4192/status/1761778081138884688")</f>
        <v>https://twitter.com/navneet4192/status/1761778081138884688</v>
      </c>
      <c r="K2077" t="s">
        <v>145</v>
      </c>
      <c r="O2077">
        <v>0</v>
      </c>
      <c r="P2077">
        <v>0</v>
      </c>
      <c r="Q2077">
        <v>0</v>
      </c>
      <c r="S2077">
        <v>0</v>
      </c>
      <c r="T2077">
        <v>0</v>
      </c>
      <c r="U2077">
        <v>0</v>
      </c>
      <c r="W2077" t="s">
        <v>146</v>
      </c>
    </row>
    <row r="2078" spans="1:42" x14ac:dyDescent="0.35">
      <c r="A2078" t="s">
        <v>45</v>
      </c>
      <c r="B2078" t="s">
        <v>4653</v>
      </c>
      <c r="C2078" t="s">
        <v>139</v>
      </c>
      <c r="D2078" t="s">
        <v>4673</v>
      </c>
      <c r="E2078" t="s">
        <v>4674</v>
      </c>
      <c r="F2078" t="s">
        <v>49</v>
      </c>
      <c r="G2078" t="s">
        <v>4681</v>
      </c>
      <c r="H2078" t="s">
        <v>4682</v>
      </c>
      <c r="J2078" t="str">
        <f>HYPERLINK("https://twitter.com/navneet4192/status/1761777204265144704","https://twitter.com/navneet4192/status/1761777204265144704")</f>
        <v>https://twitter.com/navneet4192/status/1761777204265144704</v>
      </c>
      <c r="K2078" t="s">
        <v>145</v>
      </c>
      <c r="O2078">
        <v>0</v>
      </c>
      <c r="P2078">
        <v>0</v>
      </c>
      <c r="Q2078">
        <v>0</v>
      </c>
      <c r="S2078">
        <v>0</v>
      </c>
      <c r="T2078">
        <v>0</v>
      </c>
      <c r="U2078">
        <v>0</v>
      </c>
      <c r="W2078" t="s">
        <v>146</v>
      </c>
    </row>
    <row r="2079" spans="1:42" x14ac:dyDescent="0.35">
      <c r="A2079" t="s">
        <v>45</v>
      </c>
      <c r="B2079" t="s">
        <v>4653</v>
      </c>
      <c r="C2079" t="s">
        <v>139</v>
      </c>
      <c r="D2079" t="s">
        <v>4673</v>
      </c>
      <c r="E2079" t="s">
        <v>4674</v>
      </c>
      <c r="F2079" t="s">
        <v>49</v>
      </c>
      <c r="G2079" t="s">
        <v>4683</v>
      </c>
      <c r="H2079" t="s">
        <v>4684</v>
      </c>
      <c r="J2079" t="str">
        <f>HYPERLINK("https://twitter.com/navneet4192/status/1761777040485949830","https://twitter.com/navneet4192/status/1761777040485949830")</f>
        <v>https://twitter.com/navneet4192/status/1761777040485949830</v>
      </c>
      <c r="K2079" t="s">
        <v>145</v>
      </c>
      <c r="O2079">
        <v>0</v>
      </c>
      <c r="P2079">
        <v>0</v>
      </c>
      <c r="Q2079">
        <v>0</v>
      </c>
      <c r="S2079">
        <v>0</v>
      </c>
      <c r="T2079">
        <v>0</v>
      </c>
      <c r="U2079">
        <v>0</v>
      </c>
      <c r="W2079" t="s">
        <v>146</v>
      </c>
    </row>
    <row r="2080" spans="1:42" x14ac:dyDescent="0.35">
      <c r="A2080" t="s">
        <v>45</v>
      </c>
      <c r="B2080" t="s">
        <v>4653</v>
      </c>
      <c r="C2080" t="s">
        <v>139</v>
      </c>
      <c r="D2080" t="s">
        <v>4673</v>
      </c>
      <c r="E2080" t="s">
        <v>4674</v>
      </c>
      <c r="F2080" t="s">
        <v>49</v>
      </c>
      <c r="G2080" t="s">
        <v>4685</v>
      </c>
      <c r="H2080" t="s">
        <v>4686</v>
      </c>
      <c r="J2080" t="str">
        <f>HYPERLINK("https://twitter.com/navneet4192/status/1761776882109104143","https://twitter.com/navneet4192/status/1761776882109104143")</f>
        <v>https://twitter.com/navneet4192/status/1761776882109104143</v>
      </c>
      <c r="K2080" t="s">
        <v>145</v>
      </c>
      <c r="O2080">
        <v>0</v>
      </c>
      <c r="P2080">
        <v>0</v>
      </c>
      <c r="Q2080">
        <v>0</v>
      </c>
      <c r="S2080">
        <v>0</v>
      </c>
      <c r="T2080">
        <v>0</v>
      </c>
      <c r="U2080">
        <v>0</v>
      </c>
      <c r="W2080" t="s">
        <v>146</v>
      </c>
    </row>
    <row r="2081" spans="1:42" x14ac:dyDescent="0.35">
      <c r="A2081" t="s">
        <v>45</v>
      </c>
      <c r="B2081" t="s">
        <v>4653</v>
      </c>
      <c r="C2081" t="s">
        <v>139</v>
      </c>
      <c r="D2081" t="s">
        <v>4673</v>
      </c>
      <c r="E2081" t="s">
        <v>4674</v>
      </c>
      <c r="F2081" t="s">
        <v>49</v>
      </c>
      <c r="G2081" t="s">
        <v>4687</v>
      </c>
      <c r="H2081" t="s">
        <v>4688</v>
      </c>
      <c r="J2081" t="str">
        <f>HYPERLINK("https://twitter.com/navneet4192/status/1761776289177084189","https://twitter.com/navneet4192/status/1761776289177084189")</f>
        <v>https://twitter.com/navneet4192/status/1761776289177084189</v>
      </c>
      <c r="K2081" t="s">
        <v>145</v>
      </c>
      <c r="O2081">
        <v>0</v>
      </c>
      <c r="P2081">
        <v>0</v>
      </c>
      <c r="Q2081">
        <v>0</v>
      </c>
      <c r="S2081">
        <v>0</v>
      </c>
      <c r="T2081">
        <v>0</v>
      </c>
      <c r="U2081">
        <v>0</v>
      </c>
      <c r="W2081" t="s">
        <v>146</v>
      </c>
    </row>
    <row r="2082" spans="1:42" x14ac:dyDescent="0.35">
      <c r="A2082" t="s">
        <v>45</v>
      </c>
      <c r="B2082" t="s">
        <v>4653</v>
      </c>
      <c r="C2082" t="s">
        <v>58</v>
      </c>
      <c r="D2082" t="s">
        <v>3860</v>
      </c>
      <c r="E2082" t="s">
        <v>3860</v>
      </c>
      <c r="F2082" t="s">
        <v>49</v>
      </c>
      <c r="G2082" t="s">
        <v>4689</v>
      </c>
      <c r="H2082" t="s">
        <v>4690</v>
      </c>
      <c r="J2082" t="str">
        <f>HYPERLINK("https://www.youtube.com/watch?v=AQ3wQ1zeglk","https://www.youtube.com/watch?v=AQ3wQ1zeglk")</f>
        <v>https://www.youtube.com/watch?v=AQ3wQ1zeglk</v>
      </c>
      <c r="O2082">
        <v>0</v>
      </c>
      <c r="P2082">
        <v>0</v>
      </c>
      <c r="Q2082">
        <v>0</v>
      </c>
      <c r="S2082">
        <v>0</v>
      </c>
      <c r="T2082">
        <v>0</v>
      </c>
      <c r="U2082">
        <v>0</v>
      </c>
      <c r="W2082" t="s">
        <v>106</v>
      </c>
    </row>
    <row r="2083" spans="1:42" x14ac:dyDescent="0.35">
      <c r="A2083" t="s">
        <v>45</v>
      </c>
      <c r="B2083" t="s">
        <v>4653</v>
      </c>
      <c r="C2083" t="s">
        <v>139</v>
      </c>
      <c r="D2083" t="s">
        <v>4673</v>
      </c>
      <c r="E2083" t="s">
        <v>4674</v>
      </c>
      <c r="F2083" t="s">
        <v>49</v>
      </c>
      <c r="G2083" t="s">
        <v>4691</v>
      </c>
      <c r="H2083" t="s">
        <v>4692</v>
      </c>
      <c r="J2083" t="str">
        <f>HYPERLINK("https://twitter.com/navneet4192/status/1761774471432790367","https://twitter.com/navneet4192/status/1761774471432790367")</f>
        <v>https://twitter.com/navneet4192/status/1761774471432790367</v>
      </c>
      <c r="K2083" t="s">
        <v>145</v>
      </c>
      <c r="O2083">
        <v>0</v>
      </c>
      <c r="P2083">
        <v>0</v>
      </c>
      <c r="Q2083">
        <v>0</v>
      </c>
      <c r="S2083">
        <v>0</v>
      </c>
      <c r="T2083">
        <v>0</v>
      </c>
      <c r="U2083">
        <v>0</v>
      </c>
      <c r="W2083" t="s">
        <v>146</v>
      </c>
    </row>
    <row r="2084" spans="1:42" x14ac:dyDescent="0.35">
      <c r="A2084" t="s">
        <v>45</v>
      </c>
      <c r="B2084" t="s">
        <v>4653</v>
      </c>
      <c r="C2084" t="s">
        <v>139</v>
      </c>
      <c r="D2084" t="s">
        <v>4673</v>
      </c>
      <c r="E2084" t="s">
        <v>4674</v>
      </c>
      <c r="F2084" t="s">
        <v>49</v>
      </c>
      <c r="G2084" t="s">
        <v>4693</v>
      </c>
      <c r="H2084" t="s">
        <v>4694</v>
      </c>
      <c r="J2084" t="str">
        <f>HYPERLINK("https://twitter.com/navneet4192/status/1761773549985919034","https://twitter.com/navneet4192/status/1761773549985919034")</f>
        <v>https://twitter.com/navneet4192/status/1761773549985919034</v>
      </c>
      <c r="K2084" t="s">
        <v>145</v>
      </c>
      <c r="O2084">
        <v>0</v>
      </c>
      <c r="P2084">
        <v>0</v>
      </c>
      <c r="Q2084">
        <v>0</v>
      </c>
      <c r="S2084">
        <v>0</v>
      </c>
      <c r="T2084">
        <v>0</v>
      </c>
      <c r="U2084">
        <v>0</v>
      </c>
      <c r="W2084" t="s">
        <v>146</v>
      </c>
    </row>
    <row r="2085" spans="1:42" x14ac:dyDescent="0.35">
      <c r="A2085" t="s">
        <v>45</v>
      </c>
      <c r="B2085" t="s">
        <v>4653</v>
      </c>
      <c r="C2085" t="s">
        <v>58</v>
      </c>
      <c r="D2085" t="s">
        <v>4695</v>
      </c>
      <c r="E2085" t="s">
        <v>4695</v>
      </c>
      <c r="F2085" t="s">
        <v>49</v>
      </c>
      <c r="G2085" t="s">
        <v>4696</v>
      </c>
      <c r="H2085" t="s">
        <v>4697</v>
      </c>
      <c r="J2085" t="str">
        <f>HYPERLINK("https://www.youtube.com/watch?v=PGFGT05epYo","https://www.youtube.com/watch?v=PGFGT05epYo")</f>
        <v>https://www.youtube.com/watch?v=PGFGT05epYo</v>
      </c>
      <c r="O2085">
        <v>0</v>
      </c>
      <c r="P2085">
        <v>0</v>
      </c>
      <c r="Q2085">
        <v>0</v>
      </c>
      <c r="S2085">
        <v>0</v>
      </c>
      <c r="T2085">
        <v>0</v>
      </c>
      <c r="U2085">
        <v>0</v>
      </c>
      <c r="W2085" t="s">
        <v>106</v>
      </c>
    </row>
    <row r="2086" spans="1:42" x14ac:dyDescent="0.35">
      <c r="A2086" t="s">
        <v>45</v>
      </c>
      <c r="B2086" t="s">
        <v>4653</v>
      </c>
      <c r="C2086" t="s">
        <v>58</v>
      </c>
      <c r="D2086" t="s">
        <v>2736</v>
      </c>
      <c r="E2086" t="s">
        <v>2736</v>
      </c>
      <c r="F2086" t="s">
        <v>49</v>
      </c>
      <c r="G2086" t="s">
        <v>4698</v>
      </c>
      <c r="H2086" t="s">
        <v>4699</v>
      </c>
      <c r="J2086" t="str">
        <f>HYPERLINK("https://www.youtube.com/watch?v=Y9BUnV3V0Dg","https://www.youtube.com/watch?v=Y9BUnV3V0Dg")</f>
        <v>https://www.youtube.com/watch?v=Y9BUnV3V0Dg</v>
      </c>
      <c r="O2086">
        <v>0</v>
      </c>
      <c r="P2086">
        <v>0</v>
      </c>
      <c r="Q2086">
        <v>0</v>
      </c>
      <c r="S2086">
        <v>0</v>
      </c>
      <c r="T2086">
        <v>0</v>
      </c>
      <c r="U2086">
        <v>0</v>
      </c>
      <c r="W2086" t="s">
        <v>106</v>
      </c>
    </row>
    <row r="2087" spans="1:42" x14ac:dyDescent="0.35">
      <c r="A2087" t="s">
        <v>45</v>
      </c>
      <c r="B2087" t="s">
        <v>4653</v>
      </c>
      <c r="C2087" t="s">
        <v>102</v>
      </c>
      <c r="D2087" t="s">
        <v>4700</v>
      </c>
      <c r="E2087" t="s">
        <v>4700</v>
      </c>
      <c r="F2087" t="s">
        <v>76</v>
      </c>
      <c r="G2087" s="1" t="s">
        <v>4701</v>
      </c>
      <c r="H2087" t="s">
        <v>4702</v>
      </c>
      <c r="J2087" t="str">
        <f>HYPERLINK("https://www.linkedin.com/feed/update/urn:li:ugcPost:7125482370056486913/?commentUrn=urn:li:comment:(urn:li:ugcPost:7125482370056486913,7167518125909905409)","https://www.linkedin.com/feed/update/urn:li:ugcPost:7125482370056486913/?commentUrn=urn:li:comment:(urn:li:ugcPost:7125482370056486913,7167518125909905409)")</f>
        <v>https://www.linkedin.com/feed/update/urn:li:ugcPost:7125482370056486913/?commentUrn=urn:li:comment:(urn:li:ugcPost:7125482370056486913,7167518125909905409)</v>
      </c>
      <c r="O2087">
        <v>0</v>
      </c>
      <c r="P2087">
        <v>0</v>
      </c>
      <c r="Q2087">
        <v>0</v>
      </c>
      <c r="S2087">
        <v>0</v>
      </c>
      <c r="T2087">
        <v>0</v>
      </c>
      <c r="U2087">
        <v>0</v>
      </c>
      <c r="W2087" t="s">
        <v>62</v>
      </c>
    </row>
    <row r="2088" spans="1:42" x14ac:dyDescent="0.35">
      <c r="A2088" t="s">
        <v>45</v>
      </c>
      <c r="B2088" t="s">
        <v>4653</v>
      </c>
      <c r="C2088" t="s">
        <v>102</v>
      </c>
      <c r="D2088" t="s">
        <v>4700</v>
      </c>
      <c r="E2088" t="s">
        <v>4700</v>
      </c>
      <c r="F2088" t="s">
        <v>76</v>
      </c>
      <c r="G2088" s="1" t="s">
        <v>4701</v>
      </c>
      <c r="H2088" t="s">
        <v>4703</v>
      </c>
      <c r="J2088" t="str">
        <f>HYPERLINK("https://www.linkedin.com/feed/update/urn:li:activity:7159179278708793344/?commentUrn=urn:li:comment:(urn:li:activity:7159179278708793344,7167518083459358720)","https://www.linkedin.com/feed/update/urn:li:activity:7159179278708793344/?commentUrn=urn:li:comment:(urn:li:activity:7159179278708793344,7167518083459358720)")</f>
        <v>https://www.linkedin.com/feed/update/urn:li:activity:7159179278708793344/?commentUrn=urn:li:comment:(urn:li:activity:7159179278708793344,7167518083459358720)</v>
      </c>
      <c r="O2088">
        <v>0</v>
      </c>
      <c r="P2088">
        <v>0</v>
      </c>
      <c r="Q2088">
        <v>0</v>
      </c>
      <c r="S2088">
        <v>0</v>
      </c>
      <c r="T2088">
        <v>0</v>
      </c>
      <c r="U2088">
        <v>0</v>
      </c>
      <c r="W2088" t="s">
        <v>62</v>
      </c>
    </row>
    <row r="2089" spans="1:42" x14ac:dyDescent="0.35">
      <c r="A2089" t="s">
        <v>45</v>
      </c>
      <c r="B2089" t="s">
        <v>4653</v>
      </c>
      <c r="C2089" t="s">
        <v>102</v>
      </c>
      <c r="D2089" t="s">
        <v>4700</v>
      </c>
      <c r="E2089" t="s">
        <v>4700</v>
      </c>
      <c r="F2089" t="s">
        <v>76</v>
      </c>
      <c r="G2089" s="1" t="s">
        <v>4701</v>
      </c>
      <c r="H2089" t="s">
        <v>4704</v>
      </c>
      <c r="J2089" t="str">
        <f>HYPERLINK("https://www.linkedin.com/feed/update/urn:li:activity:7163358693776900096/?commentUrn=urn:li:comment:(urn:li:activity:7163358693776900096,7167518052392144896)","https://www.linkedin.com/feed/update/urn:li:activity:7163358693776900096/?commentUrn=urn:li:comment:(urn:li:activity:7163358693776900096,7167518052392144896)")</f>
        <v>https://www.linkedin.com/feed/update/urn:li:activity:7163358693776900096/?commentUrn=urn:li:comment:(urn:li:activity:7163358693776900096,7167518052392144896)</v>
      </c>
      <c r="O2089">
        <v>0</v>
      </c>
      <c r="P2089">
        <v>0</v>
      </c>
      <c r="Q2089">
        <v>0</v>
      </c>
      <c r="S2089">
        <v>0</v>
      </c>
      <c r="T2089">
        <v>0</v>
      </c>
      <c r="U2089">
        <v>0</v>
      </c>
      <c r="W2089" t="s">
        <v>62</v>
      </c>
    </row>
    <row r="2090" spans="1:42" x14ac:dyDescent="0.35">
      <c r="A2090" t="s">
        <v>45</v>
      </c>
      <c r="B2090" t="s">
        <v>4653</v>
      </c>
      <c r="C2090" t="s">
        <v>102</v>
      </c>
      <c r="D2090" t="s">
        <v>4700</v>
      </c>
      <c r="E2090" t="s">
        <v>4700</v>
      </c>
      <c r="F2090" t="s">
        <v>76</v>
      </c>
      <c r="G2090" s="1" t="s">
        <v>4701</v>
      </c>
      <c r="H2090" t="s">
        <v>4705</v>
      </c>
      <c r="J2090" t="str">
        <f>HYPERLINK("https://www.linkedin.com/feed/update/urn:li:activity:7159734817788416001/?commentUrn=urn:li:comment:(urn:li:activity:7159734817788416001,7167518024072216578)","https://www.linkedin.com/feed/update/urn:li:activity:7159734817788416001/?commentUrn=urn:li:comment:(urn:li:activity:7159734817788416001,7167518024072216578)")</f>
        <v>https://www.linkedin.com/feed/update/urn:li:activity:7159734817788416001/?commentUrn=urn:li:comment:(urn:li:activity:7159734817788416001,7167518024072216578)</v>
      </c>
      <c r="O2090">
        <v>0</v>
      </c>
      <c r="P2090">
        <v>0</v>
      </c>
      <c r="Q2090">
        <v>0</v>
      </c>
      <c r="S2090">
        <v>0</v>
      </c>
      <c r="T2090">
        <v>0</v>
      </c>
      <c r="U2090">
        <v>0</v>
      </c>
      <c r="W2090" t="s">
        <v>62</v>
      </c>
    </row>
    <row r="2091" spans="1:42" x14ac:dyDescent="0.35">
      <c r="A2091" t="s">
        <v>45</v>
      </c>
      <c r="B2091" t="s">
        <v>4653</v>
      </c>
      <c r="C2091" t="s">
        <v>102</v>
      </c>
      <c r="D2091" t="s">
        <v>4700</v>
      </c>
      <c r="E2091" t="s">
        <v>4700</v>
      </c>
      <c r="F2091" t="s">
        <v>76</v>
      </c>
      <c r="G2091" s="1" t="s">
        <v>4701</v>
      </c>
      <c r="H2091" t="s">
        <v>4706</v>
      </c>
      <c r="J2091" t="str">
        <f>HYPERLINK("https://www.linkedin.com/feed/update/urn:li:ugcPost:7156998250124697600/?commentUrn=urn:li:comment:(urn:li:ugcPost:7156998250124697600,7167517990475829248)","https://www.linkedin.com/feed/update/urn:li:ugcPost:7156998250124697600/?commentUrn=urn:li:comment:(urn:li:ugcPost:7156998250124697600,7167517990475829248)")</f>
        <v>https://www.linkedin.com/feed/update/urn:li:ugcPost:7156998250124697600/?commentUrn=urn:li:comment:(urn:li:ugcPost:7156998250124697600,7167517990475829248)</v>
      </c>
      <c r="O2091">
        <v>0</v>
      </c>
      <c r="P2091">
        <v>0</v>
      </c>
      <c r="Q2091">
        <v>0</v>
      </c>
      <c r="S2091">
        <v>0</v>
      </c>
      <c r="T2091">
        <v>0</v>
      </c>
      <c r="U2091">
        <v>0</v>
      </c>
      <c r="W2091" t="s">
        <v>62</v>
      </c>
    </row>
    <row r="2092" spans="1:42" x14ac:dyDescent="0.35">
      <c r="A2092" t="s">
        <v>45</v>
      </c>
      <c r="B2092" t="s">
        <v>4653</v>
      </c>
      <c r="C2092" t="s">
        <v>102</v>
      </c>
      <c r="D2092" t="s">
        <v>4700</v>
      </c>
      <c r="E2092" t="s">
        <v>4700</v>
      </c>
      <c r="F2092" t="s">
        <v>76</v>
      </c>
      <c r="G2092" s="1" t="s">
        <v>4701</v>
      </c>
      <c r="H2092" t="s">
        <v>4707</v>
      </c>
      <c r="J2092" t="str">
        <f>HYPERLINK("https://www.linkedin.com/feed/update/urn:li:ugcPost:7163068889285824512/?commentUrn=urn:li:comment:(urn:li:ugcPost:7163068889285824512,7167517957315661824)","https://www.linkedin.com/feed/update/urn:li:ugcPost:7163068889285824512/?commentUrn=urn:li:comment:(urn:li:ugcPost:7163068889285824512,7167517957315661824)")</f>
        <v>https://www.linkedin.com/feed/update/urn:li:ugcPost:7163068889285824512/?commentUrn=urn:li:comment:(urn:li:ugcPost:7163068889285824512,7167517957315661824)</v>
      </c>
      <c r="O2092">
        <v>0</v>
      </c>
      <c r="P2092">
        <v>0</v>
      </c>
      <c r="Q2092">
        <v>0</v>
      </c>
      <c r="S2092">
        <v>0</v>
      </c>
      <c r="T2092">
        <v>0</v>
      </c>
      <c r="U2092">
        <v>0</v>
      </c>
      <c r="W2092" t="s">
        <v>62</v>
      </c>
    </row>
    <row r="2093" spans="1:42" x14ac:dyDescent="0.35">
      <c r="A2093" t="s">
        <v>45</v>
      </c>
      <c r="B2093" t="s">
        <v>4653</v>
      </c>
      <c r="C2093" t="s">
        <v>102</v>
      </c>
      <c r="D2093" t="s">
        <v>4700</v>
      </c>
      <c r="E2093" t="s">
        <v>4700</v>
      </c>
      <c r="F2093" t="s">
        <v>76</v>
      </c>
      <c r="G2093" s="1" t="s">
        <v>4701</v>
      </c>
      <c r="H2093" t="s">
        <v>4708</v>
      </c>
      <c r="J2093" t="str">
        <f>HYPERLINK("https://www.linkedin.com/feed/update/urn:li:activity:7165170628348571648/?commentUrn=urn:li:comment:(urn:li:activity:7165170628348571648,7167517925095022592)","https://www.linkedin.com/feed/update/urn:li:activity:7165170628348571648/?commentUrn=urn:li:comment:(urn:li:activity:7165170628348571648,7167517925095022592)")</f>
        <v>https://www.linkedin.com/feed/update/urn:li:activity:7165170628348571648/?commentUrn=urn:li:comment:(urn:li:activity:7165170628348571648,7167517925095022592)</v>
      </c>
      <c r="O2093">
        <v>0</v>
      </c>
      <c r="P2093">
        <v>0</v>
      </c>
      <c r="Q2093">
        <v>0</v>
      </c>
      <c r="S2093">
        <v>0</v>
      </c>
      <c r="T2093">
        <v>0</v>
      </c>
      <c r="U2093">
        <v>0</v>
      </c>
      <c r="W2093" t="s">
        <v>62</v>
      </c>
    </row>
    <row r="2094" spans="1:42" x14ac:dyDescent="0.35">
      <c r="A2094" t="s">
        <v>45</v>
      </c>
      <c r="B2094" t="s">
        <v>4653</v>
      </c>
      <c r="C2094" t="s">
        <v>102</v>
      </c>
      <c r="D2094" t="s">
        <v>4700</v>
      </c>
      <c r="E2094" t="s">
        <v>4700</v>
      </c>
      <c r="F2094" t="s">
        <v>76</v>
      </c>
      <c r="G2094" s="1" t="s">
        <v>4701</v>
      </c>
      <c r="H2094" t="s">
        <v>4709</v>
      </c>
      <c r="J2094" t="str">
        <f>HYPERLINK("https://www.linkedin.com/feed/update/urn:li:activity:7165978487973965824/?commentUrn=urn:li:comment:(urn:li:activity:7165978487973965824,7167517895457923072)","https://www.linkedin.com/feed/update/urn:li:activity:7165978487973965824/?commentUrn=urn:li:comment:(urn:li:activity:7165978487973965824,7167517895457923072)")</f>
        <v>https://www.linkedin.com/feed/update/urn:li:activity:7165978487973965824/?commentUrn=urn:li:comment:(urn:li:activity:7165978487973965824,7167517895457923072)</v>
      </c>
      <c r="O2094">
        <v>0</v>
      </c>
      <c r="P2094">
        <v>0</v>
      </c>
      <c r="Q2094">
        <v>0</v>
      </c>
      <c r="S2094">
        <v>0</v>
      </c>
      <c r="T2094">
        <v>0</v>
      </c>
      <c r="U2094">
        <v>0</v>
      </c>
      <c r="W2094" t="s">
        <v>62</v>
      </c>
    </row>
    <row r="2095" spans="1:42" x14ac:dyDescent="0.35">
      <c r="A2095" t="s">
        <v>45</v>
      </c>
      <c r="B2095" t="s">
        <v>4653</v>
      </c>
      <c r="C2095" t="s">
        <v>102</v>
      </c>
      <c r="D2095" t="s">
        <v>4700</v>
      </c>
      <c r="E2095" t="s">
        <v>4700</v>
      </c>
      <c r="F2095" t="s">
        <v>49</v>
      </c>
      <c r="G2095" s="1" t="s">
        <v>4710</v>
      </c>
      <c r="H2095" t="s">
        <v>4711</v>
      </c>
      <c r="J2095" t="str">
        <f>HYPERLINK("https://www.linkedin.com/feed/update/urn:li:activity:7165895404377554944/?commentUrn=urn:li:comment:(urn:li:activity:7165895404377554944,7167517865074442241)","https://www.linkedin.com/feed/update/urn:li:activity:7165895404377554944/?commentUrn=urn:li:comment:(urn:li:activity:7165895404377554944,7167517865074442241)")</f>
        <v>https://www.linkedin.com/feed/update/urn:li:activity:7165895404377554944/?commentUrn=urn:li:comment:(urn:li:activity:7165895404377554944,7167517865074442241)</v>
      </c>
      <c r="K2095" t="s">
        <v>1769</v>
      </c>
      <c r="O2095">
        <v>0</v>
      </c>
      <c r="P2095">
        <v>0</v>
      </c>
      <c r="Q2095">
        <v>0</v>
      </c>
      <c r="S2095">
        <v>0</v>
      </c>
      <c r="T2095">
        <v>0</v>
      </c>
      <c r="U2095">
        <v>0</v>
      </c>
      <c r="W2095" t="s">
        <v>62</v>
      </c>
      <c r="AP2095" t="s">
        <v>101</v>
      </c>
    </row>
    <row r="2096" spans="1:42" x14ac:dyDescent="0.35">
      <c r="A2096" t="s">
        <v>45</v>
      </c>
      <c r="B2096" t="s">
        <v>4653</v>
      </c>
      <c r="C2096" t="s">
        <v>102</v>
      </c>
      <c r="D2096" t="s">
        <v>4700</v>
      </c>
      <c r="E2096" t="s">
        <v>4700</v>
      </c>
      <c r="F2096" t="s">
        <v>76</v>
      </c>
      <c r="G2096" s="1" t="s">
        <v>4701</v>
      </c>
      <c r="H2096" t="s">
        <v>4712</v>
      </c>
      <c r="J2096" t="str">
        <f>HYPERLINK("https://www.linkedin.com/feed/update/urn:li:ugcPost:7160232770802221056/?commentUrn=urn:li:comment:(urn:li:ugcPost:7160232770802221056,7167517834258903040)","https://www.linkedin.com/feed/update/urn:li:ugcPost:7160232770802221056/?commentUrn=urn:li:comment:(urn:li:ugcPost:7160232770802221056,7167517834258903040)")</f>
        <v>https://www.linkedin.com/feed/update/urn:li:ugcPost:7160232770802221056/?commentUrn=urn:li:comment:(urn:li:ugcPost:7160232770802221056,7167517834258903040)</v>
      </c>
      <c r="O2096">
        <v>0</v>
      </c>
      <c r="P2096">
        <v>0</v>
      </c>
      <c r="Q2096">
        <v>0</v>
      </c>
      <c r="S2096">
        <v>0</v>
      </c>
      <c r="T2096">
        <v>0</v>
      </c>
      <c r="U2096">
        <v>0</v>
      </c>
      <c r="W2096" t="s">
        <v>62</v>
      </c>
    </row>
    <row r="2097" spans="1:42" x14ac:dyDescent="0.35">
      <c r="A2097" t="s">
        <v>45</v>
      </c>
      <c r="B2097" t="s">
        <v>4653</v>
      </c>
      <c r="C2097" t="s">
        <v>58</v>
      </c>
      <c r="D2097" t="s">
        <v>3340</v>
      </c>
      <c r="E2097" t="s">
        <v>3340</v>
      </c>
      <c r="F2097" t="s">
        <v>49</v>
      </c>
      <c r="G2097" t="s">
        <v>4713</v>
      </c>
      <c r="H2097" t="s">
        <v>4714</v>
      </c>
      <c r="J2097" t="str">
        <f>HYPERLINK("https://www.youtube.com/watch?v=CqAZC3PuP5Y","https://www.youtube.com/watch?v=CqAZC3PuP5Y")</f>
        <v>https://www.youtube.com/watch?v=CqAZC3PuP5Y</v>
      </c>
      <c r="O2097">
        <v>0</v>
      </c>
      <c r="P2097">
        <v>0</v>
      </c>
      <c r="Q2097">
        <v>0</v>
      </c>
      <c r="S2097">
        <v>0</v>
      </c>
      <c r="T2097">
        <v>0</v>
      </c>
      <c r="U2097">
        <v>0</v>
      </c>
      <c r="W2097" t="s">
        <v>106</v>
      </c>
    </row>
    <row r="2098" spans="1:42" x14ac:dyDescent="0.35">
      <c r="A2098" t="s">
        <v>45</v>
      </c>
      <c r="B2098" t="s">
        <v>4653</v>
      </c>
      <c r="C2098" t="s">
        <v>47</v>
      </c>
      <c r="D2098" t="s">
        <v>4715</v>
      </c>
      <c r="E2098" t="s">
        <v>4715</v>
      </c>
      <c r="F2098" t="s">
        <v>49</v>
      </c>
      <c r="G2098" t="s">
        <v>56</v>
      </c>
      <c r="H2098" t="s">
        <v>4716</v>
      </c>
      <c r="J2098" t="str">
        <f>HYPERLINK("https://www.facebook.com/357267201017935/inbox/7084059871671934/","https://www.facebook.com/357267201017935/inbox/7084059871671934/")</f>
        <v>https://www.facebook.com/357267201017935/inbox/7084059871671934/</v>
      </c>
      <c r="O2098">
        <v>0</v>
      </c>
      <c r="P2098">
        <v>0</v>
      </c>
      <c r="Q2098">
        <v>0</v>
      </c>
      <c r="S2098">
        <v>0</v>
      </c>
      <c r="T2098">
        <v>0</v>
      </c>
      <c r="U2098">
        <v>0</v>
      </c>
      <c r="W2098" t="s">
        <v>52</v>
      </c>
    </row>
    <row r="2099" spans="1:42" x14ac:dyDescent="0.35">
      <c r="A2099" t="s">
        <v>45</v>
      </c>
      <c r="B2099" t="s">
        <v>4653</v>
      </c>
      <c r="C2099" t="s">
        <v>58</v>
      </c>
      <c r="D2099" t="s">
        <v>1240</v>
      </c>
      <c r="E2099" t="s">
        <v>1240</v>
      </c>
      <c r="F2099" t="s">
        <v>49</v>
      </c>
      <c r="G2099" t="s">
        <v>4717</v>
      </c>
      <c r="H2099" t="s">
        <v>4718</v>
      </c>
      <c r="J2099" t="str">
        <f>HYPERLINK("https://www.youtube.com/watch?v=1yo-kw0cpFc","https://www.youtube.com/watch?v=1yo-kw0cpFc")</f>
        <v>https://www.youtube.com/watch?v=1yo-kw0cpFc</v>
      </c>
      <c r="O2099">
        <v>0</v>
      </c>
      <c r="P2099">
        <v>0</v>
      </c>
      <c r="Q2099">
        <v>0</v>
      </c>
      <c r="S2099">
        <v>0</v>
      </c>
      <c r="T2099">
        <v>0</v>
      </c>
      <c r="U2099">
        <v>0</v>
      </c>
      <c r="W2099" t="s">
        <v>106</v>
      </c>
    </row>
    <row r="2100" spans="1:42" x14ac:dyDescent="0.35">
      <c r="A2100" t="s">
        <v>45</v>
      </c>
      <c r="B2100" t="s">
        <v>4653</v>
      </c>
      <c r="C2100" t="s">
        <v>47</v>
      </c>
      <c r="D2100" t="s">
        <v>4719</v>
      </c>
      <c r="E2100" t="s">
        <v>4719</v>
      </c>
      <c r="F2100" t="s">
        <v>49</v>
      </c>
      <c r="G2100" t="s">
        <v>56</v>
      </c>
      <c r="H2100" t="s">
        <v>4720</v>
      </c>
      <c r="J2100" t="str">
        <f>HYPERLINK("https://www.facebook.com/357267201017935/inbox/7083843395026915/","https://www.facebook.com/357267201017935/inbox/7083843395026915/")</f>
        <v>https://www.facebook.com/357267201017935/inbox/7083843395026915/</v>
      </c>
      <c r="O2100">
        <v>0</v>
      </c>
      <c r="P2100">
        <v>0</v>
      </c>
      <c r="Q2100">
        <v>0</v>
      </c>
      <c r="S2100">
        <v>0</v>
      </c>
      <c r="T2100">
        <v>0</v>
      </c>
      <c r="U2100">
        <v>0</v>
      </c>
      <c r="W2100" t="s">
        <v>52</v>
      </c>
    </row>
    <row r="2101" spans="1:42" x14ac:dyDescent="0.35">
      <c r="A2101" t="s">
        <v>45</v>
      </c>
      <c r="B2101" t="s">
        <v>4653</v>
      </c>
      <c r="C2101" t="s">
        <v>47</v>
      </c>
      <c r="D2101" t="s">
        <v>4721</v>
      </c>
      <c r="E2101" t="s">
        <v>4721</v>
      </c>
      <c r="F2101" t="s">
        <v>49</v>
      </c>
      <c r="G2101" t="s">
        <v>4722</v>
      </c>
      <c r="H2101" t="s">
        <v>4723</v>
      </c>
      <c r="J2101" t="str">
        <f>HYPERLINK("https://www.facebook.com/357267201017935/posts/3069910089753619/?comment_id=1406755743562211","https://www.facebook.com/357267201017935/posts/3069910089753619/?comment_id=1406755743562211")</f>
        <v>https://www.facebook.com/357267201017935/posts/3069910089753619/?comment_id=1406755743562211</v>
      </c>
      <c r="O2101">
        <v>0</v>
      </c>
      <c r="P2101">
        <v>0</v>
      </c>
      <c r="Q2101">
        <v>0</v>
      </c>
      <c r="S2101">
        <v>0</v>
      </c>
      <c r="T2101">
        <v>0</v>
      </c>
      <c r="U2101">
        <v>0</v>
      </c>
      <c r="W2101" t="s">
        <v>62</v>
      </c>
    </row>
    <row r="2102" spans="1:42" x14ac:dyDescent="0.35">
      <c r="A2102" t="s">
        <v>45</v>
      </c>
      <c r="B2102" t="s">
        <v>4653</v>
      </c>
      <c r="C2102" t="s">
        <v>47</v>
      </c>
      <c r="D2102" t="s">
        <v>4721</v>
      </c>
      <c r="E2102" t="s">
        <v>4721</v>
      </c>
      <c r="F2102" t="s">
        <v>49</v>
      </c>
      <c r="G2102" t="s">
        <v>459</v>
      </c>
      <c r="H2102" t="s">
        <v>4724</v>
      </c>
      <c r="J2102" t="str">
        <f>HYPERLINK("https://www.facebook.com/357267201017935/posts/3069910089753619/?comment_id=974482707348851","https://www.facebook.com/357267201017935/posts/3069910089753619/?comment_id=974482707348851")</f>
        <v>https://www.facebook.com/357267201017935/posts/3069910089753619/?comment_id=974482707348851</v>
      </c>
      <c r="O2102">
        <v>0</v>
      </c>
      <c r="P2102">
        <v>0</v>
      </c>
      <c r="Q2102">
        <v>0</v>
      </c>
      <c r="S2102">
        <v>0</v>
      </c>
      <c r="T2102">
        <v>0</v>
      </c>
      <c r="U2102">
        <v>0</v>
      </c>
      <c r="W2102" t="s">
        <v>62</v>
      </c>
    </row>
    <row r="2103" spans="1:42" x14ac:dyDescent="0.35">
      <c r="A2103" t="s">
        <v>45</v>
      </c>
      <c r="B2103" t="s">
        <v>4653</v>
      </c>
      <c r="C2103" t="s">
        <v>47</v>
      </c>
      <c r="D2103" t="s">
        <v>4725</v>
      </c>
      <c r="E2103" t="s">
        <v>4725</v>
      </c>
      <c r="F2103" t="s">
        <v>49</v>
      </c>
      <c r="G2103" t="s">
        <v>4726</v>
      </c>
      <c r="H2103" t="s">
        <v>4727</v>
      </c>
      <c r="J2103" t="str">
        <f>HYPERLINK("https://www.facebook.com/454965103328545/posts/771262205032165?comment_id=741435464629065","https://www.facebook.com/454965103328545/posts/771262205032165?comment_id=741435464629065")</f>
        <v>https://www.facebook.com/454965103328545/posts/771262205032165?comment_id=741435464629065</v>
      </c>
      <c r="O2103">
        <v>0</v>
      </c>
      <c r="P2103">
        <v>0</v>
      </c>
      <c r="Q2103">
        <v>0</v>
      </c>
      <c r="S2103">
        <v>0</v>
      </c>
      <c r="T2103">
        <v>0</v>
      </c>
      <c r="U2103">
        <v>0</v>
      </c>
      <c r="W2103" t="s">
        <v>62</v>
      </c>
    </row>
    <row r="2104" spans="1:42" x14ac:dyDescent="0.35">
      <c r="A2104" t="s">
        <v>45</v>
      </c>
      <c r="B2104" t="s">
        <v>4653</v>
      </c>
      <c r="C2104" t="s">
        <v>47</v>
      </c>
      <c r="D2104" t="s">
        <v>151</v>
      </c>
      <c r="E2104" t="s">
        <v>151</v>
      </c>
      <c r="F2104" t="s">
        <v>49</v>
      </c>
      <c r="H2104" t="s">
        <v>4728</v>
      </c>
      <c r="J2104" t="str">
        <f>HYPERLINK("https://www.facebook.com/454965103328545/posts/763871475771238?comment_id=194551207084933","https://www.facebook.com/454965103328545/posts/763871475771238?comment_id=194551207084933")</f>
        <v>https://www.facebook.com/454965103328545/posts/763871475771238?comment_id=194551207084933</v>
      </c>
      <c r="O2104">
        <v>0</v>
      </c>
      <c r="P2104">
        <v>0</v>
      </c>
      <c r="Q2104">
        <v>0</v>
      </c>
      <c r="S2104">
        <v>0</v>
      </c>
      <c r="T2104">
        <v>0</v>
      </c>
      <c r="U2104">
        <v>0</v>
      </c>
      <c r="W2104" t="s">
        <v>62</v>
      </c>
    </row>
    <row r="2105" spans="1:42" x14ac:dyDescent="0.35">
      <c r="A2105" t="s">
        <v>45</v>
      </c>
      <c r="B2105" t="s">
        <v>4653</v>
      </c>
      <c r="C2105" t="s">
        <v>47</v>
      </c>
      <c r="D2105" t="s">
        <v>151</v>
      </c>
      <c r="E2105" t="s">
        <v>151</v>
      </c>
      <c r="F2105" t="s">
        <v>49</v>
      </c>
      <c r="H2105" t="s">
        <v>4729</v>
      </c>
      <c r="J2105" t="str">
        <f>HYPERLINK("https://www.facebook.com/454965103328545/posts/775867004571685?comment_id=345984695090603","https://www.facebook.com/454965103328545/posts/775867004571685?comment_id=345984695090603")</f>
        <v>https://www.facebook.com/454965103328545/posts/775867004571685?comment_id=345984695090603</v>
      </c>
      <c r="O2105">
        <v>0</v>
      </c>
      <c r="P2105">
        <v>0</v>
      </c>
      <c r="Q2105">
        <v>0</v>
      </c>
      <c r="S2105">
        <v>0</v>
      </c>
      <c r="T2105">
        <v>0</v>
      </c>
      <c r="U2105">
        <v>0</v>
      </c>
      <c r="W2105" t="s">
        <v>62</v>
      </c>
    </row>
    <row r="2106" spans="1:42" x14ac:dyDescent="0.35">
      <c r="A2106" t="s">
        <v>45</v>
      </c>
      <c r="B2106" t="s">
        <v>4653</v>
      </c>
      <c r="C2106" t="s">
        <v>47</v>
      </c>
      <c r="D2106" t="s">
        <v>4730</v>
      </c>
      <c r="E2106" t="s">
        <v>4730</v>
      </c>
      <c r="F2106" t="s">
        <v>49</v>
      </c>
      <c r="G2106" t="s">
        <v>4731</v>
      </c>
      <c r="H2106" t="s">
        <v>4732</v>
      </c>
      <c r="J2106" t="str">
        <f>HYPERLINK("https://www.facebook.com/454965103328545/posts/490024586489263?comment_id=3255519784581878","https://www.facebook.com/454965103328545/posts/490024586489263?comment_id=3255519784581878")</f>
        <v>https://www.facebook.com/454965103328545/posts/490024586489263?comment_id=3255519784581878</v>
      </c>
      <c r="O2106">
        <v>0</v>
      </c>
      <c r="P2106">
        <v>0</v>
      </c>
      <c r="Q2106">
        <v>0</v>
      </c>
      <c r="S2106">
        <v>0</v>
      </c>
      <c r="T2106">
        <v>0</v>
      </c>
      <c r="U2106">
        <v>0</v>
      </c>
      <c r="W2106" t="s">
        <v>62</v>
      </c>
    </row>
    <row r="2107" spans="1:42" x14ac:dyDescent="0.35">
      <c r="A2107" t="s">
        <v>45</v>
      </c>
      <c r="B2107" t="s">
        <v>4653</v>
      </c>
      <c r="C2107" t="s">
        <v>47</v>
      </c>
      <c r="F2107" t="s">
        <v>142</v>
      </c>
      <c r="G2107" t="s">
        <v>4733</v>
      </c>
      <c r="H2107" t="s">
        <v>4734</v>
      </c>
      <c r="J2107" t="str">
        <f>HYPERLINK("https://www.facebook.com/6820763411346178_10233252213637931","https://www.facebook.com/6820763411346178_10233252213637931")</f>
        <v>https://www.facebook.com/6820763411346178_10233252213637931</v>
      </c>
      <c r="O2107">
        <v>0</v>
      </c>
      <c r="P2107">
        <v>0</v>
      </c>
      <c r="Q2107">
        <v>0</v>
      </c>
      <c r="S2107">
        <v>0</v>
      </c>
      <c r="T2107">
        <v>0</v>
      </c>
      <c r="U2107">
        <v>0</v>
      </c>
      <c r="W2107" t="s">
        <v>106</v>
      </c>
    </row>
    <row r="2108" spans="1:42" x14ac:dyDescent="0.35">
      <c r="A2108" t="s">
        <v>45</v>
      </c>
      <c r="B2108" t="s">
        <v>4653</v>
      </c>
      <c r="C2108" t="s">
        <v>139</v>
      </c>
      <c r="D2108" t="s">
        <v>4735</v>
      </c>
      <c r="E2108" t="s">
        <v>4736</v>
      </c>
      <c r="F2108" t="s">
        <v>142</v>
      </c>
      <c r="G2108" t="s">
        <v>4737</v>
      </c>
      <c r="H2108" t="s">
        <v>4738</v>
      </c>
      <c r="J2108" t="str">
        <f>HYPERLINK("https://twitter.com/Nizaamjanseva/status/1761591636491166169","https://twitter.com/Nizaamjanseva/status/1761591636491166169")</f>
        <v>https://twitter.com/Nizaamjanseva/status/1761591636491166169</v>
      </c>
      <c r="K2108" t="s">
        <v>145</v>
      </c>
      <c r="O2108">
        <v>0</v>
      </c>
      <c r="P2108">
        <v>0</v>
      </c>
      <c r="Q2108">
        <v>2</v>
      </c>
      <c r="R2108" t="s">
        <v>4739</v>
      </c>
      <c r="S2108">
        <v>0</v>
      </c>
      <c r="T2108">
        <v>0</v>
      </c>
      <c r="U2108">
        <v>0</v>
      </c>
      <c r="W2108" t="s">
        <v>52</v>
      </c>
      <c r="AP2108" t="s">
        <v>101</v>
      </c>
    </row>
    <row r="2109" spans="1:42" x14ac:dyDescent="0.35">
      <c r="A2109" t="s">
        <v>45</v>
      </c>
      <c r="B2109" t="s">
        <v>4653</v>
      </c>
      <c r="C2109" t="s">
        <v>47</v>
      </c>
      <c r="D2109" t="s">
        <v>4740</v>
      </c>
      <c r="E2109" t="s">
        <v>4740</v>
      </c>
      <c r="F2109" t="s">
        <v>49</v>
      </c>
      <c r="G2109" t="s">
        <v>56</v>
      </c>
      <c r="H2109" t="s">
        <v>4741</v>
      </c>
      <c r="J2109" t="str">
        <f>HYPERLINK("https://www.facebook.com/357267201017935/inbox/7082394801838441/","https://www.facebook.com/357267201017935/inbox/7082394801838441/")</f>
        <v>https://www.facebook.com/357267201017935/inbox/7082394801838441/</v>
      </c>
      <c r="O2109">
        <v>0</v>
      </c>
      <c r="P2109">
        <v>0</v>
      </c>
      <c r="Q2109">
        <v>0</v>
      </c>
      <c r="S2109">
        <v>0</v>
      </c>
      <c r="T2109">
        <v>0</v>
      </c>
      <c r="U2109">
        <v>0</v>
      </c>
      <c r="W2109" t="s">
        <v>52</v>
      </c>
    </row>
    <row r="2110" spans="1:42" x14ac:dyDescent="0.35">
      <c r="A2110" t="s">
        <v>45</v>
      </c>
      <c r="B2110" t="s">
        <v>4653</v>
      </c>
      <c r="C2110" t="s">
        <v>63</v>
      </c>
      <c r="D2110" t="s">
        <v>4742</v>
      </c>
      <c r="E2110" t="s">
        <v>4742</v>
      </c>
      <c r="F2110" t="s">
        <v>49</v>
      </c>
      <c r="G2110" t="s">
        <v>4743</v>
      </c>
      <c r="H2110" t="s">
        <v>4744</v>
      </c>
      <c r="J2110" t="str">
        <f>HYPERLINK("https://www.instagram.com/p/C3kg9GTvYTr/","https://www.instagram.com/p/C3kg9GTvYTr/")</f>
        <v>https://www.instagram.com/p/C3kg9GTvYTr/</v>
      </c>
      <c r="O2110">
        <v>0</v>
      </c>
      <c r="P2110">
        <v>0</v>
      </c>
      <c r="Q2110">
        <v>0</v>
      </c>
      <c r="S2110">
        <v>0</v>
      </c>
      <c r="T2110">
        <v>0</v>
      </c>
      <c r="U2110">
        <v>0</v>
      </c>
      <c r="W2110" t="s">
        <v>62</v>
      </c>
      <c r="AP2110" t="s">
        <v>101</v>
      </c>
    </row>
    <row r="2111" spans="1:42" x14ac:dyDescent="0.35">
      <c r="A2111" t="s">
        <v>45</v>
      </c>
      <c r="B2111" t="s">
        <v>4653</v>
      </c>
      <c r="C2111" t="s">
        <v>47</v>
      </c>
      <c r="D2111" t="s">
        <v>4745</v>
      </c>
      <c r="E2111" t="s">
        <v>4745</v>
      </c>
      <c r="F2111" t="s">
        <v>49</v>
      </c>
      <c r="H2111" t="s">
        <v>4746</v>
      </c>
      <c r="J2111" t="str">
        <f>HYPERLINK("https://www.facebook.com/454965103328545/videos/3697954183759550?comment_id=408454571568253","https://www.facebook.com/454965103328545/videos/3697954183759550?comment_id=408454571568253")</f>
        <v>https://www.facebook.com/454965103328545/videos/3697954183759550?comment_id=408454571568253</v>
      </c>
      <c r="O2111">
        <v>0</v>
      </c>
      <c r="P2111">
        <v>0</v>
      </c>
      <c r="Q2111">
        <v>0</v>
      </c>
      <c r="S2111">
        <v>0</v>
      </c>
      <c r="T2111">
        <v>0</v>
      </c>
      <c r="U2111">
        <v>0</v>
      </c>
      <c r="W2111" t="s">
        <v>62</v>
      </c>
    </row>
    <row r="2112" spans="1:42" x14ac:dyDescent="0.35">
      <c r="A2112" t="s">
        <v>45</v>
      </c>
      <c r="B2112" t="s">
        <v>4653</v>
      </c>
      <c r="C2112" t="s">
        <v>47</v>
      </c>
      <c r="D2112" t="s">
        <v>4745</v>
      </c>
      <c r="E2112" t="s">
        <v>4745</v>
      </c>
      <c r="F2112" t="s">
        <v>49</v>
      </c>
      <c r="H2112" t="s">
        <v>4747</v>
      </c>
      <c r="J2112" t="str">
        <f>HYPERLINK("https://www.facebook.com/454965103328545/videos/3697954183759550?comment_id=335535868868254","https://www.facebook.com/454965103328545/videos/3697954183759550?comment_id=335535868868254")</f>
        <v>https://www.facebook.com/454965103328545/videos/3697954183759550?comment_id=335535868868254</v>
      </c>
      <c r="O2112">
        <v>0</v>
      </c>
      <c r="P2112">
        <v>0</v>
      </c>
      <c r="Q2112">
        <v>0</v>
      </c>
      <c r="S2112">
        <v>0</v>
      </c>
      <c r="T2112">
        <v>0</v>
      </c>
      <c r="U2112">
        <v>0</v>
      </c>
      <c r="W2112" t="s">
        <v>62</v>
      </c>
    </row>
    <row r="2113" spans="1:45" x14ac:dyDescent="0.35">
      <c r="A2113" t="s">
        <v>45</v>
      </c>
      <c r="B2113" t="s">
        <v>4653</v>
      </c>
      <c r="C2113" t="s">
        <v>47</v>
      </c>
      <c r="D2113" t="s">
        <v>4745</v>
      </c>
      <c r="E2113" t="s">
        <v>4745</v>
      </c>
      <c r="F2113" t="s">
        <v>49</v>
      </c>
      <c r="G2113" t="s">
        <v>761</v>
      </c>
      <c r="H2113" t="s">
        <v>4748</v>
      </c>
      <c r="J2113" t="str">
        <f>HYPERLINK("https://www.facebook.com/454965103328545/videos/3697954183759550?comment_id=1158006095571965","https://www.facebook.com/454965103328545/videos/3697954183759550?comment_id=1158006095571965")</f>
        <v>https://www.facebook.com/454965103328545/videos/3697954183759550?comment_id=1158006095571965</v>
      </c>
      <c r="O2113">
        <v>0</v>
      </c>
      <c r="P2113">
        <v>0</v>
      </c>
      <c r="Q2113">
        <v>0</v>
      </c>
      <c r="S2113">
        <v>0</v>
      </c>
      <c r="T2113">
        <v>0</v>
      </c>
      <c r="U2113">
        <v>0</v>
      </c>
      <c r="W2113" t="s">
        <v>62</v>
      </c>
    </row>
    <row r="2114" spans="1:45" x14ac:dyDescent="0.35">
      <c r="A2114" t="s">
        <v>45</v>
      </c>
      <c r="B2114" t="s">
        <v>4749</v>
      </c>
      <c r="C2114" t="s">
        <v>58</v>
      </c>
      <c r="D2114" t="s">
        <v>3240</v>
      </c>
      <c r="E2114" t="s">
        <v>3240</v>
      </c>
      <c r="F2114" t="s">
        <v>142</v>
      </c>
      <c r="G2114" t="s">
        <v>4750</v>
      </c>
      <c r="H2114" t="s">
        <v>4751</v>
      </c>
      <c r="J2114" t="str">
        <f>HYPERLINK("https://www.youtube.com/watch?v=qBe7PE7kSAA","https://www.youtube.com/watch?v=qBe7PE7kSAA")</f>
        <v>https://www.youtube.com/watch?v=qBe7PE7kSAA</v>
      </c>
      <c r="O2114">
        <v>0</v>
      </c>
      <c r="P2114">
        <v>0</v>
      </c>
      <c r="Q2114">
        <v>0</v>
      </c>
      <c r="S2114">
        <v>0</v>
      </c>
      <c r="T2114">
        <v>0</v>
      </c>
      <c r="U2114">
        <v>0</v>
      </c>
      <c r="W2114" t="s">
        <v>106</v>
      </c>
      <c r="AP2114" t="s">
        <v>147</v>
      </c>
    </row>
    <row r="2115" spans="1:45" x14ac:dyDescent="0.35">
      <c r="A2115" t="s">
        <v>45</v>
      </c>
      <c r="B2115" t="s">
        <v>4749</v>
      </c>
      <c r="C2115" t="s">
        <v>63</v>
      </c>
      <c r="D2115" t="s">
        <v>4752</v>
      </c>
      <c r="E2115" t="s">
        <v>4752</v>
      </c>
      <c r="F2115" t="s">
        <v>49</v>
      </c>
      <c r="G2115" t="s">
        <v>4753</v>
      </c>
      <c r="H2115" t="s">
        <v>4754</v>
      </c>
      <c r="J2115" t="str">
        <f>HYPERLINK("https://www.instagram.com/reel/C3sDoSHIOmC/","https://www.instagram.com/reel/C3sDoSHIOmC/")</f>
        <v>https://www.instagram.com/reel/C3sDoSHIOmC/</v>
      </c>
      <c r="O2115">
        <v>0</v>
      </c>
      <c r="P2115">
        <v>0</v>
      </c>
      <c r="Q2115">
        <v>0</v>
      </c>
      <c r="S2115">
        <v>0</v>
      </c>
      <c r="T2115">
        <v>0</v>
      </c>
      <c r="U2115">
        <v>0</v>
      </c>
      <c r="W2115" t="s">
        <v>62</v>
      </c>
    </row>
    <row r="2116" spans="1:45" x14ac:dyDescent="0.35">
      <c r="A2116" t="s">
        <v>45</v>
      </c>
      <c r="B2116" t="s">
        <v>4749</v>
      </c>
      <c r="C2116" t="s">
        <v>47</v>
      </c>
      <c r="D2116" t="s">
        <v>4431</v>
      </c>
      <c r="E2116" t="s">
        <v>4431</v>
      </c>
      <c r="F2116" t="s">
        <v>49</v>
      </c>
      <c r="G2116" t="s">
        <v>4755</v>
      </c>
      <c r="H2116" t="s">
        <v>4756</v>
      </c>
      <c r="J2116" t="str">
        <f>HYPERLINK("https://www.facebook.com/357267201017935/inbox/7080548552023066/","https://www.facebook.com/357267201017935/inbox/7080548552023066/")</f>
        <v>https://www.facebook.com/357267201017935/inbox/7080548552023066/</v>
      </c>
      <c r="O2116">
        <v>0</v>
      </c>
      <c r="P2116">
        <v>0</v>
      </c>
      <c r="Q2116">
        <v>0</v>
      </c>
      <c r="S2116">
        <v>0</v>
      </c>
      <c r="T2116">
        <v>0</v>
      </c>
      <c r="U2116">
        <v>0</v>
      </c>
      <c r="W2116" t="s">
        <v>52</v>
      </c>
      <c r="AS2116" t="s">
        <v>375</v>
      </c>
    </row>
    <row r="2117" spans="1:45" x14ac:dyDescent="0.35">
      <c r="A2117" t="s">
        <v>45</v>
      </c>
      <c r="B2117" t="s">
        <v>4749</v>
      </c>
      <c r="C2117" t="s">
        <v>58</v>
      </c>
      <c r="D2117" t="s">
        <v>1217</v>
      </c>
      <c r="E2117" t="s">
        <v>1217</v>
      </c>
      <c r="F2117" t="s">
        <v>49</v>
      </c>
      <c r="G2117" t="s">
        <v>4757</v>
      </c>
      <c r="H2117" t="s">
        <v>4758</v>
      </c>
      <c r="J2117" t="str">
        <f>HYPERLINK("https://www.youtube.com/watch?v=hwYphfRb1wQ","https://www.youtube.com/watch?v=hwYphfRb1wQ")</f>
        <v>https://www.youtube.com/watch?v=hwYphfRb1wQ</v>
      </c>
      <c r="O2117">
        <v>0</v>
      </c>
      <c r="P2117">
        <v>0</v>
      </c>
      <c r="Q2117">
        <v>0</v>
      </c>
      <c r="S2117">
        <v>0</v>
      </c>
      <c r="T2117">
        <v>0</v>
      </c>
      <c r="U2117">
        <v>0</v>
      </c>
      <c r="W2117" t="s">
        <v>106</v>
      </c>
      <c r="AP2117" t="s">
        <v>101</v>
      </c>
    </row>
    <row r="2118" spans="1:45" x14ac:dyDescent="0.35">
      <c r="A2118" t="s">
        <v>45</v>
      </c>
      <c r="B2118" t="s">
        <v>4749</v>
      </c>
      <c r="C2118" t="s">
        <v>63</v>
      </c>
      <c r="D2118" t="s">
        <v>4759</v>
      </c>
      <c r="E2118" t="s">
        <v>4759</v>
      </c>
      <c r="F2118" t="s">
        <v>49</v>
      </c>
      <c r="G2118" t="s">
        <v>4760</v>
      </c>
      <c r="H2118" t="s">
        <v>4761</v>
      </c>
      <c r="J2118" t="str">
        <f>HYPERLINK("https://www.instagram.com/p/C3U1uytgenK/","https://www.instagram.com/p/C3U1uytgenK/")</f>
        <v>https://www.instagram.com/p/C3U1uytgenK/</v>
      </c>
      <c r="O2118">
        <v>0</v>
      </c>
      <c r="P2118">
        <v>0</v>
      </c>
      <c r="Q2118">
        <v>0</v>
      </c>
      <c r="S2118">
        <v>0</v>
      </c>
      <c r="T2118">
        <v>0</v>
      </c>
      <c r="U2118">
        <v>0</v>
      </c>
      <c r="W2118" t="s">
        <v>62</v>
      </c>
      <c r="AS2118" t="s">
        <v>375</v>
      </c>
    </row>
    <row r="2119" spans="1:45" x14ac:dyDescent="0.35">
      <c r="A2119" t="s">
        <v>45</v>
      </c>
      <c r="B2119" t="s">
        <v>4749</v>
      </c>
      <c r="C2119" t="s">
        <v>47</v>
      </c>
      <c r="D2119" t="s">
        <v>4762</v>
      </c>
      <c r="E2119" t="s">
        <v>4762</v>
      </c>
      <c r="F2119" t="s">
        <v>49</v>
      </c>
      <c r="G2119" t="s">
        <v>4763</v>
      </c>
      <c r="H2119" t="s">
        <v>4764</v>
      </c>
      <c r="J2119" t="str">
        <f>HYPERLINK("https://www.facebook.com/357267201017935/inbox/7080376458706942/","https://www.facebook.com/357267201017935/inbox/7080376458706942/")</f>
        <v>https://www.facebook.com/357267201017935/inbox/7080376458706942/</v>
      </c>
      <c r="O2119">
        <v>0</v>
      </c>
      <c r="P2119">
        <v>0</v>
      </c>
      <c r="Q2119">
        <v>0</v>
      </c>
      <c r="S2119">
        <v>0</v>
      </c>
      <c r="T2119">
        <v>0</v>
      </c>
      <c r="U2119">
        <v>0</v>
      </c>
      <c r="W2119" t="s">
        <v>52</v>
      </c>
      <c r="AP2119" t="s">
        <v>94</v>
      </c>
      <c r="AS2119" t="s">
        <v>375</v>
      </c>
    </row>
    <row r="2120" spans="1:45" x14ac:dyDescent="0.35">
      <c r="A2120" t="s">
        <v>45</v>
      </c>
      <c r="B2120" t="s">
        <v>4749</v>
      </c>
      <c r="C2120" t="s">
        <v>63</v>
      </c>
      <c r="D2120" t="s">
        <v>4765</v>
      </c>
      <c r="E2120" t="s">
        <v>4765</v>
      </c>
      <c r="F2120" t="s">
        <v>49</v>
      </c>
      <c r="G2120" t="s">
        <v>4766</v>
      </c>
      <c r="H2120" t="s">
        <v>4767</v>
      </c>
      <c r="J2120" t="str">
        <f>HYPERLINK("https://www.instagram.com/p/C3U7TX_AUmg/","https://www.instagram.com/p/C3U7TX_AUmg/")</f>
        <v>https://www.instagram.com/p/C3U7TX_AUmg/</v>
      </c>
      <c r="O2120">
        <v>0</v>
      </c>
      <c r="P2120">
        <v>0</v>
      </c>
      <c r="Q2120">
        <v>0</v>
      </c>
      <c r="S2120">
        <v>0</v>
      </c>
      <c r="T2120">
        <v>0</v>
      </c>
      <c r="U2120">
        <v>0</v>
      </c>
      <c r="W2120" t="s">
        <v>62</v>
      </c>
    </row>
    <row r="2121" spans="1:45" x14ac:dyDescent="0.35">
      <c r="A2121" t="s">
        <v>45</v>
      </c>
      <c r="B2121" t="s">
        <v>4749</v>
      </c>
      <c r="C2121" t="s">
        <v>139</v>
      </c>
      <c r="D2121" t="s">
        <v>4768</v>
      </c>
      <c r="E2121" t="s">
        <v>4769</v>
      </c>
      <c r="F2121" t="s">
        <v>76</v>
      </c>
      <c r="G2121" t="s">
        <v>4770</v>
      </c>
      <c r="H2121" t="s">
        <v>4771</v>
      </c>
      <c r="J2121" t="str">
        <f>HYPERLINK("https://twitter.com/cards_wizard/status/1761368928671211836","https://twitter.com/cards_wizard/status/1761368928671211836")</f>
        <v>https://twitter.com/cards_wizard/status/1761368928671211836</v>
      </c>
      <c r="O2121">
        <v>0</v>
      </c>
      <c r="P2121">
        <v>0</v>
      </c>
      <c r="Q2121">
        <v>4143</v>
      </c>
      <c r="R2121" t="s">
        <v>1247</v>
      </c>
      <c r="S2121">
        <v>0</v>
      </c>
      <c r="T2121">
        <v>0</v>
      </c>
      <c r="U2121">
        <v>0</v>
      </c>
      <c r="V2121" t="s">
        <v>642</v>
      </c>
      <c r="W2121" t="s">
        <v>146</v>
      </c>
    </row>
    <row r="2122" spans="1:45" x14ac:dyDescent="0.35">
      <c r="A2122" t="s">
        <v>45</v>
      </c>
      <c r="B2122" t="s">
        <v>4749</v>
      </c>
      <c r="C2122" t="s">
        <v>58</v>
      </c>
      <c r="D2122" t="s">
        <v>4772</v>
      </c>
      <c r="E2122" t="s">
        <v>4772</v>
      </c>
      <c r="F2122" t="s">
        <v>49</v>
      </c>
      <c r="G2122" t="s">
        <v>4773</v>
      </c>
      <c r="H2122" t="s">
        <v>4774</v>
      </c>
      <c r="J2122" t="str">
        <f>HYPERLINK("https://www.youtube.com/watch?v=p2l3gZ1P_0E","https://www.youtube.com/watch?v=p2l3gZ1P_0E")</f>
        <v>https://www.youtube.com/watch?v=p2l3gZ1P_0E</v>
      </c>
      <c r="O2122">
        <v>0</v>
      </c>
      <c r="P2122">
        <v>0</v>
      </c>
      <c r="Q2122">
        <v>0</v>
      </c>
      <c r="S2122">
        <v>0</v>
      </c>
      <c r="T2122">
        <v>0</v>
      </c>
      <c r="U2122">
        <v>0</v>
      </c>
      <c r="W2122" t="s">
        <v>106</v>
      </c>
    </row>
    <row r="2123" spans="1:45" x14ac:dyDescent="0.35">
      <c r="A2123" t="s">
        <v>45</v>
      </c>
      <c r="B2123" t="s">
        <v>4749</v>
      </c>
      <c r="C2123" t="s">
        <v>47</v>
      </c>
      <c r="D2123" t="s">
        <v>4775</v>
      </c>
      <c r="E2123" t="s">
        <v>4775</v>
      </c>
      <c r="F2123" t="s">
        <v>49</v>
      </c>
      <c r="G2123" t="s">
        <v>4776</v>
      </c>
      <c r="H2123" t="s">
        <v>4777</v>
      </c>
      <c r="J2123" t="str">
        <f>HYPERLINK("https://www.facebook.com/454965103328545/posts/768116778680041?comment_id=286474424266602","https://www.facebook.com/454965103328545/posts/768116778680041?comment_id=286474424266602")</f>
        <v>https://www.facebook.com/454965103328545/posts/768116778680041?comment_id=286474424266602</v>
      </c>
      <c r="O2123">
        <v>0</v>
      </c>
      <c r="P2123">
        <v>0</v>
      </c>
      <c r="Q2123">
        <v>0</v>
      </c>
      <c r="S2123">
        <v>0</v>
      </c>
      <c r="T2123">
        <v>0</v>
      </c>
      <c r="U2123">
        <v>0</v>
      </c>
      <c r="W2123" t="s">
        <v>62</v>
      </c>
    </row>
    <row r="2124" spans="1:45" x14ac:dyDescent="0.35">
      <c r="A2124" t="s">
        <v>45</v>
      </c>
      <c r="B2124" t="s">
        <v>4749</v>
      </c>
      <c r="C2124" t="s">
        <v>47</v>
      </c>
      <c r="D2124" t="s">
        <v>4778</v>
      </c>
      <c r="E2124" t="s">
        <v>4778</v>
      </c>
      <c r="F2124" t="s">
        <v>49</v>
      </c>
      <c r="G2124" t="s">
        <v>4779</v>
      </c>
      <c r="H2124" t="s">
        <v>4780</v>
      </c>
      <c r="J2124" t="str">
        <f>HYPERLINK("https://www.facebook.com/357267201017935/inbox/7072215612856360/","https://www.facebook.com/357267201017935/inbox/7072215612856360/")</f>
        <v>https://www.facebook.com/357267201017935/inbox/7072215612856360/</v>
      </c>
      <c r="O2124">
        <v>0</v>
      </c>
      <c r="P2124">
        <v>0</v>
      </c>
      <c r="Q2124">
        <v>0</v>
      </c>
      <c r="S2124">
        <v>0</v>
      </c>
      <c r="T2124">
        <v>0</v>
      </c>
      <c r="U2124">
        <v>0</v>
      </c>
      <c r="W2124" t="s">
        <v>52</v>
      </c>
    </row>
    <row r="2125" spans="1:45" x14ac:dyDescent="0.35">
      <c r="A2125" t="s">
        <v>45</v>
      </c>
      <c r="B2125" t="s">
        <v>4749</v>
      </c>
      <c r="C2125" t="s">
        <v>58</v>
      </c>
      <c r="D2125" t="s">
        <v>4611</v>
      </c>
      <c r="E2125" t="s">
        <v>4611</v>
      </c>
      <c r="F2125" t="s">
        <v>76</v>
      </c>
      <c r="G2125" t="s">
        <v>4781</v>
      </c>
      <c r="H2125" t="s">
        <v>4782</v>
      </c>
      <c r="J2125" t="str">
        <f>HYPERLINK("https://www.youtube.com/watch?v=BuzrQVFjiJI","https://www.youtube.com/watch?v=BuzrQVFjiJI")</f>
        <v>https://www.youtube.com/watch?v=BuzrQVFjiJI</v>
      </c>
      <c r="O2125">
        <v>0</v>
      </c>
      <c r="P2125">
        <v>0</v>
      </c>
      <c r="Q2125">
        <v>0</v>
      </c>
      <c r="S2125">
        <v>0</v>
      </c>
      <c r="T2125">
        <v>0</v>
      </c>
      <c r="U2125">
        <v>0</v>
      </c>
      <c r="W2125" t="s">
        <v>106</v>
      </c>
    </row>
    <row r="2126" spans="1:45" x14ac:dyDescent="0.35">
      <c r="A2126" t="s">
        <v>45</v>
      </c>
      <c r="B2126" t="s">
        <v>4749</v>
      </c>
      <c r="C2126" t="s">
        <v>47</v>
      </c>
      <c r="D2126" t="s">
        <v>4783</v>
      </c>
      <c r="E2126" t="s">
        <v>4783</v>
      </c>
      <c r="F2126" t="s">
        <v>49</v>
      </c>
      <c r="G2126" t="s">
        <v>4784</v>
      </c>
      <c r="H2126" t="s">
        <v>4785</v>
      </c>
      <c r="J2126" t="str">
        <f>HYPERLINK("https://www.facebook.com/357267201017935/inbox/7079365738808014/","https://www.facebook.com/357267201017935/inbox/7079365738808014/")</f>
        <v>https://www.facebook.com/357267201017935/inbox/7079365738808014/</v>
      </c>
      <c r="O2126">
        <v>0</v>
      </c>
      <c r="P2126">
        <v>0</v>
      </c>
      <c r="Q2126">
        <v>0</v>
      </c>
      <c r="S2126">
        <v>0</v>
      </c>
      <c r="T2126">
        <v>0</v>
      </c>
      <c r="U2126">
        <v>0</v>
      </c>
      <c r="W2126" t="s">
        <v>52</v>
      </c>
    </row>
    <row r="2127" spans="1:45" x14ac:dyDescent="0.35">
      <c r="A2127" t="s">
        <v>45</v>
      </c>
      <c r="B2127" t="s">
        <v>4749</v>
      </c>
      <c r="C2127" t="s">
        <v>58</v>
      </c>
      <c r="D2127" t="s">
        <v>3869</v>
      </c>
      <c r="E2127" t="s">
        <v>3869</v>
      </c>
      <c r="F2127" t="s">
        <v>49</v>
      </c>
      <c r="G2127" t="s">
        <v>4786</v>
      </c>
      <c r="H2127" t="s">
        <v>4787</v>
      </c>
      <c r="J2127" t="str">
        <f>HYPERLINK("https://www.youtube.com/watch?v=MtIx_04GCGU","https://www.youtube.com/watch?v=MtIx_04GCGU")</f>
        <v>https://www.youtube.com/watch?v=MtIx_04GCGU</v>
      </c>
      <c r="O2127">
        <v>0</v>
      </c>
      <c r="P2127">
        <v>0</v>
      </c>
      <c r="Q2127">
        <v>0</v>
      </c>
      <c r="S2127">
        <v>0</v>
      </c>
      <c r="T2127">
        <v>0</v>
      </c>
      <c r="U2127">
        <v>0</v>
      </c>
      <c r="W2127" t="s">
        <v>106</v>
      </c>
    </row>
    <row r="2128" spans="1:45" x14ac:dyDescent="0.35">
      <c r="A2128" t="s">
        <v>45</v>
      </c>
      <c r="B2128" t="s">
        <v>4749</v>
      </c>
      <c r="C2128" t="s">
        <v>139</v>
      </c>
      <c r="D2128" t="s">
        <v>4788</v>
      </c>
      <c r="E2128" t="s">
        <v>4789</v>
      </c>
      <c r="F2128" t="s">
        <v>49</v>
      </c>
      <c r="G2128" t="s">
        <v>4790</v>
      </c>
      <c r="H2128" t="s">
        <v>4791</v>
      </c>
      <c r="J2128" t="str">
        <f>HYPERLINK("https://twitter.com/blackfoxindia/status/1761309824581804343","https://twitter.com/blackfoxindia/status/1761309824581804343")</f>
        <v>https://twitter.com/blackfoxindia/status/1761309824581804343</v>
      </c>
      <c r="O2128">
        <v>0</v>
      </c>
      <c r="P2128">
        <v>0</v>
      </c>
      <c r="Q2128">
        <v>96</v>
      </c>
      <c r="R2128" t="s">
        <v>4792</v>
      </c>
      <c r="S2128">
        <v>0</v>
      </c>
      <c r="T2128">
        <v>0</v>
      </c>
      <c r="U2128">
        <v>0</v>
      </c>
      <c r="W2128" t="s">
        <v>146</v>
      </c>
    </row>
    <row r="2129" spans="1:41" x14ac:dyDescent="0.35">
      <c r="A2129" t="s">
        <v>45</v>
      </c>
      <c r="B2129" t="s">
        <v>4749</v>
      </c>
      <c r="C2129" t="s">
        <v>47</v>
      </c>
      <c r="D2129" t="s">
        <v>3798</v>
      </c>
      <c r="E2129" t="s">
        <v>3798</v>
      </c>
      <c r="F2129" t="s">
        <v>49</v>
      </c>
      <c r="G2129" t="s">
        <v>253</v>
      </c>
      <c r="H2129" t="s">
        <v>4793</v>
      </c>
      <c r="J2129" t="str">
        <f t="shared" ref="J2129:J2134" si="2">HYPERLINK("https://www.facebook.com/357267201017935/inbox/7079209205490334/","https://www.facebook.com/357267201017935/inbox/7079209205490334/")</f>
        <v>https://www.facebook.com/357267201017935/inbox/7079209205490334/</v>
      </c>
      <c r="O2129">
        <v>0</v>
      </c>
      <c r="P2129">
        <v>0</v>
      </c>
      <c r="Q2129">
        <v>0</v>
      </c>
      <c r="S2129">
        <v>0</v>
      </c>
      <c r="T2129">
        <v>0</v>
      </c>
      <c r="U2129">
        <v>0</v>
      </c>
      <c r="W2129" t="s">
        <v>52</v>
      </c>
    </row>
    <row r="2130" spans="1:41" x14ac:dyDescent="0.35">
      <c r="A2130" t="s">
        <v>45</v>
      </c>
      <c r="B2130" t="s">
        <v>4749</v>
      </c>
      <c r="C2130" t="s">
        <v>47</v>
      </c>
      <c r="D2130" t="s">
        <v>3798</v>
      </c>
      <c r="E2130" t="s">
        <v>3798</v>
      </c>
      <c r="F2130" t="s">
        <v>49</v>
      </c>
      <c r="G2130" t="s">
        <v>50</v>
      </c>
      <c r="H2130" t="s">
        <v>4794</v>
      </c>
      <c r="J2130" t="str">
        <f t="shared" si="2"/>
        <v>https://www.facebook.com/357267201017935/inbox/7079209205490334/</v>
      </c>
      <c r="O2130">
        <v>0</v>
      </c>
      <c r="P2130">
        <v>0</v>
      </c>
      <c r="Q2130">
        <v>0</v>
      </c>
      <c r="S2130">
        <v>0</v>
      </c>
      <c r="T2130">
        <v>0</v>
      </c>
      <c r="U2130">
        <v>0</v>
      </c>
      <c r="W2130" t="s">
        <v>52</v>
      </c>
    </row>
    <row r="2131" spans="1:41" x14ac:dyDescent="0.35">
      <c r="A2131" t="s">
        <v>45</v>
      </c>
      <c r="B2131" t="s">
        <v>4749</v>
      </c>
      <c r="C2131" t="s">
        <v>47</v>
      </c>
      <c r="D2131" t="s">
        <v>3798</v>
      </c>
      <c r="E2131" t="s">
        <v>3798</v>
      </c>
      <c r="F2131" t="s">
        <v>49</v>
      </c>
      <c r="G2131" t="s">
        <v>253</v>
      </c>
      <c r="H2131" t="s">
        <v>4795</v>
      </c>
      <c r="J2131" t="str">
        <f t="shared" si="2"/>
        <v>https://www.facebook.com/357267201017935/inbox/7079209205490334/</v>
      </c>
      <c r="O2131">
        <v>0</v>
      </c>
      <c r="P2131">
        <v>0</v>
      </c>
      <c r="Q2131">
        <v>0</v>
      </c>
      <c r="S2131">
        <v>0</v>
      </c>
      <c r="T2131">
        <v>0</v>
      </c>
      <c r="U2131">
        <v>0</v>
      </c>
      <c r="W2131" t="s">
        <v>52</v>
      </c>
    </row>
    <row r="2132" spans="1:41" x14ac:dyDescent="0.35">
      <c r="A2132" t="s">
        <v>45</v>
      </c>
      <c r="B2132" t="s">
        <v>4749</v>
      </c>
      <c r="C2132" t="s">
        <v>47</v>
      </c>
      <c r="D2132" t="s">
        <v>3798</v>
      </c>
      <c r="E2132" t="s">
        <v>3798</v>
      </c>
      <c r="F2132" t="s">
        <v>49</v>
      </c>
      <c r="G2132" t="s">
        <v>253</v>
      </c>
      <c r="H2132" t="s">
        <v>4796</v>
      </c>
      <c r="J2132" t="str">
        <f t="shared" si="2"/>
        <v>https://www.facebook.com/357267201017935/inbox/7079209205490334/</v>
      </c>
      <c r="O2132">
        <v>0</v>
      </c>
      <c r="P2132">
        <v>0</v>
      </c>
      <c r="Q2132">
        <v>0</v>
      </c>
      <c r="S2132">
        <v>0</v>
      </c>
      <c r="T2132">
        <v>0</v>
      </c>
      <c r="U2132">
        <v>0</v>
      </c>
      <c r="W2132" t="s">
        <v>52</v>
      </c>
    </row>
    <row r="2133" spans="1:41" x14ac:dyDescent="0.35">
      <c r="A2133" t="s">
        <v>45</v>
      </c>
      <c r="B2133" t="s">
        <v>4749</v>
      </c>
      <c r="C2133" t="s">
        <v>47</v>
      </c>
      <c r="D2133" t="s">
        <v>3798</v>
      </c>
      <c r="E2133" t="s">
        <v>3798</v>
      </c>
      <c r="F2133" t="s">
        <v>49</v>
      </c>
      <c r="G2133" t="s">
        <v>253</v>
      </c>
      <c r="H2133" t="s">
        <v>4797</v>
      </c>
      <c r="J2133" t="str">
        <f t="shared" si="2"/>
        <v>https://www.facebook.com/357267201017935/inbox/7079209205490334/</v>
      </c>
      <c r="O2133">
        <v>0</v>
      </c>
      <c r="P2133">
        <v>0</v>
      </c>
      <c r="Q2133">
        <v>0</v>
      </c>
      <c r="S2133">
        <v>0</v>
      </c>
      <c r="T2133">
        <v>0</v>
      </c>
      <c r="U2133">
        <v>0</v>
      </c>
      <c r="W2133" t="s">
        <v>52</v>
      </c>
    </row>
    <row r="2134" spans="1:41" x14ac:dyDescent="0.35">
      <c r="A2134" t="s">
        <v>45</v>
      </c>
      <c r="B2134" t="s">
        <v>4749</v>
      </c>
      <c r="C2134" t="s">
        <v>47</v>
      </c>
      <c r="D2134" t="s">
        <v>3798</v>
      </c>
      <c r="E2134" t="s">
        <v>3798</v>
      </c>
      <c r="F2134" t="s">
        <v>49</v>
      </c>
      <c r="G2134" t="s">
        <v>253</v>
      </c>
      <c r="H2134" t="s">
        <v>4798</v>
      </c>
      <c r="J2134" t="str">
        <f t="shared" si="2"/>
        <v>https://www.facebook.com/357267201017935/inbox/7079209205490334/</v>
      </c>
      <c r="O2134">
        <v>0</v>
      </c>
      <c r="P2134">
        <v>0</v>
      </c>
      <c r="Q2134">
        <v>0</v>
      </c>
      <c r="S2134">
        <v>0</v>
      </c>
      <c r="T2134">
        <v>0</v>
      </c>
      <c r="U2134">
        <v>0</v>
      </c>
      <c r="W2134" t="s">
        <v>52</v>
      </c>
    </row>
    <row r="2135" spans="1:41" x14ac:dyDescent="0.35">
      <c r="A2135" t="s">
        <v>45</v>
      </c>
      <c r="B2135" t="s">
        <v>4749</v>
      </c>
      <c r="C2135" t="s">
        <v>47</v>
      </c>
      <c r="D2135" t="s">
        <v>4799</v>
      </c>
      <c r="E2135" t="s">
        <v>4799</v>
      </c>
      <c r="F2135" t="s">
        <v>142</v>
      </c>
      <c r="G2135" t="s">
        <v>4800</v>
      </c>
      <c r="H2135" t="s">
        <v>4801</v>
      </c>
      <c r="J2135" t="str">
        <f>HYPERLINK("https://www.facebook.com/454965103328545/posts/763871475771238?comment_id=930432171803983","https://www.facebook.com/454965103328545/posts/763871475771238?comment_id=930432171803983")</f>
        <v>https://www.facebook.com/454965103328545/posts/763871475771238?comment_id=930432171803983</v>
      </c>
      <c r="O2135">
        <v>0</v>
      </c>
      <c r="P2135">
        <v>0</v>
      </c>
      <c r="Q2135">
        <v>0</v>
      </c>
      <c r="S2135">
        <v>0</v>
      </c>
      <c r="T2135">
        <v>0</v>
      </c>
      <c r="U2135">
        <v>0</v>
      </c>
      <c r="W2135" t="s">
        <v>62</v>
      </c>
    </row>
    <row r="2136" spans="1:41" x14ac:dyDescent="0.35">
      <c r="A2136" t="s">
        <v>45</v>
      </c>
      <c r="B2136" t="s">
        <v>4749</v>
      </c>
      <c r="C2136" t="s">
        <v>139</v>
      </c>
      <c r="D2136" t="s">
        <v>942</v>
      </c>
      <c r="E2136" t="s">
        <v>943</v>
      </c>
      <c r="F2136" t="s">
        <v>49</v>
      </c>
      <c r="G2136" t="s">
        <v>4802</v>
      </c>
      <c r="H2136" t="s">
        <v>4803</v>
      </c>
      <c r="J2136" t="str">
        <f>HYPERLINK("https://twitter.com/rajendras1819/status/1761284442537267440","https://twitter.com/rajendras1819/status/1761284442537267440")</f>
        <v>https://twitter.com/rajendras1819/status/1761284442537267440</v>
      </c>
      <c r="O2136">
        <v>0</v>
      </c>
      <c r="P2136">
        <v>0</v>
      </c>
      <c r="Q2136">
        <v>258</v>
      </c>
      <c r="R2136" t="s">
        <v>946</v>
      </c>
      <c r="S2136">
        <v>0</v>
      </c>
      <c r="T2136">
        <v>0</v>
      </c>
      <c r="U2136">
        <v>0</v>
      </c>
      <c r="W2136" t="s">
        <v>552</v>
      </c>
    </row>
    <row r="2137" spans="1:41" x14ac:dyDescent="0.35">
      <c r="A2137" t="s">
        <v>45</v>
      </c>
      <c r="B2137" t="s">
        <v>4749</v>
      </c>
      <c r="C2137" t="s">
        <v>139</v>
      </c>
      <c r="D2137" t="s">
        <v>942</v>
      </c>
      <c r="E2137" t="s">
        <v>943</v>
      </c>
      <c r="F2137" t="s">
        <v>49</v>
      </c>
      <c r="G2137" t="s">
        <v>4804</v>
      </c>
      <c r="H2137" t="s">
        <v>4805</v>
      </c>
      <c r="J2137" t="str">
        <f>HYPERLINK("https://twitter.com/rajendras1819/status/1761284333804142883","https://twitter.com/rajendras1819/status/1761284333804142883")</f>
        <v>https://twitter.com/rajendras1819/status/1761284333804142883</v>
      </c>
      <c r="O2137">
        <v>0</v>
      </c>
      <c r="P2137">
        <v>0</v>
      </c>
      <c r="Q2137">
        <v>258</v>
      </c>
      <c r="R2137" t="s">
        <v>946</v>
      </c>
      <c r="S2137">
        <v>0</v>
      </c>
      <c r="T2137">
        <v>0</v>
      </c>
      <c r="U2137">
        <v>0</v>
      </c>
      <c r="W2137" t="s">
        <v>552</v>
      </c>
    </row>
    <row r="2138" spans="1:41" x14ac:dyDescent="0.35">
      <c r="A2138" t="s">
        <v>45</v>
      </c>
      <c r="B2138" t="s">
        <v>4749</v>
      </c>
      <c r="C2138" t="s">
        <v>139</v>
      </c>
      <c r="D2138" t="s">
        <v>942</v>
      </c>
      <c r="E2138" t="s">
        <v>943</v>
      </c>
      <c r="F2138" t="s">
        <v>49</v>
      </c>
      <c r="G2138" t="s">
        <v>4806</v>
      </c>
      <c r="H2138" t="s">
        <v>4807</v>
      </c>
      <c r="J2138" t="str">
        <f>HYPERLINK("https://twitter.com/rajendras1819/status/1761284182515605789","https://twitter.com/rajendras1819/status/1761284182515605789")</f>
        <v>https://twitter.com/rajendras1819/status/1761284182515605789</v>
      </c>
      <c r="O2138">
        <v>0</v>
      </c>
      <c r="P2138">
        <v>0</v>
      </c>
      <c r="Q2138">
        <v>258</v>
      </c>
      <c r="R2138" t="s">
        <v>946</v>
      </c>
      <c r="S2138">
        <v>0</v>
      </c>
      <c r="T2138">
        <v>0</v>
      </c>
      <c r="U2138">
        <v>0</v>
      </c>
      <c r="W2138" t="s">
        <v>552</v>
      </c>
    </row>
    <row r="2139" spans="1:41" x14ac:dyDescent="0.35">
      <c r="A2139" t="s">
        <v>45</v>
      </c>
      <c r="B2139" t="s">
        <v>4749</v>
      </c>
      <c r="C2139" t="s">
        <v>58</v>
      </c>
      <c r="D2139" t="s">
        <v>3340</v>
      </c>
      <c r="E2139" t="s">
        <v>3340</v>
      </c>
      <c r="F2139" t="s">
        <v>49</v>
      </c>
      <c r="G2139" t="s">
        <v>4808</v>
      </c>
      <c r="H2139" t="s">
        <v>4809</v>
      </c>
      <c r="J2139" t="str">
        <f>HYPERLINK("https://www.youtube.com/watch?v=OIn9NJZTomM","https://www.youtube.com/watch?v=OIn9NJZTomM")</f>
        <v>https://www.youtube.com/watch?v=OIn9NJZTomM</v>
      </c>
      <c r="O2139">
        <v>0</v>
      </c>
      <c r="P2139">
        <v>0</v>
      </c>
      <c r="Q2139">
        <v>0</v>
      </c>
      <c r="S2139">
        <v>0</v>
      </c>
      <c r="T2139">
        <v>0</v>
      </c>
      <c r="U2139">
        <v>0</v>
      </c>
      <c r="W2139" t="s">
        <v>106</v>
      </c>
    </row>
    <row r="2140" spans="1:41" x14ac:dyDescent="0.35">
      <c r="A2140" t="s">
        <v>45</v>
      </c>
      <c r="B2140" t="s">
        <v>4749</v>
      </c>
      <c r="C2140" t="s">
        <v>63</v>
      </c>
      <c r="D2140" t="s">
        <v>4810</v>
      </c>
      <c r="E2140" t="s">
        <v>4810</v>
      </c>
      <c r="F2140" t="s">
        <v>49</v>
      </c>
      <c r="G2140" t="s">
        <v>4811</v>
      </c>
      <c r="H2140" t="s">
        <v>4812</v>
      </c>
      <c r="J2140" t="str">
        <f>HYPERLINK("https://www.instagram.com/p/C3U1uytgenK/","https://www.instagram.com/p/C3U1uytgenK/")</f>
        <v>https://www.instagram.com/p/C3U1uytgenK/</v>
      </c>
      <c r="O2140">
        <v>0</v>
      </c>
      <c r="P2140">
        <v>0</v>
      </c>
      <c r="Q2140">
        <v>0</v>
      </c>
      <c r="S2140">
        <v>0</v>
      </c>
      <c r="T2140">
        <v>0</v>
      </c>
      <c r="U2140">
        <v>0</v>
      </c>
      <c r="W2140" t="s">
        <v>62</v>
      </c>
    </row>
    <row r="2141" spans="1:41" x14ac:dyDescent="0.35">
      <c r="A2141" t="s">
        <v>45</v>
      </c>
      <c r="B2141" t="s">
        <v>4749</v>
      </c>
      <c r="C2141" t="s">
        <v>63</v>
      </c>
      <c r="D2141" t="s">
        <v>4813</v>
      </c>
      <c r="E2141" t="s">
        <v>4813</v>
      </c>
      <c r="F2141" t="s">
        <v>49</v>
      </c>
      <c r="G2141" t="s">
        <v>4814</v>
      </c>
      <c r="H2141" t="s">
        <v>4815</v>
      </c>
      <c r="J2141" t="str">
        <f>HYPERLINK("https://www.instagram.com/reel/C3sDoSHIOmC/","https://www.instagram.com/reel/C3sDoSHIOmC/")</f>
        <v>https://www.instagram.com/reel/C3sDoSHIOmC/</v>
      </c>
      <c r="O2141">
        <v>0</v>
      </c>
      <c r="P2141">
        <v>0</v>
      </c>
      <c r="Q2141">
        <v>0</v>
      </c>
      <c r="S2141">
        <v>0</v>
      </c>
      <c r="T2141">
        <v>0</v>
      </c>
      <c r="U2141">
        <v>0</v>
      </c>
      <c r="W2141" t="s">
        <v>62</v>
      </c>
    </row>
    <row r="2142" spans="1:41" x14ac:dyDescent="0.35">
      <c r="A2142" t="s">
        <v>45</v>
      </c>
      <c r="B2142" t="s">
        <v>4749</v>
      </c>
      <c r="C2142" t="s">
        <v>47</v>
      </c>
      <c r="D2142" t="s">
        <v>4816</v>
      </c>
      <c r="E2142" t="s">
        <v>4816</v>
      </c>
      <c r="F2142" t="s">
        <v>49</v>
      </c>
      <c r="G2142" t="s">
        <v>4817</v>
      </c>
      <c r="H2142" t="s">
        <v>4818</v>
      </c>
      <c r="J2142" t="str">
        <f>HYPERLINK("https://www.facebook.com/357267201017935/inbox/5396824600395478/","https://www.facebook.com/357267201017935/inbox/5396824600395478/")</f>
        <v>https://www.facebook.com/357267201017935/inbox/5396824600395478/</v>
      </c>
      <c r="O2142">
        <v>0</v>
      </c>
      <c r="P2142">
        <v>0</v>
      </c>
      <c r="Q2142">
        <v>0</v>
      </c>
      <c r="S2142">
        <v>0</v>
      </c>
      <c r="T2142">
        <v>0</v>
      </c>
      <c r="U2142">
        <v>0</v>
      </c>
      <c r="W2142" t="s">
        <v>52</v>
      </c>
    </row>
    <row r="2143" spans="1:41" x14ac:dyDescent="0.35">
      <c r="A2143" t="s">
        <v>45</v>
      </c>
      <c r="B2143" t="s">
        <v>4749</v>
      </c>
      <c r="C2143" t="s">
        <v>58</v>
      </c>
      <c r="D2143" t="s">
        <v>4819</v>
      </c>
      <c r="E2143" t="s">
        <v>4819</v>
      </c>
      <c r="F2143" t="s">
        <v>49</v>
      </c>
      <c r="G2143" t="s">
        <v>4820</v>
      </c>
      <c r="H2143" t="s">
        <v>4821</v>
      </c>
      <c r="J2143" t="str">
        <f>HYPERLINK("https://www.youtube.com/watch?v=j3XfvpXh0S8","https://www.youtube.com/watch?v=j3XfvpXh0S8")</f>
        <v>https://www.youtube.com/watch?v=j3XfvpXh0S8</v>
      </c>
      <c r="O2143">
        <v>0</v>
      </c>
      <c r="P2143">
        <v>0</v>
      </c>
      <c r="Q2143">
        <v>0</v>
      </c>
      <c r="S2143">
        <v>0</v>
      </c>
      <c r="T2143">
        <v>0</v>
      </c>
      <c r="U2143">
        <v>0</v>
      </c>
      <c r="W2143" t="s">
        <v>106</v>
      </c>
      <c r="AO2143" t="s">
        <v>67</v>
      </c>
    </row>
    <row r="2144" spans="1:41" x14ac:dyDescent="0.35">
      <c r="A2144" t="s">
        <v>45</v>
      </c>
      <c r="B2144" t="s">
        <v>4749</v>
      </c>
      <c r="C2144" t="s">
        <v>58</v>
      </c>
      <c r="D2144" t="s">
        <v>4819</v>
      </c>
      <c r="E2144" t="s">
        <v>4819</v>
      </c>
      <c r="F2144" t="s">
        <v>76</v>
      </c>
      <c r="G2144" t="s">
        <v>4822</v>
      </c>
      <c r="H2144" t="s">
        <v>4823</v>
      </c>
      <c r="J2144" t="str">
        <f>HYPERLINK("https://www.youtube.com/watch?v=SHkgyaB9Jsg","https://www.youtube.com/watch?v=SHkgyaB9Jsg")</f>
        <v>https://www.youtube.com/watch?v=SHkgyaB9Jsg</v>
      </c>
      <c r="O2144">
        <v>0</v>
      </c>
      <c r="P2144">
        <v>0</v>
      </c>
      <c r="Q2144">
        <v>0</v>
      </c>
      <c r="S2144">
        <v>0</v>
      </c>
      <c r="T2144">
        <v>0</v>
      </c>
      <c r="U2144">
        <v>0</v>
      </c>
      <c r="W2144" t="s">
        <v>106</v>
      </c>
    </row>
    <row r="2145" spans="1:42" x14ac:dyDescent="0.35">
      <c r="A2145" t="s">
        <v>45</v>
      </c>
      <c r="B2145" t="s">
        <v>4749</v>
      </c>
      <c r="C2145" t="s">
        <v>63</v>
      </c>
      <c r="D2145" t="s">
        <v>4824</v>
      </c>
      <c r="E2145" t="s">
        <v>4824</v>
      </c>
      <c r="F2145" t="s">
        <v>49</v>
      </c>
      <c r="G2145" t="s">
        <v>4825</v>
      </c>
      <c r="H2145" t="s">
        <v>4826</v>
      </c>
      <c r="J2145" t="str">
        <f>HYPERLINK("https://www.instagram.com/reel/C3sDoSHIOmC/","https://www.instagram.com/reel/C3sDoSHIOmC/")</f>
        <v>https://www.instagram.com/reel/C3sDoSHIOmC/</v>
      </c>
      <c r="O2145">
        <v>0</v>
      </c>
      <c r="P2145">
        <v>0</v>
      </c>
      <c r="Q2145">
        <v>0</v>
      </c>
      <c r="S2145">
        <v>0</v>
      </c>
      <c r="T2145">
        <v>0</v>
      </c>
      <c r="U2145">
        <v>0</v>
      </c>
      <c r="W2145" t="s">
        <v>62</v>
      </c>
    </row>
    <row r="2146" spans="1:42" x14ac:dyDescent="0.35">
      <c r="A2146" t="s">
        <v>45</v>
      </c>
      <c r="B2146" t="s">
        <v>4749</v>
      </c>
      <c r="C2146" t="s">
        <v>58</v>
      </c>
      <c r="D2146" t="s">
        <v>1556</v>
      </c>
      <c r="E2146" t="s">
        <v>1556</v>
      </c>
      <c r="F2146" t="s">
        <v>76</v>
      </c>
      <c r="G2146" t="s">
        <v>4827</v>
      </c>
      <c r="H2146" t="s">
        <v>4828</v>
      </c>
      <c r="J2146" t="str">
        <f>HYPERLINK("https://www.youtube.com/watch?v=25E7y8efg5k","https://www.youtube.com/watch?v=25E7y8efg5k")</f>
        <v>https://www.youtube.com/watch?v=25E7y8efg5k</v>
      </c>
      <c r="O2146">
        <v>0</v>
      </c>
      <c r="P2146">
        <v>0</v>
      </c>
      <c r="Q2146">
        <v>0</v>
      </c>
      <c r="S2146">
        <v>0</v>
      </c>
      <c r="T2146">
        <v>0</v>
      </c>
      <c r="U2146">
        <v>0</v>
      </c>
      <c r="W2146" t="s">
        <v>106</v>
      </c>
    </row>
    <row r="2147" spans="1:42" x14ac:dyDescent="0.35">
      <c r="A2147" t="s">
        <v>45</v>
      </c>
      <c r="B2147" t="s">
        <v>4829</v>
      </c>
      <c r="C2147" t="s">
        <v>58</v>
      </c>
      <c r="D2147" t="s">
        <v>4830</v>
      </c>
      <c r="E2147" t="s">
        <v>4830</v>
      </c>
      <c r="F2147" t="s">
        <v>76</v>
      </c>
      <c r="G2147" t="s">
        <v>4831</v>
      </c>
      <c r="H2147" t="s">
        <v>4832</v>
      </c>
      <c r="J2147" t="str">
        <f>HYPERLINK("https://www.youtube.com/watch?v=9h2vI9n4bpg&amp;lc=Ugw4ghJQHD7oKBBEa7B4AaABAg","https://www.youtube.com/watch?v=9h2vI9n4bpg&amp;lc=Ugw4ghJQHD7oKBBEa7B4AaABAg")</f>
        <v>https://www.youtube.com/watch?v=9h2vI9n4bpg&amp;lc=Ugw4ghJQHD7oKBBEa7B4AaABAg</v>
      </c>
      <c r="O2147">
        <v>0</v>
      </c>
      <c r="P2147">
        <v>0</v>
      </c>
      <c r="Q2147">
        <v>0</v>
      </c>
      <c r="S2147">
        <v>0</v>
      </c>
      <c r="T2147">
        <v>0</v>
      </c>
      <c r="U2147">
        <v>0</v>
      </c>
      <c r="W2147" t="s">
        <v>62</v>
      </c>
    </row>
    <row r="2148" spans="1:42" x14ac:dyDescent="0.35">
      <c r="A2148" t="s">
        <v>45</v>
      </c>
      <c r="B2148" t="s">
        <v>4829</v>
      </c>
      <c r="C2148" t="s">
        <v>58</v>
      </c>
      <c r="D2148" t="s">
        <v>4830</v>
      </c>
      <c r="E2148" t="s">
        <v>4830</v>
      </c>
      <c r="F2148" t="s">
        <v>76</v>
      </c>
      <c r="G2148" t="s">
        <v>4831</v>
      </c>
      <c r="H2148" t="s">
        <v>4833</v>
      </c>
      <c r="J2148" t="str">
        <f>HYPERLINK("https://www.youtube.com/watch?v=ga7wAGJ9iFk&amp;lc=UgyAQvMSgn9iW5ctKrJ4AaABAg","https://www.youtube.com/watch?v=ga7wAGJ9iFk&amp;lc=UgyAQvMSgn9iW5ctKrJ4AaABAg")</f>
        <v>https://www.youtube.com/watch?v=ga7wAGJ9iFk&amp;lc=UgyAQvMSgn9iW5ctKrJ4AaABAg</v>
      </c>
      <c r="O2148">
        <v>0</v>
      </c>
      <c r="P2148">
        <v>0</v>
      </c>
      <c r="Q2148">
        <v>0</v>
      </c>
      <c r="S2148">
        <v>0</v>
      </c>
      <c r="T2148">
        <v>0</v>
      </c>
      <c r="U2148">
        <v>0</v>
      </c>
      <c r="W2148" t="s">
        <v>62</v>
      </c>
    </row>
    <row r="2149" spans="1:42" x14ac:dyDescent="0.35">
      <c r="A2149" t="s">
        <v>45</v>
      </c>
      <c r="B2149" t="s">
        <v>4829</v>
      </c>
      <c r="C2149" t="s">
        <v>58</v>
      </c>
      <c r="D2149" t="s">
        <v>4830</v>
      </c>
      <c r="E2149" t="s">
        <v>4830</v>
      </c>
      <c r="F2149" t="s">
        <v>76</v>
      </c>
      <c r="G2149" t="s">
        <v>4831</v>
      </c>
      <c r="H2149" t="s">
        <v>4834</v>
      </c>
      <c r="J2149" t="str">
        <f>HYPERLINK("https://www.youtube.com/watch?v=1mn3dk7wuRI&amp;lc=Ugzd3aF6KnCHlc19f354AaABAg","https://www.youtube.com/watch?v=1mn3dk7wuRI&amp;lc=Ugzd3aF6KnCHlc19f354AaABAg")</f>
        <v>https://www.youtube.com/watch?v=1mn3dk7wuRI&amp;lc=Ugzd3aF6KnCHlc19f354AaABAg</v>
      </c>
      <c r="O2149">
        <v>0</v>
      </c>
      <c r="P2149">
        <v>0</v>
      </c>
      <c r="Q2149">
        <v>0</v>
      </c>
      <c r="S2149">
        <v>0</v>
      </c>
      <c r="T2149">
        <v>0</v>
      </c>
      <c r="U2149">
        <v>0</v>
      </c>
      <c r="W2149" t="s">
        <v>62</v>
      </c>
    </row>
    <row r="2150" spans="1:42" x14ac:dyDescent="0.35">
      <c r="A2150" t="s">
        <v>45</v>
      </c>
      <c r="B2150" t="s">
        <v>4829</v>
      </c>
      <c r="C2150" t="s">
        <v>58</v>
      </c>
      <c r="D2150" t="s">
        <v>4830</v>
      </c>
      <c r="E2150" t="s">
        <v>4830</v>
      </c>
      <c r="F2150" t="s">
        <v>49</v>
      </c>
      <c r="G2150" t="s">
        <v>4835</v>
      </c>
      <c r="H2150" t="s">
        <v>4836</v>
      </c>
      <c r="J2150" t="str">
        <f>HYPERLINK("https://www.youtube.com/watch?v=1mn3dk7wuRI&amp;lc=Ugz5f9XE2A-XJwJ7eed4AaABAg.A-x4d-28TMSA0ADsaX1DyB","https://www.youtube.com/watch?v=1mn3dk7wuRI&amp;lc=Ugz5f9XE2A-XJwJ7eed4AaABAg.A-x4d-28TMSA0ADsaX1DyB")</f>
        <v>https://www.youtube.com/watch?v=1mn3dk7wuRI&amp;lc=Ugz5f9XE2A-XJwJ7eed4AaABAg.A-x4d-28TMSA0ADsaX1DyB</v>
      </c>
      <c r="O2150">
        <v>0</v>
      </c>
      <c r="P2150">
        <v>0</v>
      </c>
      <c r="Q2150">
        <v>0</v>
      </c>
      <c r="S2150">
        <v>0</v>
      </c>
      <c r="T2150">
        <v>0</v>
      </c>
      <c r="U2150">
        <v>0</v>
      </c>
      <c r="W2150" t="s">
        <v>62</v>
      </c>
      <c r="AO2150" t="s">
        <v>67</v>
      </c>
    </row>
    <row r="2151" spans="1:42" x14ac:dyDescent="0.35">
      <c r="A2151" t="s">
        <v>45</v>
      </c>
      <c r="B2151" t="s">
        <v>4829</v>
      </c>
      <c r="C2151" t="s">
        <v>58</v>
      </c>
      <c r="D2151" t="s">
        <v>4830</v>
      </c>
      <c r="E2151" t="s">
        <v>4830</v>
      </c>
      <c r="F2151" t="s">
        <v>76</v>
      </c>
      <c r="G2151" t="s">
        <v>4831</v>
      </c>
      <c r="H2151" t="s">
        <v>4837</v>
      </c>
      <c r="J2151" t="str">
        <f>HYPERLINK("https://www.youtube.com/watch?v=uIKLPIGHaTc&amp;lc=UgzpOmIMli3FAbfoInR4AaABAg","https://www.youtube.com/watch?v=uIKLPIGHaTc&amp;lc=UgzpOmIMli3FAbfoInR4AaABAg")</f>
        <v>https://www.youtube.com/watch?v=uIKLPIGHaTc&amp;lc=UgzpOmIMli3FAbfoInR4AaABAg</v>
      </c>
      <c r="O2151">
        <v>0</v>
      </c>
      <c r="P2151">
        <v>0</v>
      </c>
      <c r="Q2151">
        <v>0</v>
      </c>
      <c r="S2151">
        <v>0</v>
      </c>
      <c r="T2151">
        <v>0</v>
      </c>
      <c r="U2151">
        <v>0</v>
      </c>
      <c r="W2151" t="s">
        <v>62</v>
      </c>
    </row>
    <row r="2152" spans="1:42" x14ac:dyDescent="0.35">
      <c r="A2152" t="s">
        <v>45</v>
      </c>
      <c r="B2152" t="s">
        <v>4829</v>
      </c>
      <c r="C2152" t="s">
        <v>63</v>
      </c>
      <c r="D2152" t="s">
        <v>4838</v>
      </c>
      <c r="E2152" t="s">
        <v>4838</v>
      </c>
      <c r="F2152" t="s">
        <v>49</v>
      </c>
      <c r="G2152" t="s">
        <v>4839</v>
      </c>
      <c r="H2152" t="s">
        <v>4840</v>
      </c>
      <c r="J2152" t="str">
        <f>HYPERLINK("https://www.instagram.com/reel/C3sDoSHIOmC/","https://www.instagram.com/reel/C3sDoSHIOmC/")</f>
        <v>https://www.instagram.com/reel/C3sDoSHIOmC/</v>
      </c>
      <c r="O2152">
        <v>0</v>
      </c>
      <c r="P2152">
        <v>0</v>
      </c>
      <c r="Q2152">
        <v>0</v>
      </c>
      <c r="S2152">
        <v>0</v>
      </c>
      <c r="T2152">
        <v>0</v>
      </c>
      <c r="U2152">
        <v>0</v>
      </c>
      <c r="W2152" t="s">
        <v>62</v>
      </c>
    </row>
    <row r="2153" spans="1:42" x14ac:dyDescent="0.35">
      <c r="A2153" t="s">
        <v>45</v>
      </c>
      <c r="B2153" t="s">
        <v>4829</v>
      </c>
      <c r="C2153" t="s">
        <v>63</v>
      </c>
      <c r="D2153" t="s">
        <v>4838</v>
      </c>
      <c r="E2153" t="s">
        <v>4838</v>
      </c>
      <c r="F2153" t="s">
        <v>49</v>
      </c>
      <c r="G2153" t="s">
        <v>4841</v>
      </c>
      <c r="H2153" t="s">
        <v>4842</v>
      </c>
      <c r="J2153" t="str">
        <f>HYPERLINK("https://www.instagram.com/reel/C3sDoSHIOmC/","https://www.instagram.com/reel/C3sDoSHIOmC/")</f>
        <v>https://www.instagram.com/reel/C3sDoSHIOmC/</v>
      </c>
      <c r="O2153">
        <v>0</v>
      </c>
      <c r="P2153">
        <v>0</v>
      </c>
      <c r="Q2153">
        <v>0</v>
      </c>
      <c r="S2153">
        <v>0</v>
      </c>
      <c r="T2153">
        <v>0</v>
      </c>
      <c r="U2153">
        <v>0</v>
      </c>
      <c r="W2153" t="s">
        <v>62</v>
      </c>
    </row>
    <row r="2154" spans="1:42" x14ac:dyDescent="0.35">
      <c r="A2154" t="s">
        <v>45</v>
      </c>
      <c r="B2154" t="s">
        <v>4829</v>
      </c>
      <c r="C2154" t="s">
        <v>47</v>
      </c>
      <c r="D2154" t="s">
        <v>1779</v>
      </c>
      <c r="E2154" t="s">
        <v>1779</v>
      </c>
      <c r="F2154" t="s">
        <v>49</v>
      </c>
      <c r="G2154" t="s">
        <v>4843</v>
      </c>
      <c r="H2154" t="s">
        <v>4844</v>
      </c>
      <c r="J2154" t="str">
        <f>HYPERLINK("https://www.facebook.com/454965103328545/posts/775867004571685?comment_id=782750770416042","https://www.facebook.com/454965103328545/posts/775867004571685?comment_id=782750770416042")</f>
        <v>https://www.facebook.com/454965103328545/posts/775867004571685?comment_id=782750770416042</v>
      </c>
      <c r="O2154">
        <v>0</v>
      </c>
      <c r="P2154">
        <v>0</v>
      </c>
      <c r="Q2154">
        <v>0</v>
      </c>
      <c r="S2154">
        <v>0</v>
      </c>
      <c r="T2154">
        <v>0</v>
      </c>
      <c r="U2154">
        <v>0</v>
      </c>
      <c r="W2154" t="s">
        <v>62</v>
      </c>
      <c r="AP2154" t="s">
        <v>147</v>
      </c>
    </row>
    <row r="2155" spans="1:42" x14ac:dyDescent="0.35">
      <c r="A2155" t="s">
        <v>45</v>
      </c>
      <c r="B2155" t="s">
        <v>4829</v>
      </c>
      <c r="C2155" t="s">
        <v>58</v>
      </c>
      <c r="D2155" t="s">
        <v>4845</v>
      </c>
      <c r="E2155" t="s">
        <v>4845</v>
      </c>
      <c r="F2155" t="s">
        <v>49</v>
      </c>
      <c r="G2155" t="s">
        <v>4846</v>
      </c>
      <c r="H2155" t="s">
        <v>4847</v>
      </c>
      <c r="J2155" t="str">
        <f>HYPERLINK("https://www.youtube.com/watch?v=KcVvm7hi0UA","https://www.youtube.com/watch?v=KcVvm7hi0UA")</f>
        <v>https://www.youtube.com/watch?v=KcVvm7hi0UA</v>
      </c>
      <c r="O2155">
        <v>0</v>
      </c>
      <c r="P2155">
        <v>0</v>
      </c>
      <c r="Q2155">
        <v>0</v>
      </c>
      <c r="S2155">
        <v>0</v>
      </c>
      <c r="T2155">
        <v>0</v>
      </c>
      <c r="U2155">
        <v>0</v>
      </c>
      <c r="W2155" t="s">
        <v>106</v>
      </c>
    </row>
    <row r="2156" spans="1:42" x14ac:dyDescent="0.35">
      <c r="A2156" t="s">
        <v>45</v>
      </c>
      <c r="B2156" t="s">
        <v>4829</v>
      </c>
      <c r="C2156" t="s">
        <v>47</v>
      </c>
      <c r="D2156" t="s">
        <v>4488</v>
      </c>
      <c r="E2156" t="s">
        <v>4488</v>
      </c>
      <c r="F2156" t="s">
        <v>49</v>
      </c>
      <c r="G2156" t="s">
        <v>4489</v>
      </c>
      <c r="H2156" t="s">
        <v>4848</v>
      </c>
      <c r="J2156" t="str">
        <f>HYPERLINK("https://www.facebook.com/454965103328545/posts/775867004571685?comment_id=309848202075184","https://www.facebook.com/454965103328545/posts/775867004571685?comment_id=309848202075184")</f>
        <v>https://www.facebook.com/454965103328545/posts/775867004571685?comment_id=309848202075184</v>
      </c>
      <c r="O2156">
        <v>0</v>
      </c>
      <c r="P2156">
        <v>0</v>
      </c>
      <c r="Q2156">
        <v>0</v>
      </c>
      <c r="S2156">
        <v>0</v>
      </c>
      <c r="T2156">
        <v>0</v>
      </c>
      <c r="U2156">
        <v>0</v>
      </c>
      <c r="W2156" t="s">
        <v>62</v>
      </c>
    </row>
    <row r="2157" spans="1:42" x14ac:dyDescent="0.35">
      <c r="A2157" t="s">
        <v>45</v>
      </c>
      <c r="B2157" t="s">
        <v>4829</v>
      </c>
      <c r="C2157" t="s">
        <v>47</v>
      </c>
      <c r="D2157" t="s">
        <v>4849</v>
      </c>
      <c r="E2157" t="s">
        <v>4849</v>
      </c>
      <c r="F2157" t="s">
        <v>49</v>
      </c>
      <c r="G2157" t="s">
        <v>50</v>
      </c>
      <c r="H2157" t="s">
        <v>4850</v>
      </c>
      <c r="J2157" t="str">
        <f>HYPERLINK("https://www.facebook.com/357267201017935/inbox/7076231389121449/","https://www.facebook.com/357267201017935/inbox/7076231389121449/")</f>
        <v>https://www.facebook.com/357267201017935/inbox/7076231389121449/</v>
      </c>
      <c r="O2157">
        <v>0</v>
      </c>
      <c r="P2157">
        <v>0</v>
      </c>
      <c r="Q2157">
        <v>0</v>
      </c>
      <c r="S2157">
        <v>0</v>
      </c>
      <c r="T2157">
        <v>0</v>
      </c>
      <c r="U2157">
        <v>0</v>
      </c>
      <c r="W2157" t="s">
        <v>52</v>
      </c>
    </row>
    <row r="2158" spans="1:42" x14ac:dyDescent="0.35">
      <c r="A2158" t="s">
        <v>45</v>
      </c>
      <c r="B2158" t="s">
        <v>4829</v>
      </c>
      <c r="C2158" t="s">
        <v>58</v>
      </c>
      <c r="D2158" t="s">
        <v>1569</v>
      </c>
      <c r="E2158" t="s">
        <v>1569</v>
      </c>
      <c r="F2158" t="s">
        <v>49</v>
      </c>
      <c r="G2158" t="s">
        <v>4851</v>
      </c>
      <c r="H2158" t="s">
        <v>4852</v>
      </c>
      <c r="J2158" t="str">
        <f>HYPERLINK("https://www.youtube.com/watch?v=nCIJDH1NNpA","https://www.youtube.com/watch?v=nCIJDH1NNpA")</f>
        <v>https://www.youtube.com/watch?v=nCIJDH1NNpA</v>
      </c>
      <c r="O2158">
        <v>0</v>
      </c>
      <c r="P2158">
        <v>0</v>
      </c>
      <c r="Q2158">
        <v>0</v>
      </c>
      <c r="S2158">
        <v>0</v>
      </c>
      <c r="T2158">
        <v>0</v>
      </c>
      <c r="U2158">
        <v>0</v>
      </c>
      <c r="W2158" t="s">
        <v>106</v>
      </c>
    </row>
    <row r="2159" spans="1:42" x14ac:dyDescent="0.35">
      <c r="A2159" t="s">
        <v>45</v>
      </c>
      <c r="B2159" t="s">
        <v>4829</v>
      </c>
      <c r="C2159" t="s">
        <v>63</v>
      </c>
      <c r="D2159" t="s">
        <v>4853</v>
      </c>
      <c r="E2159" t="s">
        <v>4853</v>
      </c>
      <c r="F2159" t="s">
        <v>49</v>
      </c>
      <c r="G2159" t="s">
        <v>4854</v>
      </c>
      <c r="H2159" t="s">
        <v>4855</v>
      </c>
      <c r="J2159" t="str">
        <f>HYPERLINK("https://www.instagram.com/p/C3VES0FgrdQ/","https://www.instagram.com/p/C3VES0FgrdQ/")</f>
        <v>https://www.instagram.com/p/C3VES0FgrdQ/</v>
      </c>
      <c r="O2159">
        <v>0</v>
      </c>
      <c r="P2159">
        <v>0</v>
      </c>
      <c r="Q2159">
        <v>0</v>
      </c>
      <c r="S2159">
        <v>0</v>
      </c>
      <c r="T2159">
        <v>0</v>
      </c>
      <c r="U2159">
        <v>0</v>
      </c>
      <c r="W2159" t="s">
        <v>62</v>
      </c>
    </row>
    <row r="2160" spans="1:42" x14ac:dyDescent="0.35">
      <c r="A2160" t="s">
        <v>45</v>
      </c>
      <c r="B2160" t="s">
        <v>4829</v>
      </c>
      <c r="C2160" t="s">
        <v>139</v>
      </c>
      <c r="D2160" t="s">
        <v>4856</v>
      </c>
      <c r="E2160" t="s">
        <v>4857</v>
      </c>
      <c r="F2160" t="s">
        <v>49</v>
      </c>
      <c r="G2160" t="s">
        <v>4858</v>
      </c>
      <c r="H2160" t="s">
        <v>4859</v>
      </c>
      <c r="J2160" t="str">
        <f>HYPERLINK("https://twitter.com/deepakcmishra81/status/1761038174346784846","https://twitter.com/deepakcmishra81/status/1761038174346784846")</f>
        <v>https://twitter.com/deepakcmishra81/status/1761038174346784846</v>
      </c>
      <c r="K2160" t="s">
        <v>145</v>
      </c>
      <c r="O2160">
        <v>0</v>
      </c>
      <c r="P2160">
        <v>0</v>
      </c>
      <c r="Q2160">
        <v>27</v>
      </c>
      <c r="R2160" t="s">
        <v>4860</v>
      </c>
      <c r="S2160">
        <v>0</v>
      </c>
      <c r="T2160">
        <v>0</v>
      </c>
      <c r="U2160">
        <v>0</v>
      </c>
      <c r="W2160" t="s">
        <v>146</v>
      </c>
    </row>
    <row r="2161" spans="1:42" x14ac:dyDescent="0.35">
      <c r="A2161" t="s">
        <v>45</v>
      </c>
      <c r="B2161" t="s">
        <v>4829</v>
      </c>
      <c r="C2161" t="s">
        <v>58</v>
      </c>
      <c r="D2161" t="s">
        <v>1142</v>
      </c>
      <c r="E2161" t="s">
        <v>1142</v>
      </c>
      <c r="F2161" t="s">
        <v>49</v>
      </c>
      <c r="G2161" t="s">
        <v>4861</v>
      </c>
      <c r="H2161" t="s">
        <v>4862</v>
      </c>
      <c r="J2161" t="str">
        <f>HYPERLINK("https://www.youtube.com/watch?v=rVOPd258n7k","https://www.youtube.com/watch?v=rVOPd258n7k")</f>
        <v>https://www.youtube.com/watch?v=rVOPd258n7k</v>
      </c>
      <c r="O2161">
        <v>0</v>
      </c>
      <c r="P2161">
        <v>0</v>
      </c>
      <c r="Q2161">
        <v>0</v>
      </c>
      <c r="S2161">
        <v>0</v>
      </c>
      <c r="T2161">
        <v>0</v>
      </c>
      <c r="U2161">
        <v>0</v>
      </c>
      <c r="W2161" t="s">
        <v>106</v>
      </c>
      <c r="AP2161" t="s">
        <v>94</v>
      </c>
    </row>
    <row r="2162" spans="1:42" x14ac:dyDescent="0.35">
      <c r="A2162" t="s">
        <v>45</v>
      </c>
      <c r="B2162" t="s">
        <v>4829</v>
      </c>
      <c r="C2162" t="s">
        <v>58</v>
      </c>
      <c r="D2162" t="s">
        <v>2702</v>
      </c>
      <c r="E2162" t="s">
        <v>2702</v>
      </c>
      <c r="F2162" t="s">
        <v>49</v>
      </c>
      <c r="G2162" t="s">
        <v>4863</v>
      </c>
      <c r="H2162" t="s">
        <v>4864</v>
      </c>
      <c r="J2162" t="str">
        <f>HYPERLINK("https://www.youtube.com/watch?v=Ftt-m7axmGc","https://www.youtube.com/watch?v=Ftt-m7axmGc")</f>
        <v>https://www.youtube.com/watch?v=Ftt-m7axmGc</v>
      </c>
      <c r="O2162">
        <v>0</v>
      </c>
      <c r="P2162">
        <v>0</v>
      </c>
      <c r="Q2162">
        <v>0</v>
      </c>
      <c r="S2162">
        <v>0</v>
      </c>
      <c r="T2162">
        <v>0</v>
      </c>
      <c r="U2162">
        <v>0</v>
      </c>
      <c r="W2162" t="s">
        <v>106</v>
      </c>
    </row>
    <row r="2163" spans="1:42" x14ac:dyDescent="0.35">
      <c r="A2163" t="s">
        <v>45</v>
      </c>
      <c r="B2163" t="s">
        <v>4829</v>
      </c>
      <c r="C2163" t="s">
        <v>58</v>
      </c>
      <c r="D2163" t="s">
        <v>1569</v>
      </c>
      <c r="E2163" t="s">
        <v>1569</v>
      </c>
      <c r="F2163" t="s">
        <v>49</v>
      </c>
      <c r="G2163" t="s">
        <v>4865</v>
      </c>
      <c r="H2163" t="s">
        <v>4866</v>
      </c>
      <c r="J2163" t="str">
        <f>HYPERLINK("https://www.youtube.com/watch?v=po6zVIuXAVs","https://www.youtube.com/watch?v=po6zVIuXAVs")</f>
        <v>https://www.youtube.com/watch?v=po6zVIuXAVs</v>
      </c>
      <c r="O2163">
        <v>0</v>
      </c>
      <c r="P2163">
        <v>0</v>
      </c>
      <c r="Q2163">
        <v>0</v>
      </c>
      <c r="S2163">
        <v>0</v>
      </c>
      <c r="T2163">
        <v>0</v>
      </c>
      <c r="U2163">
        <v>0</v>
      </c>
      <c r="W2163" t="s">
        <v>106</v>
      </c>
    </row>
    <row r="2164" spans="1:42" x14ac:dyDescent="0.35">
      <c r="A2164" t="s">
        <v>45</v>
      </c>
      <c r="B2164" t="s">
        <v>4829</v>
      </c>
      <c r="C2164" t="s">
        <v>47</v>
      </c>
      <c r="D2164" t="s">
        <v>4867</v>
      </c>
      <c r="E2164" t="s">
        <v>4867</v>
      </c>
      <c r="F2164" t="s">
        <v>49</v>
      </c>
      <c r="G2164" t="s">
        <v>4868</v>
      </c>
      <c r="H2164" t="s">
        <v>4869</v>
      </c>
      <c r="J2164" t="str">
        <f>HYPERLINK("https://www.facebook.com/357267201017935/inbox/7075882765822978/","https://www.facebook.com/357267201017935/inbox/7075882765822978/")</f>
        <v>https://www.facebook.com/357267201017935/inbox/7075882765822978/</v>
      </c>
      <c r="O2164">
        <v>0</v>
      </c>
      <c r="P2164">
        <v>0</v>
      </c>
      <c r="Q2164">
        <v>0</v>
      </c>
      <c r="S2164">
        <v>0</v>
      </c>
      <c r="T2164">
        <v>0</v>
      </c>
      <c r="U2164">
        <v>0</v>
      </c>
      <c r="W2164" t="s">
        <v>52</v>
      </c>
    </row>
    <row r="2165" spans="1:42" x14ac:dyDescent="0.35">
      <c r="A2165" t="s">
        <v>45</v>
      </c>
      <c r="B2165" t="s">
        <v>4829</v>
      </c>
      <c r="C2165" t="s">
        <v>47</v>
      </c>
      <c r="D2165" t="s">
        <v>274</v>
      </c>
      <c r="E2165" t="s">
        <v>274</v>
      </c>
      <c r="F2165" t="s">
        <v>49</v>
      </c>
      <c r="G2165" t="s">
        <v>4870</v>
      </c>
      <c r="H2165" t="s">
        <v>4871</v>
      </c>
      <c r="J2165" t="str">
        <f>HYPERLINK("https://www.facebook.com/454965103328545/posts/775867004571685?comment_id=380757371371639","https://www.facebook.com/454965103328545/posts/775867004571685?comment_id=380757371371639")</f>
        <v>https://www.facebook.com/454965103328545/posts/775867004571685?comment_id=380757371371639</v>
      </c>
      <c r="O2165">
        <v>0</v>
      </c>
      <c r="P2165">
        <v>0</v>
      </c>
      <c r="Q2165">
        <v>0</v>
      </c>
      <c r="S2165">
        <v>0</v>
      </c>
      <c r="T2165">
        <v>0</v>
      </c>
      <c r="U2165">
        <v>0</v>
      </c>
      <c r="W2165" t="s">
        <v>62</v>
      </c>
    </row>
    <row r="2166" spans="1:42" x14ac:dyDescent="0.35">
      <c r="A2166" t="s">
        <v>45</v>
      </c>
      <c r="B2166" t="s">
        <v>4829</v>
      </c>
      <c r="C2166" t="s">
        <v>139</v>
      </c>
      <c r="D2166" t="s">
        <v>4856</v>
      </c>
      <c r="E2166" t="s">
        <v>4857</v>
      </c>
      <c r="F2166" t="s">
        <v>142</v>
      </c>
      <c r="G2166" t="s">
        <v>4872</v>
      </c>
      <c r="H2166" t="s">
        <v>4873</v>
      </c>
      <c r="J2166" t="str">
        <f>HYPERLINK("https://twitter.com/deepakcmishra81/status/1761005694277263361","https://twitter.com/deepakcmishra81/status/1761005694277263361")</f>
        <v>https://twitter.com/deepakcmishra81/status/1761005694277263361</v>
      </c>
      <c r="K2166" t="s">
        <v>145</v>
      </c>
      <c r="O2166">
        <v>0</v>
      </c>
      <c r="P2166">
        <v>0</v>
      </c>
      <c r="Q2166">
        <v>27</v>
      </c>
      <c r="R2166" t="s">
        <v>4860</v>
      </c>
      <c r="S2166">
        <v>0</v>
      </c>
      <c r="T2166">
        <v>0</v>
      </c>
      <c r="U2166">
        <v>0</v>
      </c>
      <c r="W2166" t="s">
        <v>146</v>
      </c>
      <c r="AP2166" t="s">
        <v>147</v>
      </c>
    </row>
    <row r="2167" spans="1:42" x14ac:dyDescent="0.35">
      <c r="A2167" t="s">
        <v>45</v>
      </c>
      <c r="B2167" t="s">
        <v>4829</v>
      </c>
      <c r="C2167" t="s">
        <v>139</v>
      </c>
      <c r="D2167" t="s">
        <v>4874</v>
      </c>
      <c r="E2167" t="s">
        <v>4875</v>
      </c>
      <c r="F2167" t="s">
        <v>49</v>
      </c>
      <c r="G2167" t="s">
        <v>4876</v>
      </c>
      <c r="H2167" t="s">
        <v>4877</v>
      </c>
      <c r="J2167" t="str">
        <f>HYPERLINK("https://twitter.com/JeetRech/status/1761004162244857969","https://twitter.com/JeetRech/status/1761004162244857969")</f>
        <v>https://twitter.com/JeetRech/status/1761004162244857969</v>
      </c>
      <c r="K2167" t="s">
        <v>145</v>
      </c>
      <c r="O2167">
        <v>0</v>
      </c>
      <c r="P2167">
        <v>0</v>
      </c>
      <c r="Q2167">
        <v>0</v>
      </c>
      <c r="S2167">
        <v>0</v>
      </c>
      <c r="T2167">
        <v>0</v>
      </c>
      <c r="U2167">
        <v>0</v>
      </c>
      <c r="W2167" t="s">
        <v>146</v>
      </c>
    </row>
    <row r="2168" spans="1:42" x14ac:dyDescent="0.35">
      <c r="A2168" t="s">
        <v>45</v>
      </c>
      <c r="B2168" t="s">
        <v>4829</v>
      </c>
      <c r="C2168" t="s">
        <v>63</v>
      </c>
      <c r="D2168" t="s">
        <v>4813</v>
      </c>
      <c r="E2168" t="s">
        <v>4813</v>
      </c>
      <c r="F2168" t="s">
        <v>49</v>
      </c>
      <c r="G2168" t="s">
        <v>4878</v>
      </c>
      <c r="H2168" t="s">
        <v>4879</v>
      </c>
      <c r="J2168" t="str">
        <f>HYPERLINK("https://www.instagram.com/reel/C3sDoSHIOmC/","https://www.instagram.com/reel/C3sDoSHIOmC/")</f>
        <v>https://www.instagram.com/reel/C3sDoSHIOmC/</v>
      </c>
      <c r="O2168">
        <v>0</v>
      </c>
      <c r="P2168">
        <v>0</v>
      </c>
      <c r="Q2168">
        <v>0</v>
      </c>
      <c r="S2168">
        <v>0</v>
      </c>
      <c r="T2168">
        <v>1</v>
      </c>
      <c r="U2168">
        <v>0</v>
      </c>
      <c r="W2168" t="s">
        <v>62</v>
      </c>
    </row>
    <row r="2169" spans="1:42" x14ac:dyDescent="0.35">
      <c r="A2169" t="s">
        <v>45</v>
      </c>
      <c r="B2169" t="s">
        <v>4829</v>
      </c>
      <c r="C2169" t="s">
        <v>63</v>
      </c>
      <c r="D2169" t="s">
        <v>4813</v>
      </c>
      <c r="E2169" t="s">
        <v>4813</v>
      </c>
      <c r="F2169" t="s">
        <v>49</v>
      </c>
      <c r="G2169" t="s">
        <v>4880</v>
      </c>
      <c r="H2169" t="s">
        <v>4881</v>
      </c>
      <c r="J2169" t="str">
        <f>HYPERLINK("https://www.instagram.com/reel/C3sDoSHIOmC/","https://www.instagram.com/reel/C3sDoSHIOmC/")</f>
        <v>https://www.instagram.com/reel/C3sDoSHIOmC/</v>
      </c>
      <c r="O2169">
        <v>0</v>
      </c>
      <c r="P2169">
        <v>0</v>
      </c>
      <c r="Q2169">
        <v>0</v>
      </c>
      <c r="S2169">
        <v>0</v>
      </c>
      <c r="T2169">
        <v>1</v>
      </c>
      <c r="U2169">
        <v>0</v>
      </c>
      <c r="W2169" t="s">
        <v>62</v>
      </c>
    </row>
    <row r="2170" spans="1:42" x14ac:dyDescent="0.35">
      <c r="A2170" t="s">
        <v>45</v>
      </c>
      <c r="B2170" t="s">
        <v>4829</v>
      </c>
      <c r="C2170" t="s">
        <v>139</v>
      </c>
      <c r="D2170" t="s">
        <v>4882</v>
      </c>
      <c r="E2170" t="s">
        <v>4883</v>
      </c>
      <c r="F2170" t="s">
        <v>49</v>
      </c>
      <c r="G2170" t="s">
        <v>4884</v>
      </c>
      <c r="H2170" t="s">
        <v>4885</v>
      </c>
      <c r="J2170" t="str">
        <f>HYPERLINK("https://twitter.com/indianman7861/status/1760999698712670654","https://twitter.com/indianman7861/status/1760999698712670654")</f>
        <v>https://twitter.com/indianman7861/status/1760999698712670654</v>
      </c>
      <c r="O2170">
        <v>0</v>
      </c>
      <c r="P2170">
        <v>0</v>
      </c>
      <c r="Q2170">
        <v>6</v>
      </c>
      <c r="S2170">
        <v>0</v>
      </c>
      <c r="T2170">
        <v>0</v>
      </c>
      <c r="U2170">
        <v>0</v>
      </c>
      <c r="W2170" t="s">
        <v>146</v>
      </c>
      <c r="AP2170" t="s">
        <v>101</v>
      </c>
    </row>
    <row r="2171" spans="1:42" x14ac:dyDescent="0.35">
      <c r="A2171" t="s">
        <v>45</v>
      </c>
      <c r="B2171" t="s">
        <v>4829</v>
      </c>
      <c r="C2171" t="s">
        <v>47</v>
      </c>
      <c r="D2171" t="s">
        <v>3899</v>
      </c>
      <c r="E2171" t="s">
        <v>3899</v>
      </c>
      <c r="F2171" t="s">
        <v>49</v>
      </c>
      <c r="G2171" t="s">
        <v>851</v>
      </c>
      <c r="H2171" t="s">
        <v>4886</v>
      </c>
      <c r="J2171" t="str">
        <f>HYPERLINK("https://www.facebook.com/454965103328545/posts/775867004571685?comment_id=1810442316124302","https://www.facebook.com/454965103328545/posts/775867004571685?comment_id=1810442316124302")</f>
        <v>https://www.facebook.com/454965103328545/posts/775867004571685?comment_id=1810442316124302</v>
      </c>
      <c r="O2171">
        <v>0</v>
      </c>
      <c r="P2171">
        <v>0</v>
      </c>
      <c r="Q2171">
        <v>0</v>
      </c>
      <c r="S2171">
        <v>0</v>
      </c>
      <c r="T2171">
        <v>0</v>
      </c>
      <c r="U2171">
        <v>0</v>
      </c>
      <c r="W2171" t="s">
        <v>62</v>
      </c>
    </row>
    <row r="2172" spans="1:42" x14ac:dyDescent="0.35">
      <c r="A2172" t="s">
        <v>45</v>
      </c>
      <c r="B2172" t="s">
        <v>4829</v>
      </c>
      <c r="C2172" t="s">
        <v>102</v>
      </c>
      <c r="D2172" t="s">
        <v>4887</v>
      </c>
      <c r="E2172" t="s">
        <v>4887</v>
      </c>
      <c r="F2172" t="s">
        <v>76</v>
      </c>
      <c r="G2172" t="s">
        <v>4888</v>
      </c>
      <c r="H2172" t="s">
        <v>4889</v>
      </c>
      <c r="J2172" t="str">
        <f>HYPERLINK("https://www.linkedin.com/feed/update/urn:li:activity:7165170628348571648/?commentUrn=urn:li:comment:(urn:li:activity:7165170628348571648,7166755307199606784)","https://www.linkedin.com/feed/update/urn:li:activity:7165170628348571648/?commentUrn=urn:li:comment:(urn:li:activity:7165170628348571648,7166755307199606784)")</f>
        <v>https://www.linkedin.com/feed/update/urn:li:activity:7165170628348571648/?commentUrn=urn:li:comment:(urn:li:activity:7165170628348571648,7166755307199606784)</v>
      </c>
      <c r="O2172">
        <v>0</v>
      </c>
      <c r="P2172">
        <v>0</v>
      </c>
      <c r="Q2172">
        <v>0</v>
      </c>
      <c r="S2172">
        <v>0</v>
      </c>
      <c r="T2172">
        <v>0</v>
      </c>
      <c r="U2172">
        <v>0</v>
      </c>
      <c r="W2172" t="s">
        <v>62</v>
      </c>
    </row>
    <row r="2173" spans="1:42" x14ac:dyDescent="0.35">
      <c r="A2173" t="s">
        <v>45</v>
      </c>
      <c r="B2173" t="s">
        <v>4829</v>
      </c>
      <c r="C2173" t="s">
        <v>63</v>
      </c>
      <c r="D2173" t="s">
        <v>186</v>
      </c>
      <c r="E2173" t="s">
        <v>186</v>
      </c>
      <c r="F2173" t="s">
        <v>49</v>
      </c>
      <c r="G2173" t="s">
        <v>4890</v>
      </c>
      <c r="H2173" t="s">
        <v>4891</v>
      </c>
      <c r="J2173" t="str">
        <f>HYPERLINK("https://www.instagram.com/reel/C3sDoSHIOmC/","https://www.instagram.com/reel/C3sDoSHIOmC/")</f>
        <v>https://www.instagram.com/reel/C3sDoSHIOmC/</v>
      </c>
      <c r="O2173">
        <v>0</v>
      </c>
      <c r="P2173">
        <v>0</v>
      </c>
      <c r="Q2173">
        <v>0</v>
      </c>
      <c r="S2173">
        <v>8</v>
      </c>
      <c r="T2173">
        <v>55</v>
      </c>
      <c r="U2173">
        <v>0</v>
      </c>
      <c r="W2173" t="s">
        <v>106</v>
      </c>
    </row>
    <row r="2174" spans="1:42" x14ac:dyDescent="0.35">
      <c r="A2174" t="s">
        <v>45</v>
      </c>
      <c r="B2174" t="s">
        <v>4829</v>
      </c>
      <c r="C2174" t="s">
        <v>47</v>
      </c>
      <c r="D2174" t="s">
        <v>45</v>
      </c>
      <c r="E2174" t="s">
        <v>45</v>
      </c>
      <c r="F2174" t="s">
        <v>49</v>
      </c>
      <c r="G2174" t="s">
        <v>4890</v>
      </c>
      <c r="H2174" t="s">
        <v>4892</v>
      </c>
      <c r="J2174" t="str">
        <f>HYPERLINK("https://www.facebook.com/357267201017935_775867004571685","https://www.facebook.com/357267201017935_775867004571685")</f>
        <v>https://www.facebook.com/357267201017935_775867004571685</v>
      </c>
      <c r="O2174">
        <v>0</v>
      </c>
      <c r="P2174">
        <v>0</v>
      </c>
      <c r="Q2174">
        <v>0</v>
      </c>
      <c r="S2174">
        <v>5</v>
      </c>
      <c r="T2174">
        <v>55</v>
      </c>
      <c r="U2174">
        <v>6</v>
      </c>
      <c r="W2174" t="s">
        <v>106</v>
      </c>
    </row>
    <row r="2175" spans="1:42" x14ac:dyDescent="0.35">
      <c r="A2175" t="s">
        <v>45</v>
      </c>
      <c r="B2175" t="s">
        <v>4829</v>
      </c>
      <c r="C2175" t="s">
        <v>139</v>
      </c>
      <c r="D2175" t="s">
        <v>190</v>
      </c>
      <c r="E2175" t="s">
        <v>45</v>
      </c>
      <c r="F2175" t="s">
        <v>49</v>
      </c>
      <c r="G2175" t="s">
        <v>4893</v>
      </c>
      <c r="H2175" t="s">
        <v>4894</v>
      </c>
      <c r="J2175" t="str">
        <f>HYPERLINK("https://twitter.com/FinoPaymntsBank/status/1760990385558659259","https://twitter.com/FinoPaymntsBank/status/1760990385558659259")</f>
        <v>https://twitter.com/FinoPaymntsBank/status/1760990385558659259</v>
      </c>
      <c r="K2175" t="s">
        <v>145</v>
      </c>
      <c r="O2175">
        <v>0</v>
      </c>
      <c r="P2175">
        <v>0</v>
      </c>
      <c r="Q2175">
        <v>8390</v>
      </c>
      <c r="R2175" t="s">
        <v>193</v>
      </c>
      <c r="S2175">
        <v>0</v>
      </c>
      <c r="T2175">
        <v>0</v>
      </c>
      <c r="U2175">
        <v>0</v>
      </c>
      <c r="W2175" t="s">
        <v>146</v>
      </c>
    </row>
    <row r="2176" spans="1:42" x14ac:dyDescent="0.35">
      <c r="A2176" t="s">
        <v>45</v>
      </c>
      <c r="B2176" t="s">
        <v>4829</v>
      </c>
      <c r="C2176" t="s">
        <v>102</v>
      </c>
      <c r="D2176" t="s">
        <v>4887</v>
      </c>
      <c r="E2176" t="s">
        <v>4887</v>
      </c>
      <c r="F2176" t="s">
        <v>76</v>
      </c>
      <c r="G2176" t="s">
        <v>4888</v>
      </c>
      <c r="H2176" t="s">
        <v>4895</v>
      </c>
      <c r="J2176" t="str">
        <f>HYPERLINK("https://www.linkedin.com/feed/update/urn:li:activity:7165978487973965824/?commentUrn=urn:li:comment:(urn:li:activity:7165978487973965824,7166752796896161793)","https://www.linkedin.com/feed/update/urn:li:activity:7165978487973965824/?commentUrn=urn:li:comment:(urn:li:activity:7165978487973965824,7166752796896161793)")</f>
        <v>https://www.linkedin.com/feed/update/urn:li:activity:7165978487973965824/?commentUrn=urn:li:comment:(urn:li:activity:7165978487973965824,7166752796896161793)</v>
      </c>
      <c r="O2176">
        <v>0</v>
      </c>
      <c r="P2176">
        <v>0</v>
      </c>
      <c r="Q2176">
        <v>0</v>
      </c>
      <c r="S2176">
        <v>0</v>
      </c>
      <c r="T2176">
        <v>0</v>
      </c>
      <c r="U2176">
        <v>0</v>
      </c>
      <c r="W2176" t="s">
        <v>62</v>
      </c>
    </row>
    <row r="2177" spans="1:42" x14ac:dyDescent="0.35">
      <c r="A2177" t="s">
        <v>45</v>
      </c>
      <c r="B2177" t="s">
        <v>4829</v>
      </c>
      <c r="C2177" t="s">
        <v>63</v>
      </c>
      <c r="D2177" t="s">
        <v>4896</v>
      </c>
      <c r="E2177" t="s">
        <v>4896</v>
      </c>
      <c r="F2177" t="s">
        <v>49</v>
      </c>
      <c r="G2177" t="s">
        <v>4897</v>
      </c>
      <c r="H2177" t="s">
        <v>4898</v>
      </c>
      <c r="J2177" t="str">
        <f>HYPERLINK("https://www.instagram.com/p/C2w6aNLgipi/","https://www.instagram.com/p/C2w6aNLgipi/")</f>
        <v>https://www.instagram.com/p/C2w6aNLgipi/</v>
      </c>
      <c r="O2177">
        <v>0</v>
      </c>
      <c r="P2177">
        <v>0</v>
      </c>
      <c r="Q2177">
        <v>0</v>
      </c>
      <c r="S2177">
        <v>0</v>
      </c>
      <c r="T2177">
        <v>0</v>
      </c>
      <c r="U2177">
        <v>0</v>
      </c>
      <c r="W2177" t="s">
        <v>62</v>
      </c>
    </row>
    <row r="2178" spans="1:42" x14ac:dyDescent="0.35">
      <c r="A2178" t="s">
        <v>45</v>
      </c>
      <c r="B2178" t="s">
        <v>4829</v>
      </c>
      <c r="C2178" t="s">
        <v>58</v>
      </c>
      <c r="D2178" t="s">
        <v>4899</v>
      </c>
      <c r="E2178" t="s">
        <v>4899</v>
      </c>
      <c r="F2178" t="s">
        <v>76</v>
      </c>
      <c r="G2178" t="s">
        <v>4900</v>
      </c>
      <c r="H2178" t="s">
        <v>4901</v>
      </c>
      <c r="J2178" t="str">
        <f>HYPERLINK("https://www.youtube.com/watch?v=my2E-8MuyQA","https://www.youtube.com/watch?v=my2E-8MuyQA")</f>
        <v>https://www.youtube.com/watch?v=my2E-8MuyQA</v>
      </c>
      <c r="O2178">
        <v>0</v>
      </c>
      <c r="P2178">
        <v>0</v>
      </c>
      <c r="Q2178">
        <v>0</v>
      </c>
      <c r="S2178">
        <v>0</v>
      </c>
      <c r="T2178">
        <v>0</v>
      </c>
      <c r="U2178">
        <v>0</v>
      </c>
      <c r="W2178" t="s">
        <v>106</v>
      </c>
    </row>
    <row r="2179" spans="1:42" x14ac:dyDescent="0.35">
      <c r="A2179" t="s">
        <v>45</v>
      </c>
      <c r="B2179" t="s">
        <v>4829</v>
      </c>
      <c r="C2179" t="s">
        <v>139</v>
      </c>
      <c r="D2179" t="s">
        <v>4902</v>
      </c>
      <c r="E2179" t="s">
        <v>4903</v>
      </c>
      <c r="F2179" t="s">
        <v>49</v>
      </c>
      <c r="G2179" t="s">
        <v>4904</v>
      </c>
      <c r="H2179" t="s">
        <v>4905</v>
      </c>
      <c r="J2179" t="str">
        <f>HYPERLINK("https://twitter.com/lovepartner_1/status/1760975571679670708","https://twitter.com/lovepartner_1/status/1760975571679670708")</f>
        <v>https://twitter.com/lovepartner_1/status/1760975571679670708</v>
      </c>
      <c r="K2179" t="s">
        <v>145</v>
      </c>
      <c r="O2179">
        <v>0</v>
      </c>
      <c r="P2179">
        <v>0</v>
      </c>
      <c r="Q2179">
        <v>17</v>
      </c>
      <c r="R2179" t="s">
        <v>4587</v>
      </c>
      <c r="S2179">
        <v>0</v>
      </c>
      <c r="T2179">
        <v>0</v>
      </c>
      <c r="U2179">
        <v>0</v>
      </c>
      <c r="W2179" t="s">
        <v>146</v>
      </c>
    </row>
    <row r="2180" spans="1:42" x14ac:dyDescent="0.35">
      <c r="A2180" t="s">
        <v>45</v>
      </c>
      <c r="B2180" t="s">
        <v>4829</v>
      </c>
      <c r="C2180" t="s">
        <v>58</v>
      </c>
      <c r="D2180" t="s">
        <v>1240</v>
      </c>
      <c r="E2180" t="s">
        <v>1240</v>
      </c>
      <c r="F2180" t="s">
        <v>49</v>
      </c>
      <c r="G2180" t="s">
        <v>4808</v>
      </c>
      <c r="H2180" t="s">
        <v>4906</v>
      </c>
      <c r="J2180" t="str">
        <f>HYPERLINK("https://www.youtube.com/watch?v=1MJmUiqy1Fg","https://www.youtube.com/watch?v=1MJmUiqy1Fg")</f>
        <v>https://www.youtube.com/watch?v=1MJmUiqy1Fg</v>
      </c>
      <c r="O2180">
        <v>0</v>
      </c>
      <c r="P2180">
        <v>0</v>
      </c>
      <c r="Q2180">
        <v>0</v>
      </c>
      <c r="S2180">
        <v>0</v>
      </c>
      <c r="T2180">
        <v>0</v>
      </c>
      <c r="U2180">
        <v>0</v>
      </c>
      <c r="W2180" t="s">
        <v>106</v>
      </c>
    </row>
    <row r="2181" spans="1:42" x14ac:dyDescent="0.35">
      <c r="A2181" t="s">
        <v>45</v>
      </c>
      <c r="B2181" t="s">
        <v>4829</v>
      </c>
      <c r="C2181" t="s">
        <v>47</v>
      </c>
      <c r="D2181" t="s">
        <v>4907</v>
      </c>
      <c r="E2181" t="s">
        <v>4907</v>
      </c>
      <c r="F2181" t="s">
        <v>49</v>
      </c>
      <c r="G2181" t="s">
        <v>4908</v>
      </c>
      <c r="H2181" t="s">
        <v>4909</v>
      </c>
      <c r="J2181" t="str">
        <f>HYPERLINK("https://www.facebook.com/357267201017935/inbox/2949984685079494/","https://www.facebook.com/357267201017935/inbox/2949984685079494/")</f>
        <v>https://www.facebook.com/357267201017935/inbox/2949984685079494/</v>
      </c>
      <c r="O2181">
        <v>0</v>
      </c>
      <c r="P2181">
        <v>0</v>
      </c>
      <c r="Q2181">
        <v>0</v>
      </c>
      <c r="S2181">
        <v>0</v>
      </c>
      <c r="T2181">
        <v>0</v>
      </c>
      <c r="U2181">
        <v>0</v>
      </c>
      <c r="W2181" t="s">
        <v>52</v>
      </c>
    </row>
    <row r="2182" spans="1:42" x14ac:dyDescent="0.35">
      <c r="A2182" t="s">
        <v>45</v>
      </c>
      <c r="B2182" t="s">
        <v>4829</v>
      </c>
      <c r="C2182" t="s">
        <v>47</v>
      </c>
      <c r="D2182" t="s">
        <v>4907</v>
      </c>
      <c r="E2182" t="s">
        <v>4907</v>
      </c>
      <c r="F2182" t="s">
        <v>142</v>
      </c>
      <c r="G2182" t="s">
        <v>4910</v>
      </c>
      <c r="H2182" t="s">
        <v>4911</v>
      </c>
      <c r="J2182" t="str">
        <f>HYPERLINK("https://www.facebook.com/357267201017935/inbox/2949984685079494/","https://www.facebook.com/357267201017935/inbox/2949984685079494/")</f>
        <v>https://www.facebook.com/357267201017935/inbox/2949984685079494/</v>
      </c>
      <c r="O2182">
        <v>0</v>
      </c>
      <c r="P2182">
        <v>0</v>
      </c>
      <c r="Q2182">
        <v>0</v>
      </c>
      <c r="S2182">
        <v>0</v>
      </c>
      <c r="T2182">
        <v>0</v>
      </c>
      <c r="U2182">
        <v>0</v>
      </c>
      <c r="W2182" t="s">
        <v>52</v>
      </c>
      <c r="AP2182" t="s">
        <v>147</v>
      </c>
    </row>
    <row r="2183" spans="1:42" x14ac:dyDescent="0.35">
      <c r="A2183" t="s">
        <v>45</v>
      </c>
      <c r="B2183" t="s">
        <v>4829</v>
      </c>
      <c r="C2183" t="s">
        <v>139</v>
      </c>
      <c r="D2183" t="s">
        <v>4912</v>
      </c>
      <c r="E2183" t="s">
        <v>4913</v>
      </c>
      <c r="F2183" t="s">
        <v>49</v>
      </c>
      <c r="G2183" t="s">
        <v>4914</v>
      </c>
      <c r="H2183" t="s">
        <v>4915</v>
      </c>
      <c r="J2183" t="str">
        <f>HYPERLINK("https://twitter.com/rohits_bn/status/1760959147326296414","https://twitter.com/rohits_bn/status/1760959147326296414")</f>
        <v>https://twitter.com/rohits_bn/status/1760959147326296414</v>
      </c>
      <c r="K2183" t="s">
        <v>145</v>
      </c>
      <c r="O2183">
        <v>0</v>
      </c>
      <c r="P2183">
        <v>0</v>
      </c>
      <c r="Q2183">
        <v>11805</v>
      </c>
      <c r="R2183" t="s">
        <v>1810</v>
      </c>
      <c r="S2183">
        <v>0</v>
      </c>
      <c r="T2183">
        <v>0</v>
      </c>
      <c r="U2183">
        <v>0</v>
      </c>
      <c r="V2183" t="s">
        <v>642</v>
      </c>
      <c r="W2183" t="s">
        <v>146</v>
      </c>
    </row>
    <row r="2184" spans="1:42" x14ac:dyDescent="0.35">
      <c r="A2184" t="s">
        <v>45</v>
      </c>
      <c r="B2184" t="s">
        <v>4829</v>
      </c>
      <c r="C2184" t="s">
        <v>47</v>
      </c>
      <c r="D2184" t="s">
        <v>4488</v>
      </c>
      <c r="E2184" t="s">
        <v>4488</v>
      </c>
      <c r="F2184" t="s">
        <v>49</v>
      </c>
      <c r="G2184" t="s">
        <v>4489</v>
      </c>
      <c r="H2184" t="s">
        <v>4916</v>
      </c>
      <c r="J2184" t="str">
        <f>HYPERLINK("https://www.facebook.com/454965103328545/posts/768712795287106?comment_id=1083465796038188","https://www.facebook.com/454965103328545/posts/768712795287106?comment_id=1083465796038188")</f>
        <v>https://www.facebook.com/454965103328545/posts/768712795287106?comment_id=1083465796038188</v>
      </c>
      <c r="O2184">
        <v>0</v>
      </c>
      <c r="P2184">
        <v>0</v>
      </c>
      <c r="Q2184">
        <v>0</v>
      </c>
      <c r="S2184">
        <v>0</v>
      </c>
      <c r="T2184">
        <v>0</v>
      </c>
      <c r="U2184">
        <v>0</v>
      </c>
      <c r="W2184" t="s">
        <v>62</v>
      </c>
    </row>
    <row r="2185" spans="1:42" x14ac:dyDescent="0.35">
      <c r="A2185" t="s">
        <v>45</v>
      </c>
      <c r="B2185" t="s">
        <v>4829</v>
      </c>
      <c r="C2185" t="s">
        <v>58</v>
      </c>
      <c r="D2185" t="s">
        <v>4917</v>
      </c>
      <c r="E2185" t="s">
        <v>4917</v>
      </c>
      <c r="F2185" t="s">
        <v>49</v>
      </c>
      <c r="G2185" t="s">
        <v>4918</v>
      </c>
      <c r="H2185" t="s">
        <v>4919</v>
      </c>
      <c r="J2185" t="str">
        <f>HYPERLINK("https://www.youtube.com/watch?v=1ZHisoDuHMg","https://www.youtube.com/watch?v=1ZHisoDuHMg")</f>
        <v>https://www.youtube.com/watch?v=1ZHisoDuHMg</v>
      </c>
      <c r="O2185">
        <v>0</v>
      </c>
      <c r="P2185">
        <v>0</v>
      </c>
      <c r="Q2185">
        <v>0</v>
      </c>
      <c r="S2185">
        <v>0</v>
      </c>
      <c r="T2185">
        <v>0</v>
      </c>
      <c r="U2185">
        <v>0</v>
      </c>
      <c r="W2185" t="s">
        <v>106</v>
      </c>
    </row>
    <row r="2186" spans="1:42" x14ac:dyDescent="0.35">
      <c r="A2186" t="s">
        <v>45</v>
      </c>
      <c r="B2186" t="s">
        <v>4829</v>
      </c>
      <c r="C2186" t="s">
        <v>139</v>
      </c>
      <c r="D2186" t="s">
        <v>4920</v>
      </c>
      <c r="E2186" t="s">
        <v>4921</v>
      </c>
      <c r="F2186" t="s">
        <v>49</v>
      </c>
      <c r="G2186" t="s">
        <v>4922</v>
      </c>
      <c r="H2186" t="s">
        <v>4923</v>
      </c>
      <c r="J2186" t="str">
        <f>HYPERLINK("https://twitter.com/Amar_Maida_/status/1760928513786523792","https://twitter.com/Amar_Maida_/status/1760928513786523792")</f>
        <v>https://twitter.com/Amar_Maida_/status/1760928513786523792</v>
      </c>
      <c r="K2186" t="s">
        <v>145</v>
      </c>
      <c r="O2186">
        <v>0</v>
      </c>
      <c r="P2186">
        <v>0</v>
      </c>
      <c r="Q2186">
        <v>2</v>
      </c>
      <c r="S2186">
        <v>0</v>
      </c>
      <c r="T2186">
        <v>0</v>
      </c>
      <c r="U2186">
        <v>0</v>
      </c>
      <c r="W2186" t="s">
        <v>146</v>
      </c>
    </row>
    <row r="2187" spans="1:42" x14ac:dyDescent="0.35">
      <c r="A2187" t="s">
        <v>45</v>
      </c>
      <c r="B2187" t="s">
        <v>4829</v>
      </c>
      <c r="C2187" t="s">
        <v>139</v>
      </c>
      <c r="D2187" t="s">
        <v>4920</v>
      </c>
      <c r="E2187" t="s">
        <v>4921</v>
      </c>
      <c r="F2187" t="s">
        <v>49</v>
      </c>
      <c r="G2187" t="s">
        <v>4924</v>
      </c>
      <c r="H2187" t="s">
        <v>4925</v>
      </c>
      <c r="J2187" t="str">
        <f>HYPERLINK("https://twitter.com/Amar_Maida_/status/1760927770752975149","https://twitter.com/Amar_Maida_/status/1760927770752975149")</f>
        <v>https://twitter.com/Amar_Maida_/status/1760927770752975149</v>
      </c>
      <c r="K2187" t="s">
        <v>145</v>
      </c>
      <c r="O2187">
        <v>0</v>
      </c>
      <c r="P2187">
        <v>0</v>
      </c>
      <c r="Q2187">
        <v>2</v>
      </c>
      <c r="S2187">
        <v>0</v>
      </c>
      <c r="T2187">
        <v>0</v>
      </c>
      <c r="U2187">
        <v>0</v>
      </c>
      <c r="W2187" t="s">
        <v>146</v>
      </c>
    </row>
    <row r="2188" spans="1:42" x14ac:dyDescent="0.35">
      <c r="A2188" t="s">
        <v>45</v>
      </c>
      <c r="B2188" t="s">
        <v>4829</v>
      </c>
      <c r="C2188" t="s">
        <v>139</v>
      </c>
      <c r="D2188" t="s">
        <v>4926</v>
      </c>
      <c r="E2188" t="s">
        <v>4927</v>
      </c>
      <c r="F2188" t="s">
        <v>49</v>
      </c>
      <c r="G2188" t="s">
        <v>4928</v>
      </c>
      <c r="H2188" t="s">
        <v>4929</v>
      </c>
      <c r="J2188" t="str">
        <f>HYPERLINK("https://twitter.com/IAMAIForum/status/1760920943814115498","https://twitter.com/IAMAIForum/status/1760920943814115498")</f>
        <v>https://twitter.com/IAMAIForum/status/1760920943814115498</v>
      </c>
      <c r="O2188">
        <v>0</v>
      </c>
      <c r="P2188">
        <v>0</v>
      </c>
      <c r="Q2188">
        <v>13053</v>
      </c>
      <c r="R2188" t="s">
        <v>582</v>
      </c>
      <c r="S2188">
        <v>0</v>
      </c>
      <c r="T2188">
        <v>0</v>
      </c>
      <c r="U2188">
        <v>0</v>
      </c>
      <c r="W2188" t="s">
        <v>146</v>
      </c>
    </row>
    <row r="2189" spans="1:42" x14ac:dyDescent="0.35">
      <c r="A2189" t="s">
        <v>45</v>
      </c>
      <c r="B2189" t="s">
        <v>4829</v>
      </c>
      <c r="C2189" t="s">
        <v>47</v>
      </c>
      <c r="D2189" t="s">
        <v>4930</v>
      </c>
      <c r="E2189" t="s">
        <v>4930</v>
      </c>
      <c r="F2189" t="s">
        <v>49</v>
      </c>
      <c r="G2189" t="s">
        <v>4931</v>
      </c>
      <c r="H2189" t="s">
        <v>4932</v>
      </c>
      <c r="J2189" t="str">
        <f>HYPERLINK("https://www.facebook.com/484460237044662/posts/800298255460857","https://www.facebook.com/484460237044662/posts/800298255460857")</f>
        <v>https://www.facebook.com/484460237044662/posts/800298255460857</v>
      </c>
      <c r="O2189">
        <v>0</v>
      </c>
      <c r="P2189">
        <v>0</v>
      </c>
      <c r="Q2189">
        <v>0</v>
      </c>
      <c r="S2189">
        <v>0</v>
      </c>
      <c r="T2189">
        <v>0</v>
      </c>
      <c r="U2189">
        <v>0</v>
      </c>
      <c r="W2189" t="s">
        <v>106</v>
      </c>
    </row>
    <row r="2190" spans="1:42" x14ac:dyDescent="0.35">
      <c r="A2190" t="s">
        <v>45</v>
      </c>
      <c r="B2190" t="s">
        <v>4829</v>
      </c>
      <c r="C2190" t="s">
        <v>102</v>
      </c>
      <c r="D2190" t="s">
        <v>4933</v>
      </c>
      <c r="E2190" t="s">
        <v>4933</v>
      </c>
      <c r="F2190" t="s">
        <v>76</v>
      </c>
      <c r="G2190" t="s">
        <v>4934</v>
      </c>
      <c r="H2190" t="s">
        <v>4935</v>
      </c>
      <c r="J2190" t="str">
        <f>HYPERLINK("https://www.linkedin.com/feed/update/urn:li:activity:7166685990219116544","https://www.linkedin.com/feed/update/urn:li:activity:7166685990219116544")</f>
        <v>https://www.linkedin.com/feed/update/urn:li:activity:7166685990219116544</v>
      </c>
      <c r="O2190">
        <v>0</v>
      </c>
      <c r="P2190">
        <v>0</v>
      </c>
      <c r="Q2190">
        <v>0</v>
      </c>
      <c r="S2190">
        <v>0</v>
      </c>
      <c r="T2190">
        <v>0</v>
      </c>
      <c r="U2190">
        <v>0</v>
      </c>
      <c r="W2190" t="s">
        <v>106</v>
      </c>
    </row>
    <row r="2191" spans="1:42" x14ac:dyDescent="0.35">
      <c r="A2191" t="s">
        <v>45</v>
      </c>
      <c r="B2191" t="s">
        <v>4829</v>
      </c>
      <c r="C2191" t="s">
        <v>139</v>
      </c>
      <c r="D2191" t="s">
        <v>4936</v>
      </c>
      <c r="E2191" t="s">
        <v>4937</v>
      </c>
      <c r="F2191" t="s">
        <v>49</v>
      </c>
      <c r="G2191" t="s">
        <v>4938</v>
      </c>
      <c r="H2191" t="s">
        <v>4939</v>
      </c>
      <c r="J2191" t="str">
        <f>HYPERLINK("https://twitter.com/tauseeflala1991/status/1760913186470191612","https://twitter.com/tauseeflala1991/status/1760913186470191612")</f>
        <v>https://twitter.com/tauseeflala1991/status/1760913186470191612</v>
      </c>
      <c r="K2191" t="s">
        <v>145</v>
      </c>
      <c r="O2191">
        <v>0</v>
      </c>
      <c r="P2191">
        <v>0</v>
      </c>
      <c r="Q2191">
        <v>2</v>
      </c>
      <c r="R2191" t="s">
        <v>667</v>
      </c>
      <c r="S2191">
        <v>0</v>
      </c>
      <c r="T2191">
        <v>0</v>
      </c>
      <c r="U2191">
        <v>0</v>
      </c>
      <c r="W2191" t="s">
        <v>146</v>
      </c>
    </row>
    <row r="2192" spans="1:42" x14ac:dyDescent="0.35">
      <c r="A2192" t="s">
        <v>45</v>
      </c>
      <c r="B2192" t="s">
        <v>4829</v>
      </c>
      <c r="C2192" t="s">
        <v>47</v>
      </c>
      <c r="D2192" t="s">
        <v>1598</v>
      </c>
      <c r="E2192" t="s">
        <v>1598</v>
      </c>
      <c r="F2192" t="s">
        <v>49</v>
      </c>
      <c r="G2192" t="s">
        <v>4940</v>
      </c>
      <c r="H2192" t="s">
        <v>4941</v>
      </c>
      <c r="J2192" t="str">
        <f>HYPERLINK("https://www.facebook.com/357267201017935/inbox/5661451063932829/","https://www.facebook.com/357267201017935/inbox/5661451063932829/")</f>
        <v>https://www.facebook.com/357267201017935/inbox/5661451063932829/</v>
      </c>
      <c r="O2192">
        <v>0</v>
      </c>
      <c r="P2192">
        <v>0</v>
      </c>
      <c r="Q2192">
        <v>0</v>
      </c>
      <c r="S2192">
        <v>0</v>
      </c>
      <c r="T2192">
        <v>0</v>
      </c>
      <c r="U2192">
        <v>0</v>
      </c>
      <c r="W2192" t="s">
        <v>52</v>
      </c>
      <c r="AP2192" t="s">
        <v>101</v>
      </c>
    </row>
    <row r="2193" spans="1:42" x14ac:dyDescent="0.35">
      <c r="A2193" t="s">
        <v>45</v>
      </c>
      <c r="B2193" t="s">
        <v>4829</v>
      </c>
      <c r="C2193" t="s">
        <v>47</v>
      </c>
      <c r="D2193" t="s">
        <v>1598</v>
      </c>
      <c r="E2193" t="s">
        <v>1598</v>
      </c>
      <c r="F2193" t="s">
        <v>49</v>
      </c>
      <c r="G2193" t="s">
        <v>4942</v>
      </c>
      <c r="H2193" t="s">
        <v>4943</v>
      </c>
      <c r="J2193" t="str">
        <f>HYPERLINK("https://www.facebook.com/357267201017935/inbox/5661451063932829/","https://www.facebook.com/357267201017935/inbox/5661451063932829/")</f>
        <v>https://www.facebook.com/357267201017935/inbox/5661451063932829/</v>
      </c>
      <c r="O2193">
        <v>0</v>
      </c>
      <c r="P2193">
        <v>0</v>
      </c>
      <c r="Q2193">
        <v>0</v>
      </c>
      <c r="S2193">
        <v>0</v>
      </c>
      <c r="T2193">
        <v>0</v>
      </c>
      <c r="U2193">
        <v>0</v>
      </c>
      <c r="W2193" t="s">
        <v>52</v>
      </c>
    </row>
    <row r="2194" spans="1:42" x14ac:dyDescent="0.35">
      <c r="A2194" t="s">
        <v>45</v>
      </c>
      <c r="B2194" t="s">
        <v>4829</v>
      </c>
      <c r="C2194" t="s">
        <v>139</v>
      </c>
      <c r="D2194" t="s">
        <v>4902</v>
      </c>
      <c r="E2194" t="s">
        <v>4903</v>
      </c>
      <c r="F2194" t="s">
        <v>49</v>
      </c>
      <c r="G2194" t="s">
        <v>4944</v>
      </c>
      <c r="H2194" t="s">
        <v>4945</v>
      </c>
      <c r="J2194" t="str">
        <f>HYPERLINK("https://twitter.com/lovepartner_1/status/1760903166206554306","https://twitter.com/lovepartner_1/status/1760903166206554306")</f>
        <v>https://twitter.com/lovepartner_1/status/1760903166206554306</v>
      </c>
      <c r="K2194" t="s">
        <v>145</v>
      </c>
      <c r="O2194">
        <v>0</v>
      </c>
      <c r="P2194">
        <v>0</v>
      </c>
      <c r="Q2194">
        <v>17</v>
      </c>
      <c r="R2194" t="s">
        <v>4587</v>
      </c>
      <c r="S2194">
        <v>0</v>
      </c>
      <c r="T2194">
        <v>0</v>
      </c>
      <c r="U2194">
        <v>0</v>
      </c>
      <c r="W2194" t="s">
        <v>146</v>
      </c>
    </row>
    <row r="2195" spans="1:42" x14ac:dyDescent="0.35">
      <c r="A2195" t="s">
        <v>45</v>
      </c>
      <c r="B2195" t="s">
        <v>4829</v>
      </c>
      <c r="C2195" t="s">
        <v>139</v>
      </c>
      <c r="D2195" t="s">
        <v>4902</v>
      </c>
      <c r="E2195" t="s">
        <v>4903</v>
      </c>
      <c r="F2195" t="s">
        <v>49</v>
      </c>
      <c r="G2195" t="s">
        <v>4946</v>
      </c>
      <c r="H2195" t="s">
        <v>4947</v>
      </c>
      <c r="J2195" t="str">
        <f>HYPERLINK("https://twitter.com/lovepartner_1/status/1760901453215064238","https://twitter.com/lovepartner_1/status/1760901453215064238")</f>
        <v>https://twitter.com/lovepartner_1/status/1760901453215064238</v>
      </c>
      <c r="K2195" t="s">
        <v>145</v>
      </c>
      <c r="O2195">
        <v>0</v>
      </c>
      <c r="P2195">
        <v>0</v>
      </c>
      <c r="Q2195">
        <v>17</v>
      </c>
      <c r="R2195" t="s">
        <v>4587</v>
      </c>
      <c r="S2195">
        <v>0</v>
      </c>
      <c r="T2195">
        <v>0</v>
      </c>
      <c r="U2195">
        <v>0</v>
      </c>
      <c r="W2195" t="s">
        <v>146</v>
      </c>
    </row>
    <row r="2196" spans="1:42" x14ac:dyDescent="0.35">
      <c r="A2196" t="s">
        <v>45</v>
      </c>
      <c r="B2196" t="s">
        <v>4829</v>
      </c>
      <c r="C2196" t="s">
        <v>139</v>
      </c>
      <c r="D2196" t="s">
        <v>4902</v>
      </c>
      <c r="E2196" t="s">
        <v>4903</v>
      </c>
      <c r="F2196" t="s">
        <v>49</v>
      </c>
      <c r="G2196" t="s">
        <v>4948</v>
      </c>
      <c r="H2196" t="s">
        <v>4949</v>
      </c>
      <c r="J2196" t="str">
        <f>HYPERLINK("https://twitter.com/lovepartner_1/status/1760890368189776134","https://twitter.com/lovepartner_1/status/1760890368189776134")</f>
        <v>https://twitter.com/lovepartner_1/status/1760890368189776134</v>
      </c>
      <c r="K2196" t="s">
        <v>145</v>
      </c>
      <c r="O2196">
        <v>0</v>
      </c>
      <c r="P2196">
        <v>0</v>
      </c>
      <c r="Q2196">
        <v>17</v>
      </c>
      <c r="R2196" t="s">
        <v>4587</v>
      </c>
      <c r="S2196">
        <v>0</v>
      </c>
      <c r="T2196">
        <v>0</v>
      </c>
      <c r="U2196">
        <v>0</v>
      </c>
      <c r="W2196" t="s">
        <v>146</v>
      </c>
    </row>
    <row r="2197" spans="1:42" x14ac:dyDescent="0.35">
      <c r="A2197" t="s">
        <v>45</v>
      </c>
      <c r="B2197" t="s">
        <v>4829</v>
      </c>
      <c r="C2197" t="s">
        <v>63</v>
      </c>
      <c r="D2197" t="s">
        <v>4950</v>
      </c>
      <c r="E2197" t="s">
        <v>4950</v>
      </c>
      <c r="F2197" t="s">
        <v>49</v>
      </c>
      <c r="G2197" t="s">
        <v>4951</v>
      </c>
      <c r="H2197" t="s">
        <v>4952</v>
      </c>
      <c r="J2197" t="str">
        <f>HYPERLINK("https://www.instagram.com/p/C3U7TX_AUmg/","https://www.instagram.com/p/C3U7TX_AUmg/")</f>
        <v>https://www.instagram.com/p/C3U7TX_AUmg/</v>
      </c>
      <c r="O2197">
        <v>0</v>
      </c>
      <c r="P2197">
        <v>0</v>
      </c>
      <c r="Q2197">
        <v>0</v>
      </c>
      <c r="S2197">
        <v>0</v>
      </c>
      <c r="T2197">
        <v>0</v>
      </c>
      <c r="U2197">
        <v>0</v>
      </c>
      <c r="W2197" t="s">
        <v>62</v>
      </c>
      <c r="AP2197" t="s">
        <v>94</v>
      </c>
    </row>
    <row r="2198" spans="1:42" x14ac:dyDescent="0.35">
      <c r="A2198" t="s">
        <v>45</v>
      </c>
      <c r="B2198" t="s">
        <v>4829</v>
      </c>
      <c r="C2198" t="s">
        <v>63</v>
      </c>
      <c r="D2198" t="s">
        <v>4950</v>
      </c>
      <c r="E2198" t="s">
        <v>4950</v>
      </c>
      <c r="F2198" t="s">
        <v>49</v>
      </c>
      <c r="G2198" t="s">
        <v>4953</v>
      </c>
      <c r="H2198" t="s">
        <v>4954</v>
      </c>
      <c r="J2198" t="str">
        <f>HYPERLINK("https://www.instagram.com/p/C3U7TX_AUmg/","https://www.instagram.com/p/C3U7TX_AUmg/")</f>
        <v>https://www.instagram.com/p/C3U7TX_AUmg/</v>
      </c>
      <c r="O2198">
        <v>0</v>
      </c>
      <c r="P2198">
        <v>0</v>
      </c>
      <c r="Q2198">
        <v>0</v>
      </c>
      <c r="S2198">
        <v>0</v>
      </c>
      <c r="T2198">
        <v>0</v>
      </c>
      <c r="U2198">
        <v>0</v>
      </c>
      <c r="W2198" t="s">
        <v>62</v>
      </c>
    </row>
    <row r="2199" spans="1:42" x14ac:dyDescent="0.35">
      <c r="A2199" t="s">
        <v>45</v>
      </c>
      <c r="B2199" t="s">
        <v>4829</v>
      </c>
      <c r="C2199" t="s">
        <v>47</v>
      </c>
      <c r="D2199" t="s">
        <v>4955</v>
      </c>
      <c r="E2199" t="s">
        <v>4955</v>
      </c>
      <c r="F2199" t="s">
        <v>49</v>
      </c>
      <c r="G2199" t="s">
        <v>373</v>
      </c>
      <c r="H2199" t="s">
        <v>4956</v>
      </c>
      <c r="J2199" t="str">
        <f>HYPERLINK("https://www.facebook.com/357267201017935/inbox/7074305375980717/","https://www.facebook.com/357267201017935/inbox/7074305375980717/")</f>
        <v>https://www.facebook.com/357267201017935/inbox/7074305375980717/</v>
      </c>
      <c r="O2199">
        <v>0</v>
      </c>
      <c r="P2199">
        <v>0</v>
      </c>
      <c r="Q2199">
        <v>0</v>
      </c>
      <c r="S2199">
        <v>0</v>
      </c>
      <c r="T2199">
        <v>0</v>
      </c>
      <c r="U2199">
        <v>0</v>
      </c>
      <c r="W2199" t="s">
        <v>52</v>
      </c>
    </row>
    <row r="2200" spans="1:42" x14ac:dyDescent="0.35">
      <c r="A2200" t="s">
        <v>45</v>
      </c>
      <c r="B2200" t="s">
        <v>4829</v>
      </c>
      <c r="C2200" t="s">
        <v>139</v>
      </c>
      <c r="D2200" t="s">
        <v>4957</v>
      </c>
      <c r="E2200" t="s">
        <v>4958</v>
      </c>
      <c r="F2200" t="s">
        <v>49</v>
      </c>
      <c r="G2200" t="s">
        <v>4959</v>
      </c>
      <c r="H2200" t="s">
        <v>4960</v>
      </c>
      <c r="J2200" t="str">
        <f>HYPERLINK("https://twitter.com/rathorerj55/status/1760873018270814419","https://twitter.com/rathorerj55/status/1760873018270814419")</f>
        <v>https://twitter.com/rathorerj55/status/1760873018270814419</v>
      </c>
      <c r="K2200" t="s">
        <v>145</v>
      </c>
      <c r="O2200">
        <v>0</v>
      </c>
      <c r="P2200">
        <v>0</v>
      </c>
      <c r="Q2200">
        <v>1</v>
      </c>
      <c r="S2200">
        <v>0</v>
      </c>
      <c r="T2200">
        <v>0</v>
      </c>
      <c r="U2200">
        <v>0</v>
      </c>
      <c r="W2200" t="s">
        <v>146</v>
      </c>
    </row>
    <row r="2201" spans="1:42" x14ac:dyDescent="0.35">
      <c r="A2201" t="s">
        <v>45</v>
      </c>
      <c r="B2201" t="s">
        <v>4829</v>
      </c>
      <c r="C2201" t="s">
        <v>139</v>
      </c>
      <c r="D2201" t="s">
        <v>4961</v>
      </c>
      <c r="E2201" t="s">
        <v>4962</v>
      </c>
      <c r="F2201" t="s">
        <v>49</v>
      </c>
      <c r="G2201" t="s">
        <v>4963</v>
      </c>
      <c r="H2201" t="s">
        <v>4964</v>
      </c>
      <c r="J2201" t="str">
        <f>HYPERLINK("https://twitter.com/bagavaaan/status/1760739240768622765","https://twitter.com/bagavaaan/status/1760739240768622765")</f>
        <v>https://twitter.com/bagavaaan/status/1760739240768622765</v>
      </c>
      <c r="K2201" t="s">
        <v>145</v>
      </c>
      <c r="O2201">
        <v>0</v>
      </c>
      <c r="P2201">
        <v>0</v>
      </c>
      <c r="Q2201">
        <v>27</v>
      </c>
      <c r="R2201" t="s">
        <v>4965</v>
      </c>
      <c r="S2201">
        <v>0</v>
      </c>
      <c r="T2201">
        <v>0</v>
      </c>
      <c r="U2201">
        <v>0</v>
      </c>
      <c r="W2201" t="s">
        <v>146</v>
      </c>
      <c r="AP2201" t="s">
        <v>101</v>
      </c>
    </row>
    <row r="2202" spans="1:42" x14ac:dyDescent="0.35">
      <c r="A2202" t="s">
        <v>45</v>
      </c>
      <c r="B2202" t="s">
        <v>4829</v>
      </c>
      <c r="C2202" t="s">
        <v>47</v>
      </c>
      <c r="D2202" t="s">
        <v>4966</v>
      </c>
      <c r="E2202" t="s">
        <v>4966</v>
      </c>
      <c r="F2202" t="s">
        <v>49</v>
      </c>
      <c r="G2202" t="s">
        <v>50</v>
      </c>
      <c r="H2202" t="s">
        <v>4967</v>
      </c>
      <c r="J2202" t="str">
        <f>HYPERLINK("https://www.facebook.com/357267201017935/inbox/7072629056148349/","https://www.facebook.com/357267201017935/inbox/7072629056148349/")</f>
        <v>https://www.facebook.com/357267201017935/inbox/7072629056148349/</v>
      </c>
      <c r="O2202">
        <v>0</v>
      </c>
      <c r="P2202">
        <v>0</v>
      </c>
      <c r="Q2202">
        <v>0</v>
      </c>
      <c r="S2202">
        <v>0</v>
      </c>
      <c r="T2202">
        <v>0</v>
      </c>
      <c r="U2202">
        <v>0</v>
      </c>
      <c r="W2202" t="s">
        <v>52</v>
      </c>
    </row>
    <row r="2203" spans="1:42" x14ac:dyDescent="0.35">
      <c r="A2203" t="s">
        <v>45</v>
      </c>
      <c r="B2203" t="s">
        <v>4968</v>
      </c>
      <c r="C2203" t="s">
        <v>139</v>
      </c>
      <c r="D2203" t="s">
        <v>4969</v>
      </c>
      <c r="E2203" t="s">
        <v>4970</v>
      </c>
      <c r="F2203" t="s">
        <v>49</v>
      </c>
      <c r="G2203" t="s">
        <v>4971</v>
      </c>
      <c r="H2203" t="s">
        <v>4972</v>
      </c>
      <c r="J2203" t="str">
        <f>HYPERLINK("https://twitter.com/FinancewidAkhil/status/1760717084881793344","https://twitter.com/FinancewidAkhil/status/1760717084881793344")</f>
        <v>https://twitter.com/FinancewidAkhil/status/1760717084881793344</v>
      </c>
      <c r="K2203" t="s">
        <v>145</v>
      </c>
      <c r="O2203">
        <v>0</v>
      </c>
      <c r="P2203">
        <v>0</v>
      </c>
      <c r="Q2203">
        <v>537</v>
      </c>
      <c r="S2203">
        <v>0</v>
      </c>
      <c r="T2203">
        <v>0</v>
      </c>
      <c r="U2203">
        <v>0</v>
      </c>
      <c r="W2203" t="s">
        <v>146</v>
      </c>
    </row>
    <row r="2204" spans="1:42" x14ac:dyDescent="0.35">
      <c r="A2204" t="s">
        <v>45</v>
      </c>
      <c r="B2204" t="s">
        <v>4968</v>
      </c>
      <c r="C2204" t="s">
        <v>47</v>
      </c>
      <c r="D2204" t="s">
        <v>4973</v>
      </c>
      <c r="E2204" t="s">
        <v>4973</v>
      </c>
      <c r="F2204" t="s">
        <v>49</v>
      </c>
      <c r="G2204" t="s">
        <v>4974</v>
      </c>
      <c r="H2204" t="s">
        <v>4975</v>
      </c>
      <c r="J2204" t="str">
        <f>HYPERLINK("https://www.facebook.com/357267201017935/inbox/7072280356183219/","https://www.facebook.com/357267201017935/inbox/7072280356183219/")</f>
        <v>https://www.facebook.com/357267201017935/inbox/7072280356183219/</v>
      </c>
      <c r="O2204">
        <v>0</v>
      </c>
      <c r="P2204">
        <v>0</v>
      </c>
      <c r="Q2204">
        <v>0</v>
      </c>
      <c r="S2204">
        <v>0</v>
      </c>
      <c r="T2204">
        <v>0</v>
      </c>
      <c r="U2204">
        <v>0</v>
      </c>
      <c r="W2204" t="s">
        <v>52</v>
      </c>
    </row>
    <row r="2205" spans="1:42" x14ac:dyDescent="0.35">
      <c r="A2205" t="s">
        <v>45</v>
      </c>
      <c r="B2205" t="s">
        <v>4968</v>
      </c>
      <c r="C2205" t="s">
        <v>47</v>
      </c>
      <c r="D2205" t="s">
        <v>4973</v>
      </c>
      <c r="E2205" t="s">
        <v>4973</v>
      </c>
      <c r="F2205" t="s">
        <v>49</v>
      </c>
      <c r="G2205" t="s">
        <v>373</v>
      </c>
      <c r="H2205" t="s">
        <v>4976</v>
      </c>
      <c r="J2205" t="str">
        <f>HYPERLINK("https://www.facebook.com/357267201017935/inbox/7072280356183219/","https://www.facebook.com/357267201017935/inbox/7072280356183219/")</f>
        <v>https://www.facebook.com/357267201017935/inbox/7072280356183219/</v>
      </c>
      <c r="O2205">
        <v>0</v>
      </c>
      <c r="P2205">
        <v>0</v>
      </c>
      <c r="Q2205">
        <v>0</v>
      </c>
      <c r="S2205">
        <v>0</v>
      </c>
      <c r="T2205">
        <v>0</v>
      </c>
      <c r="U2205">
        <v>0</v>
      </c>
      <c r="W2205" t="s">
        <v>52</v>
      </c>
    </row>
    <row r="2206" spans="1:42" x14ac:dyDescent="0.35">
      <c r="A2206" t="s">
        <v>45</v>
      </c>
      <c r="B2206" t="s">
        <v>4968</v>
      </c>
      <c r="C2206" t="s">
        <v>47</v>
      </c>
      <c r="D2206" t="s">
        <v>4973</v>
      </c>
      <c r="E2206" t="s">
        <v>4973</v>
      </c>
      <c r="F2206" t="s">
        <v>49</v>
      </c>
      <c r="G2206" t="s">
        <v>373</v>
      </c>
      <c r="H2206" t="s">
        <v>4977</v>
      </c>
      <c r="J2206" t="str">
        <f>HYPERLINK("https://www.facebook.com/357267201017935/inbox/7072280356183219/","https://www.facebook.com/357267201017935/inbox/7072280356183219/")</f>
        <v>https://www.facebook.com/357267201017935/inbox/7072280356183219/</v>
      </c>
      <c r="O2206">
        <v>0</v>
      </c>
      <c r="P2206">
        <v>0</v>
      </c>
      <c r="Q2206">
        <v>0</v>
      </c>
      <c r="S2206">
        <v>0</v>
      </c>
      <c r="T2206">
        <v>0</v>
      </c>
      <c r="U2206">
        <v>0</v>
      </c>
      <c r="W2206" t="s">
        <v>52</v>
      </c>
    </row>
    <row r="2207" spans="1:42" x14ac:dyDescent="0.35">
      <c r="A2207" t="s">
        <v>45</v>
      </c>
      <c r="B2207" t="s">
        <v>4968</v>
      </c>
      <c r="C2207" t="s">
        <v>139</v>
      </c>
      <c r="D2207" t="s">
        <v>4978</v>
      </c>
      <c r="E2207" t="s">
        <v>4979</v>
      </c>
      <c r="F2207" t="s">
        <v>49</v>
      </c>
      <c r="G2207" t="s">
        <v>4980</v>
      </c>
      <c r="H2207" t="s">
        <v>4981</v>
      </c>
      <c r="J2207" t="str">
        <f>HYPERLINK("https://twitter.com/helfire578096/status/1760707085585559572","https://twitter.com/helfire578096/status/1760707085585559572")</f>
        <v>https://twitter.com/helfire578096/status/1760707085585559572</v>
      </c>
      <c r="O2207">
        <v>0</v>
      </c>
      <c r="P2207">
        <v>0</v>
      </c>
      <c r="Q2207">
        <v>0</v>
      </c>
      <c r="S2207">
        <v>0</v>
      </c>
      <c r="T2207">
        <v>0</v>
      </c>
      <c r="U2207">
        <v>0</v>
      </c>
      <c r="W2207" t="s">
        <v>146</v>
      </c>
    </row>
    <row r="2208" spans="1:42" x14ac:dyDescent="0.35">
      <c r="A2208" t="s">
        <v>45</v>
      </c>
      <c r="B2208" t="s">
        <v>4968</v>
      </c>
      <c r="C2208" t="s">
        <v>47</v>
      </c>
      <c r="D2208" t="s">
        <v>4778</v>
      </c>
      <c r="E2208" t="s">
        <v>4778</v>
      </c>
      <c r="F2208" t="s">
        <v>49</v>
      </c>
      <c r="G2208" t="s">
        <v>4982</v>
      </c>
      <c r="H2208" t="s">
        <v>4983</v>
      </c>
      <c r="J2208" t="str">
        <f t="shared" ref="J2208:J2213" si="3">HYPERLINK("https://www.facebook.com/357267201017935/inbox/7072215612856360/","https://www.facebook.com/357267201017935/inbox/7072215612856360/")</f>
        <v>https://www.facebook.com/357267201017935/inbox/7072215612856360/</v>
      </c>
      <c r="O2208">
        <v>0</v>
      </c>
      <c r="P2208">
        <v>0</v>
      </c>
      <c r="Q2208">
        <v>0</v>
      </c>
      <c r="S2208">
        <v>0</v>
      </c>
      <c r="T2208">
        <v>0</v>
      </c>
      <c r="U2208">
        <v>0</v>
      </c>
      <c r="W2208" t="s">
        <v>52</v>
      </c>
    </row>
    <row r="2209" spans="1:42" x14ac:dyDescent="0.35">
      <c r="A2209" t="s">
        <v>45</v>
      </c>
      <c r="B2209" t="s">
        <v>4968</v>
      </c>
      <c r="C2209" t="s">
        <v>47</v>
      </c>
      <c r="D2209" t="s">
        <v>4778</v>
      </c>
      <c r="E2209" t="s">
        <v>4778</v>
      </c>
      <c r="F2209" t="s">
        <v>49</v>
      </c>
      <c r="G2209" t="s">
        <v>56</v>
      </c>
      <c r="H2209" t="s">
        <v>4984</v>
      </c>
      <c r="J2209" t="str">
        <f t="shared" si="3"/>
        <v>https://www.facebook.com/357267201017935/inbox/7072215612856360/</v>
      </c>
      <c r="O2209">
        <v>0</v>
      </c>
      <c r="P2209">
        <v>0</v>
      </c>
      <c r="Q2209">
        <v>0</v>
      </c>
      <c r="S2209">
        <v>0</v>
      </c>
      <c r="T2209">
        <v>0</v>
      </c>
      <c r="U2209">
        <v>0</v>
      </c>
      <c r="W2209" t="s">
        <v>52</v>
      </c>
    </row>
    <row r="2210" spans="1:42" x14ac:dyDescent="0.35">
      <c r="A2210" t="s">
        <v>45</v>
      </c>
      <c r="B2210" t="s">
        <v>4968</v>
      </c>
      <c r="C2210" t="s">
        <v>47</v>
      </c>
      <c r="D2210" t="s">
        <v>4778</v>
      </c>
      <c r="E2210" t="s">
        <v>4778</v>
      </c>
      <c r="F2210" t="s">
        <v>142</v>
      </c>
      <c r="G2210" t="s">
        <v>4985</v>
      </c>
      <c r="H2210" t="s">
        <v>4986</v>
      </c>
      <c r="J2210" t="str">
        <f t="shared" si="3"/>
        <v>https://www.facebook.com/357267201017935/inbox/7072215612856360/</v>
      </c>
      <c r="O2210">
        <v>0</v>
      </c>
      <c r="P2210">
        <v>0</v>
      </c>
      <c r="Q2210">
        <v>0</v>
      </c>
      <c r="S2210">
        <v>0</v>
      </c>
      <c r="T2210">
        <v>0</v>
      </c>
      <c r="U2210">
        <v>0</v>
      </c>
      <c r="W2210" t="s">
        <v>52</v>
      </c>
      <c r="AP2210" t="s">
        <v>147</v>
      </c>
    </row>
    <row r="2211" spans="1:42" x14ac:dyDescent="0.35">
      <c r="A2211" t="s">
        <v>45</v>
      </c>
      <c r="B2211" t="s">
        <v>4968</v>
      </c>
      <c r="C2211" t="s">
        <v>47</v>
      </c>
      <c r="D2211" t="s">
        <v>4778</v>
      </c>
      <c r="E2211" t="s">
        <v>4778</v>
      </c>
      <c r="F2211" t="s">
        <v>49</v>
      </c>
      <c r="G2211" t="s">
        <v>4987</v>
      </c>
      <c r="H2211" t="s">
        <v>4988</v>
      </c>
      <c r="J2211" t="str">
        <f t="shared" si="3"/>
        <v>https://www.facebook.com/357267201017935/inbox/7072215612856360/</v>
      </c>
      <c r="O2211">
        <v>0</v>
      </c>
      <c r="P2211">
        <v>0</v>
      </c>
      <c r="Q2211">
        <v>0</v>
      </c>
      <c r="S2211">
        <v>0</v>
      </c>
      <c r="T2211">
        <v>0</v>
      </c>
      <c r="U2211">
        <v>0</v>
      </c>
      <c r="W2211" t="s">
        <v>52</v>
      </c>
      <c r="AP2211" t="s">
        <v>147</v>
      </c>
    </row>
    <row r="2212" spans="1:42" x14ac:dyDescent="0.35">
      <c r="A2212" t="s">
        <v>45</v>
      </c>
      <c r="B2212" t="s">
        <v>4968</v>
      </c>
      <c r="C2212" t="s">
        <v>47</v>
      </c>
      <c r="D2212" t="s">
        <v>4778</v>
      </c>
      <c r="E2212" t="s">
        <v>4778</v>
      </c>
      <c r="F2212" t="s">
        <v>142</v>
      </c>
      <c r="G2212" t="s">
        <v>4989</v>
      </c>
      <c r="H2212" t="s">
        <v>4990</v>
      </c>
      <c r="J2212" t="str">
        <f t="shared" si="3"/>
        <v>https://www.facebook.com/357267201017935/inbox/7072215612856360/</v>
      </c>
      <c r="O2212">
        <v>0</v>
      </c>
      <c r="P2212">
        <v>0</v>
      </c>
      <c r="Q2212">
        <v>0</v>
      </c>
      <c r="S2212">
        <v>0</v>
      </c>
      <c r="T2212">
        <v>0</v>
      </c>
      <c r="U2212">
        <v>0</v>
      </c>
      <c r="W2212" t="s">
        <v>52</v>
      </c>
    </row>
    <row r="2213" spans="1:42" x14ac:dyDescent="0.35">
      <c r="A2213" t="s">
        <v>45</v>
      </c>
      <c r="B2213" t="s">
        <v>4968</v>
      </c>
      <c r="C2213" t="s">
        <v>47</v>
      </c>
      <c r="D2213" t="s">
        <v>4778</v>
      </c>
      <c r="E2213" t="s">
        <v>4778</v>
      </c>
      <c r="F2213" t="s">
        <v>49</v>
      </c>
      <c r="G2213" t="s">
        <v>56</v>
      </c>
      <c r="H2213" t="s">
        <v>4991</v>
      </c>
      <c r="J2213" t="str">
        <f t="shared" si="3"/>
        <v>https://www.facebook.com/357267201017935/inbox/7072215612856360/</v>
      </c>
      <c r="O2213">
        <v>0</v>
      </c>
      <c r="P2213">
        <v>0</v>
      </c>
      <c r="Q2213">
        <v>0</v>
      </c>
      <c r="S2213">
        <v>0</v>
      </c>
      <c r="T2213">
        <v>0</v>
      </c>
      <c r="U2213">
        <v>0</v>
      </c>
      <c r="W2213" t="s">
        <v>52</v>
      </c>
    </row>
    <row r="2214" spans="1:42" x14ac:dyDescent="0.35">
      <c r="A2214" t="s">
        <v>45</v>
      </c>
      <c r="B2214" t="s">
        <v>4968</v>
      </c>
      <c r="C2214" t="s">
        <v>47</v>
      </c>
      <c r="D2214" t="s">
        <v>4992</v>
      </c>
      <c r="E2214" t="s">
        <v>4992</v>
      </c>
      <c r="F2214" t="s">
        <v>76</v>
      </c>
      <c r="G2214" t="s">
        <v>3199</v>
      </c>
      <c r="H2214" t="s">
        <v>4993</v>
      </c>
      <c r="J2214" t="str">
        <f>HYPERLINK("https://www.facebook.com/454965103328545/posts/771262205032165?comment_id=368190462732642","https://www.facebook.com/454965103328545/posts/771262205032165?comment_id=368190462732642")</f>
        <v>https://www.facebook.com/454965103328545/posts/771262205032165?comment_id=368190462732642</v>
      </c>
      <c r="O2214">
        <v>0</v>
      </c>
      <c r="P2214">
        <v>0</v>
      </c>
      <c r="Q2214">
        <v>0</v>
      </c>
      <c r="S2214">
        <v>0</v>
      </c>
      <c r="T2214">
        <v>0</v>
      </c>
      <c r="U2214">
        <v>0</v>
      </c>
      <c r="W2214" t="s">
        <v>62</v>
      </c>
    </row>
    <row r="2215" spans="1:42" x14ac:dyDescent="0.35">
      <c r="A2215" t="s">
        <v>45</v>
      </c>
      <c r="B2215" t="s">
        <v>4968</v>
      </c>
      <c r="C2215" t="s">
        <v>47</v>
      </c>
      <c r="D2215" t="s">
        <v>4488</v>
      </c>
      <c r="E2215" t="s">
        <v>4488</v>
      </c>
      <c r="F2215" t="s">
        <v>49</v>
      </c>
      <c r="G2215" t="s">
        <v>4994</v>
      </c>
      <c r="H2215" t="s">
        <v>4995</v>
      </c>
      <c r="J2215" t="str">
        <f>HYPERLINK("https://www.facebook.com/454965103328545/posts/775405614617824?comment_id=1089787865670128","https://www.facebook.com/454965103328545/posts/775405614617824?comment_id=1089787865670128")</f>
        <v>https://www.facebook.com/454965103328545/posts/775405614617824?comment_id=1089787865670128</v>
      </c>
      <c r="O2215">
        <v>0</v>
      </c>
      <c r="P2215">
        <v>0</v>
      </c>
      <c r="Q2215">
        <v>0</v>
      </c>
      <c r="S2215">
        <v>0</v>
      </c>
      <c r="T2215">
        <v>0</v>
      </c>
      <c r="U2215">
        <v>0</v>
      </c>
      <c r="W2215" t="s">
        <v>62</v>
      </c>
    </row>
    <row r="2216" spans="1:42" x14ac:dyDescent="0.35">
      <c r="A2216" t="s">
        <v>45</v>
      </c>
      <c r="B2216" t="s">
        <v>4968</v>
      </c>
      <c r="C2216" t="s">
        <v>63</v>
      </c>
      <c r="D2216" t="s">
        <v>4996</v>
      </c>
      <c r="E2216" t="s">
        <v>4996</v>
      </c>
      <c r="F2216" t="s">
        <v>49</v>
      </c>
      <c r="G2216" t="s">
        <v>4997</v>
      </c>
      <c r="H2216" t="s">
        <v>4998</v>
      </c>
      <c r="J2216" t="str">
        <f>HYPERLINK("https://www.instagram.com/p/C3VES0FgrdQ/","https://www.instagram.com/p/C3VES0FgrdQ/")</f>
        <v>https://www.instagram.com/p/C3VES0FgrdQ/</v>
      </c>
      <c r="O2216">
        <v>0</v>
      </c>
      <c r="P2216">
        <v>0</v>
      </c>
      <c r="Q2216">
        <v>0</v>
      </c>
      <c r="S2216">
        <v>0</v>
      </c>
      <c r="T2216">
        <v>0</v>
      </c>
      <c r="U2216">
        <v>0</v>
      </c>
      <c r="W2216" t="s">
        <v>62</v>
      </c>
    </row>
    <row r="2217" spans="1:42" x14ac:dyDescent="0.35">
      <c r="A2217" t="s">
        <v>45</v>
      </c>
      <c r="B2217" t="s">
        <v>4968</v>
      </c>
      <c r="C2217" t="s">
        <v>47</v>
      </c>
      <c r="D2217" t="s">
        <v>4999</v>
      </c>
      <c r="E2217" t="s">
        <v>4999</v>
      </c>
      <c r="F2217" t="s">
        <v>49</v>
      </c>
      <c r="G2217" t="s">
        <v>5000</v>
      </c>
      <c r="H2217" t="s">
        <v>5001</v>
      </c>
      <c r="J2217" t="str">
        <f>HYPERLINK("https://www.facebook.com/454965103328545/posts/771262205032165?comment_id=294237503400012","https://www.facebook.com/454965103328545/posts/771262205032165?comment_id=294237503400012")</f>
        <v>https://www.facebook.com/454965103328545/posts/771262205032165?comment_id=294237503400012</v>
      </c>
      <c r="O2217">
        <v>0</v>
      </c>
      <c r="P2217">
        <v>0</v>
      </c>
      <c r="Q2217">
        <v>0</v>
      </c>
      <c r="S2217">
        <v>0</v>
      </c>
      <c r="T2217">
        <v>0</v>
      </c>
      <c r="U2217">
        <v>0</v>
      </c>
      <c r="W2217" t="s">
        <v>62</v>
      </c>
    </row>
    <row r="2218" spans="1:42" x14ac:dyDescent="0.35">
      <c r="A2218" t="s">
        <v>45</v>
      </c>
      <c r="B2218" t="s">
        <v>4968</v>
      </c>
      <c r="C2218" t="s">
        <v>47</v>
      </c>
      <c r="D2218" t="s">
        <v>1029</v>
      </c>
      <c r="E2218" t="s">
        <v>1029</v>
      </c>
      <c r="F2218" t="s">
        <v>76</v>
      </c>
      <c r="G2218" t="s">
        <v>5002</v>
      </c>
      <c r="H2218" t="s">
        <v>5003</v>
      </c>
      <c r="J2218" t="str">
        <f>HYPERLINK("https://www.facebook.com/454965103328545/posts/768712795287106?comment_id=1330600205001444","https://www.facebook.com/454965103328545/posts/768712795287106?comment_id=1330600205001444")</f>
        <v>https://www.facebook.com/454965103328545/posts/768712795287106?comment_id=1330600205001444</v>
      </c>
      <c r="O2218">
        <v>0</v>
      </c>
      <c r="P2218">
        <v>0</v>
      </c>
      <c r="Q2218">
        <v>0</v>
      </c>
      <c r="S2218">
        <v>0</v>
      </c>
      <c r="T2218">
        <v>0</v>
      </c>
      <c r="U2218">
        <v>0</v>
      </c>
      <c r="W2218" t="s">
        <v>62</v>
      </c>
    </row>
    <row r="2219" spans="1:42" x14ac:dyDescent="0.35">
      <c r="A2219" t="s">
        <v>45</v>
      </c>
      <c r="B2219" t="s">
        <v>4968</v>
      </c>
      <c r="C2219" t="s">
        <v>102</v>
      </c>
      <c r="D2219" t="s">
        <v>5004</v>
      </c>
      <c r="E2219" t="s">
        <v>5004</v>
      </c>
      <c r="F2219" t="s">
        <v>49</v>
      </c>
      <c r="G2219" t="s">
        <v>5005</v>
      </c>
      <c r="H2219" t="s">
        <v>5006</v>
      </c>
      <c r="J2219" t="str">
        <f>HYPERLINK("https://www.linkedin.com/feed/update/urn:li:activity:7165170628348571648/?commentUrn=urn:li:comment:(urn:li:activity:7165170628348571648,7166440146660257792)","https://www.linkedin.com/feed/update/urn:li:activity:7165170628348571648/?commentUrn=urn:li:comment:(urn:li:activity:7165170628348571648,7166440146660257792)")</f>
        <v>https://www.linkedin.com/feed/update/urn:li:activity:7165170628348571648/?commentUrn=urn:li:comment:(urn:li:activity:7165170628348571648,7166440146660257792)</v>
      </c>
      <c r="O2219">
        <v>0</v>
      </c>
      <c r="P2219">
        <v>0</v>
      </c>
      <c r="Q2219">
        <v>0</v>
      </c>
      <c r="S2219">
        <v>0</v>
      </c>
      <c r="T2219">
        <v>0</v>
      </c>
      <c r="U2219">
        <v>0</v>
      </c>
      <c r="W2219" t="s">
        <v>62</v>
      </c>
      <c r="AO2219" t="s">
        <v>119</v>
      </c>
    </row>
    <row r="2220" spans="1:42" x14ac:dyDescent="0.35">
      <c r="A2220" t="s">
        <v>45</v>
      </c>
      <c r="B2220" t="s">
        <v>4968</v>
      </c>
      <c r="C2220" t="s">
        <v>47</v>
      </c>
      <c r="D2220" t="s">
        <v>5007</v>
      </c>
      <c r="E2220" t="s">
        <v>5007</v>
      </c>
      <c r="F2220" t="s">
        <v>49</v>
      </c>
      <c r="G2220" t="s">
        <v>253</v>
      </c>
      <c r="H2220" t="s">
        <v>5008</v>
      </c>
      <c r="J2220" t="str">
        <f>HYPERLINK("https://www.facebook.com/357267201017935/inbox/7071755869569001/","https://www.facebook.com/357267201017935/inbox/7071755869569001/")</f>
        <v>https://www.facebook.com/357267201017935/inbox/7071755869569001/</v>
      </c>
      <c r="O2220">
        <v>0</v>
      </c>
      <c r="P2220">
        <v>0</v>
      </c>
      <c r="Q2220">
        <v>0</v>
      </c>
      <c r="S2220">
        <v>0</v>
      </c>
      <c r="T2220">
        <v>0</v>
      </c>
      <c r="U2220">
        <v>0</v>
      </c>
      <c r="W2220" t="s">
        <v>52</v>
      </c>
    </row>
    <row r="2221" spans="1:42" x14ac:dyDescent="0.35">
      <c r="A2221" t="s">
        <v>45</v>
      </c>
      <c r="B2221" t="s">
        <v>4968</v>
      </c>
      <c r="C2221" t="s">
        <v>102</v>
      </c>
      <c r="D2221" t="s">
        <v>5009</v>
      </c>
      <c r="E2221" t="s">
        <v>5009</v>
      </c>
      <c r="F2221" t="s">
        <v>49</v>
      </c>
      <c r="G2221" t="s">
        <v>5010</v>
      </c>
      <c r="H2221" t="s">
        <v>5011</v>
      </c>
      <c r="J2221" t="str">
        <f>HYPERLINK("https://www.linkedin.com/feed/update/urn:li:activity:7158447826098610177/?commentUrn=urn:li:comment:(urn:li:activity:7158447826098610177,7166429638469124096)","https://www.linkedin.com/feed/update/urn:li:activity:7158447826098610177/?commentUrn=urn:li:comment:(urn:li:activity:7158447826098610177,7166429638469124096)")</f>
        <v>https://www.linkedin.com/feed/update/urn:li:activity:7158447826098610177/?commentUrn=urn:li:comment:(urn:li:activity:7158447826098610177,7166429638469124096)</v>
      </c>
      <c r="O2221">
        <v>0</v>
      </c>
      <c r="P2221">
        <v>0</v>
      </c>
      <c r="Q2221">
        <v>0</v>
      </c>
      <c r="S2221">
        <v>0</v>
      </c>
      <c r="T2221">
        <v>0</v>
      </c>
      <c r="U2221">
        <v>0</v>
      </c>
      <c r="W2221" t="s">
        <v>62</v>
      </c>
      <c r="AO2221" t="s">
        <v>119</v>
      </c>
      <c r="AP2221" t="s">
        <v>101</v>
      </c>
    </row>
    <row r="2222" spans="1:42" x14ac:dyDescent="0.35">
      <c r="A2222" t="s">
        <v>45</v>
      </c>
      <c r="B2222" t="s">
        <v>4968</v>
      </c>
      <c r="C2222" t="s">
        <v>58</v>
      </c>
      <c r="D2222" t="s">
        <v>5012</v>
      </c>
      <c r="E2222" t="s">
        <v>5012</v>
      </c>
      <c r="F2222" t="s">
        <v>142</v>
      </c>
      <c r="G2222" t="s">
        <v>5013</v>
      </c>
      <c r="H2222" t="s">
        <v>5014</v>
      </c>
      <c r="J2222" t="str">
        <f>HYPERLINK("https://www.youtube.com/watch?v=FVAU9yGsCoE","https://www.youtube.com/watch?v=FVAU9yGsCoE")</f>
        <v>https://www.youtube.com/watch?v=FVAU9yGsCoE</v>
      </c>
      <c r="O2222">
        <v>0</v>
      </c>
      <c r="P2222">
        <v>0</v>
      </c>
      <c r="Q2222">
        <v>0</v>
      </c>
      <c r="S2222">
        <v>0</v>
      </c>
      <c r="T2222">
        <v>0</v>
      </c>
      <c r="U2222">
        <v>0</v>
      </c>
      <c r="W2222" t="s">
        <v>106</v>
      </c>
    </row>
    <row r="2223" spans="1:42" x14ac:dyDescent="0.35">
      <c r="A2223" t="s">
        <v>45</v>
      </c>
      <c r="B2223" t="s">
        <v>4968</v>
      </c>
      <c r="C2223" t="s">
        <v>102</v>
      </c>
      <c r="D2223" t="s">
        <v>5015</v>
      </c>
      <c r="E2223" t="s">
        <v>5015</v>
      </c>
      <c r="F2223" t="s">
        <v>76</v>
      </c>
      <c r="G2223" t="s">
        <v>5016</v>
      </c>
      <c r="H2223" t="s">
        <v>5017</v>
      </c>
      <c r="J2223" t="str">
        <f>HYPERLINK("https://www.linkedin.com/feed/update/urn:li:activity:7166417896028454912","https://www.linkedin.com/feed/update/urn:li:activity:7166417896028454912")</f>
        <v>https://www.linkedin.com/feed/update/urn:li:activity:7166417896028454912</v>
      </c>
      <c r="O2223">
        <v>0</v>
      </c>
      <c r="P2223">
        <v>0</v>
      </c>
      <c r="Q2223">
        <v>0</v>
      </c>
      <c r="S2223">
        <v>0</v>
      </c>
      <c r="T2223">
        <v>0</v>
      </c>
      <c r="U2223">
        <v>0</v>
      </c>
      <c r="W2223" t="s">
        <v>106</v>
      </c>
      <c r="AO2223" t="s">
        <v>119</v>
      </c>
      <c r="AP2223" t="s">
        <v>101</v>
      </c>
    </row>
    <row r="2224" spans="1:42" x14ac:dyDescent="0.35">
      <c r="A2224" t="s">
        <v>45</v>
      </c>
      <c r="B2224" t="s">
        <v>4968</v>
      </c>
      <c r="C2224" t="s">
        <v>47</v>
      </c>
      <c r="D2224" t="s">
        <v>860</v>
      </c>
      <c r="E2224" t="s">
        <v>860</v>
      </c>
      <c r="F2224" t="s">
        <v>49</v>
      </c>
      <c r="G2224" t="s">
        <v>50</v>
      </c>
      <c r="H2224" t="s">
        <v>5018</v>
      </c>
      <c r="J2224" t="str">
        <f>HYPERLINK("https://www.facebook.com/357267201017935/inbox/7071458306265424/","https://www.facebook.com/357267201017935/inbox/7071458306265424/")</f>
        <v>https://www.facebook.com/357267201017935/inbox/7071458306265424/</v>
      </c>
      <c r="O2224">
        <v>0</v>
      </c>
      <c r="P2224">
        <v>0</v>
      </c>
      <c r="Q2224">
        <v>0</v>
      </c>
      <c r="S2224">
        <v>0</v>
      </c>
      <c r="T2224">
        <v>0</v>
      </c>
      <c r="U2224">
        <v>0</v>
      </c>
      <c r="W2224" t="s">
        <v>52</v>
      </c>
    </row>
    <row r="2225" spans="1:42" x14ac:dyDescent="0.35">
      <c r="A2225" t="s">
        <v>45</v>
      </c>
      <c r="B2225" t="s">
        <v>4968</v>
      </c>
      <c r="C2225" t="s">
        <v>47</v>
      </c>
      <c r="D2225" t="s">
        <v>5019</v>
      </c>
      <c r="E2225" t="s">
        <v>5019</v>
      </c>
      <c r="F2225" t="s">
        <v>49</v>
      </c>
      <c r="G2225" t="s">
        <v>5020</v>
      </c>
      <c r="H2225" t="s">
        <v>5021</v>
      </c>
      <c r="J2225" t="str">
        <f>HYPERLINK("https://www.facebook.com/454965103328545/posts/763902162434836?comment_id=1123363792350947&amp;reply_comment_id=247984734947846","https://www.facebook.com/454965103328545/posts/763902162434836?comment_id=1123363792350947&amp;reply_comment_id=247984734947846")</f>
        <v>https://www.facebook.com/454965103328545/posts/763902162434836?comment_id=1123363792350947&amp;reply_comment_id=247984734947846</v>
      </c>
      <c r="O2225">
        <v>0</v>
      </c>
      <c r="P2225">
        <v>0</v>
      </c>
      <c r="Q2225">
        <v>0</v>
      </c>
      <c r="S2225">
        <v>0</v>
      </c>
      <c r="T2225">
        <v>0</v>
      </c>
      <c r="U2225">
        <v>0</v>
      </c>
      <c r="W2225" t="s">
        <v>62</v>
      </c>
    </row>
    <row r="2226" spans="1:42" x14ac:dyDescent="0.35">
      <c r="A2226" t="s">
        <v>45</v>
      </c>
      <c r="B2226" t="s">
        <v>4968</v>
      </c>
      <c r="C2226" t="s">
        <v>47</v>
      </c>
      <c r="D2226" t="s">
        <v>5019</v>
      </c>
      <c r="E2226" t="s">
        <v>5019</v>
      </c>
      <c r="F2226" t="s">
        <v>49</v>
      </c>
      <c r="G2226" t="s">
        <v>5022</v>
      </c>
      <c r="H2226" t="s">
        <v>5023</v>
      </c>
      <c r="J2226" t="str">
        <f>HYPERLINK("https://www.facebook.com/454965103328545/posts/763902162434836?comment_id=1123363792350947&amp;reply_comment_id=1529168364540559","https://www.facebook.com/454965103328545/posts/763902162434836?comment_id=1123363792350947&amp;reply_comment_id=1529168364540559")</f>
        <v>https://www.facebook.com/454965103328545/posts/763902162434836?comment_id=1123363792350947&amp;reply_comment_id=1529168364540559</v>
      </c>
      <c r="O2226">
        <v>0</v>
      </c>
      <c r="P2226">
        <v>0</v>
      </c>
      <c r="Q2226">
        <v>0</v>
      </c>
      <c r="S2226">
        <v>0</v>
      </c>
      <c r="T2226">
        <v>0</v>
      </c>
      <c r="U2226">
        <v>0</v>
      </c>
      <c r="W2226" t="s">
        <v>62</v>
      </c>
    </row>
    <row r="2227" spans="1:42" x14ac:dyDescent="0.35">
      <c r="A2227" t="s">
        <v>45</v>
      </c>
      <c r="B2227" t="s">
        <v>4968</v>
      </c>
      <c r="C2227" t="s">
        <v>47</v>
      </c>
      <c r="D2227" t="s">
        <v>5024</v>
      </c>
      <c r="E2227" t="s">
        <v>5024</v>
      </c>
      <c r="F2227" t="s">
        <v>49</v>
      </c>
      <c r="G2227" t="s">
        <v>1235</v>
      </c>
      <c r="H2227" t="s">
        <v>5025</v>
      </c>
      <c r="J2227" t="str">
        <f>HYPERLINK("https://www.facebook.com/454965103328545/posts/771262205032165?comment_id=7128528227231581","https://www.facebook.com/454965103328545/posts/771262205032165?comment_id=7128528227231581")</f>
        <v>https://www.facebook.com/454965103328545/posts/771262205032165?comment_id=7128528227231581</v>
      </c>
      <c r="O2227">
        <v>0</v>
      </c>
      <c r="P2227">
        <v>0</v>
      </c>
      <c r="Q2227">
        <v>0</v>
      </c>
      <c r="S2227">
        <v>0</v>
      </c>
      <c r="T2227">
        <v>0</v>
      </c>
      <c r="U2227">
        <v>0</v>
      </c>
      <c r="W2227" t="s">
        <v>62</v>
      </c>
    </row>
    <row r="2228" spans="1:42" x14ac:dyDescent="0.35">
      <c r="A2228" t="s">
        <v>45</v>
      </c>
      <c r="B2228" t="s">
        <v>4968</v>
      </c>
      <c r="C2228" t="s">
        <v>139</v>
      </c>
      <c r="D2228" t="s">
        <v>4350</v>
      </c>
      <c r="E2228" t="s">
        <v>4351</v>
      </c>
      <c r="F2228" t="s">
        <v>49</v>
      </c>
      <c r="G2228" t="s">
        <v>5026</v>
      </c>
      <c r="H2228" t="s">
        <v>5027</v>
      </c>
      <c r="J2228" t="str">
        <f>HYPERLINK("https://twitter.com/PiyushS33918577/status/1760633294901629390","https://twitter.com/PiyushS33918577/status/1760633294901629390")</f>
        <v>https://twitter.com/PiyushS33918577/status/1760633294901629390</v>
      </c>
      <c r="K2228" t="s">
        <v>145</v>
      </c>
      <c r="O2228">
        <v>0</v>
      </c>
      <c r="P2228">
        <v>0</v>
      </c>
      <c r="Q2228">
        <v>91</v>
      </c>
      <c r="S2228">
        <v>0</v>
      </c>
      <c r="T2228">
        <v>0</v>
      </c>
      <c r="U2228">
        <v>0</v>
      </c>
      <c r="W2228" t="s">
        <v>552</v>
      </c>
    </row>
    <row r="2229" spans="1:42" x14ac:dyDescent="0.35">
      <c r="A2229" t="s">
        <v>45</v>
      </c>
      <c r="B2229" t="s">
        <v>4968</v>
      </c>
      <c r="C2229" t="s">
        <v>47</v>
      </c>
      <c r="D2229" t="s">
        <v>5028</v>
      </c>
      <c r="E2229" t="s">
        <v>5028</v>
      </c>
      <c r="F2229" t="s">
        <v>49</v>
      </c>
      <c r="G2229" t="s">
        <v>5029</v>
      </c>
      <c r="H2229" t="s">
        <v>5030</v>
      </c>
      <c r="J2229" t="str">
        <f>HYPERLINK("https://www.facebook.com/357267201017935/inbox/7058695294208392/","https://www.facebook.com/357267201017935/inbox/7058695294208392/")</f>
        <v>https://www.facebook.com/357267201017935/inbox/7058695294208392/</v>
      </c>
      <c r="O2229">
        <v>0</v>
      </c>
      <c r="P2229">
        <v>0</v>
      </c>
      <c r="Q2229">
        <v>0</v>
      </c>
      <c r="S2229">
        <v>0</v>
      </c>
      <c r="T2229">
        <v>0</v>
      </c>
      <c r="U2229">
        <v>0</v>
      </c>
      <c r="W2229" t="s">
        <v>52</v>
      </c>
    </row>
    <row r="2230" spans="1:42" x14ac:dyDescent="0.35">
      <c r="A2230" t="s">
        <v>45</v>
      </c>
      <c r="B2230" t="s">
        <v>4968</v>
      </c>
      <c r="C2230" t="s">
        <v>47</v>
      </c>
      <c r="D2230" t="s">
        <v>45</v>
      </c>
      <c r="E2230" t="s">
        <v>45</v>
      </c>
      <c r="F2230" t="s">
        <v>49</v>
      </c>
      <c r="G2230" t="s">
        <v>5031</v>
      </c>
      <c r="H2230" t="s">
        <v>5032</v>
      </c>
      <c r="J2230" t="str">
        <f>HYPERLINK("https://www.facebook.com/357267201017935/inbox/7058695294208392/","https://www.facebook.com/357267201017935/inbox/7058695294208392/")</f>
        <v>https://www.facebook.com/357267201017935/inbox/7058695294208392/</v>
      </c>
      <c r="O2230">
        <v>0</v>
      </c>
      <c r="P2230">
        <v>0</v>
      </c>
      <c r="Q2230">
        <v>0</v>
      </c>
      <c r="S2230">
        <v>0</v>
      </c>
      <c r="T2230">
        <v>0</v>
      </c>
      <c r="U2230">
        <v>0</v>
      </c>
      <c r="W2230" t="s">
        <v>52</v>
      </c>
    </row>
    <row r="2231" spans="1:42" x14ac:dyDescent="0.35">
      <c r="A2231" t="s">
        <v>45</v>
      </c>
      <c r="B2231" t="s">
        <v>4968</v>
      </c>
      <c r="C2231" t="s">
        <v>47</v>
      </c>
      <c r="D2231" t="s">
        <v>5033</v>
      </c>
      <c r="E2231" t="s">
        <v>5033</v>
      </c>
      <c r="F2231" t="s">
        <v>49</v>
      </c>
      <c r="G2231" t="s">
        <v>5034</v>
      </c>
      <c r="H2231" t="s">
        <v>5035</v>
      </c>
      <c r="J2231" t="str">
        <f>HYPERLINK("https://www.facebook.com/357267201017935/inbox/7058761440868444/","https://www.facebook.com/357267201017935/inbox/7058761440868444/")</f>
        <v>https://www.facebook.com/357267201017935/inbox/7058761440868444/</v>
      </c>
      <c r="O2231">
        <v>0</v>
      </c>
      <c r="P2231">
        <v>0</v>
      </c>
      <c r="Q2231">
        <v>0</v>
      </c>
      <c r="S2231">
        <v>0</v>
      </c>
      <c r="T2231">
        <v>0</v>
      </c>
      <c r="U2231">
        <v>0</v>
      </c>
      <c r="W2231" t="s">
        <v>52</v>
      </c>
    </row>
    <row r="2232" spans="1:42" x14ac:dyDescent="0.35">
      <c r="A2232" t="s">
        <v>45</v>
      </c>
      <c r="B2232" t="s">
        <v>4968</v>
      </c>
      <c r="C2232" t="s">
        <v>47</v>
      </c>
      <c r="D2232" t="s">
        <v>45</v>
      </c>
      <c r="E2232" t="s">
        <v>45</v>
      </c>
      <c r="F2232" t="s">
        <v>49</v>
      </c>
      <c r="G2232" t="s">
        <v>5036</v>
      </c>
      <c r="H2232" t="s">
        <v>5037</v>
      </c>
      <c r="J2232" t="str">
        <f>HYPERLINK("https://www.facebook.com/357267201017935/inbox/7058761440868444/","https://www.facebook.com/357267201017935/inbox/7058761440868444/")</f>
        <v>https://www.facebook.com/357267201017935/inbox/7058761440868444/</v>
      </c>
      <c r="O2232">
        <v>0</v>
      </c>
      <c r="P2232">
        <v>0</v>
      </c>
      <c r="Q2232">
        <v>0</v>
      </c>
      <c r="S2232">
        <v>0</v>
      </c>
      <c r="T2232">
        <v>0</v>
      </c>
      <c r="U2232">
        <v>0</v>
      </c>
      <c r="W2232" t="s">
        <v>52</v>
      </c>
    </row>
    <row r="2233" spans="1:42" x14ac:dyDescent="0.35">
      <c r="A2233" t="s">
        <v>45</v>
      </c>
      <c r="B2233" t="s">
        <v>4968</v>
      </c>
      <c r="C2233" t="s">
        <v>47</v>
      </c>
      <c r="D2233" t="s">
        <v>45</v>
      </c>
      <c r="E2233" t="s">
        <v>45</v>
      </c>
      <c r="F2233" t="s">
        <v>49</v>
      </c>
      <c r="G2233" t="s">
        <v>5038</v>
      </c>
      <c r="H2233" t="s">
        <v>5039</v>
      </c>
      <c r="J2233" t="str">
        <f>HYPERLINK("https://www.facebook.com/357267201017935/posts/2156059497805354/?comment_id=457319299952337&amp;reply_comment_id=1849712355502152","https://www.facebook.com/357267201017935/posts/2156059497805354/?comment_id=457319299952337&amp;reply_comment_id=1849712355502152")</f>
        <v>https://www.facebook.com/357267201017935/posts/2156059497805354/?comment_id=457319299952337&amp;reply_comment_id=1849712355502152</v>
      </c>
      <c r="O2233">
        <v>0</v>
      </c>
      <c r="P2233">
        <v>0</v>
      </c>
      <c r="Q2233">
        <v>0</v>
      </c>
      <c r="S2233">
        <v>0</v>
      </c>
      <c r="T2233">
        <v>0</v>
      </c>
      <c r="U2233">
        <v>0</v>
      </c>
      <c r="W2233" t="s">
        <v>62</v>
      </c>
      <c r="AP2233" t="s">
        <v>101</v>
      </c>
    </row>
    <row r="2234" spans="1:42" x14ac:dyDescent="0.35">
      <c r="A2234" t="s">
        <v>45</v>
      </c>
      <c r="B2234" t="s">
        <v>4968</v>
      </c>
      <c r="C2234" t="s">
        <v>47</v>
      </c>
      <c r="D2234" t="s">
        <v>45</v>
      </c>
      <c r="E2234" t="s">
        <v>45</v>
      </c>
      <c r="F2234" t="s">
        <v>49</v>
      </c>
      <c r="G2234" t="s">
        <v>5040</v>
      </c>
      <c r="H2234" t="s">
        <v>5041</v>
      </c>
      <c r="J2234" t="str">
        <f>HYPERLINK("https://www.facebook.com/454965103328545/posts/771906841634368?comment_id=1342521349780521&amp;reply_comment_id=1137092180802675","https://www.facebook.com/454965103328545/posts/771906841634368?comment_id=1342521349780521&amp;reply_comment_id=1137092180802675")</f>
        <v>https://www.facebook.com/454965103328545/posts/771906841634368?comment_id=1342521349780521&amp;reply_comment_id=1137092180802675</v>
      </c>
      <c r="O2234">
        <v>0</v>
      </c>
      <c r="P2234">
        <v>0</v>
      </c>
      <c r="Q2234">
        <v>0</v>
      </c>
      <c r="S2234">
        <v>0</v>
      </c>
      <c r="T2234">
        <v>0</v>
      </c>
      <c r="U2234">
        <v>0</v>
      </c>
      <c r="W2234" t="s">
        <v>62</v>
      </c>
    </row>
    <row r="2235" spans="1:42" x14ac:dyDescent="0.35">
      <c r="A2235" t="s">
        <v>45</v>
      </c>
      <c r="B2235" t="s">
        <v>4968</v>
      </c>
      <c r="C2235" t="s">
        <v>63</v>
      </c>
      <c r="D2235" t="s">
        <v>186</v>
      </c>
      <c r="E2235" t="s">
        <v>186</v>
      </c>
      <c r="F2235" t="s">
        <v>49</v>
      </c>
      <c r="G2235" t="s">
        <v>5042</v>
      </c>
      <c r="H2235" t="s">
        <v>5043</v>
      </c>
      <c r="J2235" t="str">
        <f>HYPERLINK("https://www.instagram.com/p/C3pezTfqLcr/","https://www.instagram.com/p/C3pezTfqLcr/")</f>
        <v>https://www.instagram.com/p/C3pezTfqLcr/</v>
      </c>
      <c r="O2235">
        <v>0</v>
      </c>
      <c r="P2235">
        <v>0</v>
      </c>
      <c r="Q2235">
        <v>0</v>
      </c>
      <c r="S2235">
        <v>0</v>
      </c>
      <c r="T2235">
        <v>56</v>
      </c>
      <c r="U2235">
        <v>0</v>
      </c>
      <c r="W2235" t="s">
        <v>106</v>
      </c>
    </row>
    <row r="2236" spans="1:42" x14ac:dyDescent="0.35">
      <c r="A2236" t="s">
        <v>45</v>
      </c>
      <c r="B2236" t="s">
        <v>4968</v>
      </c>
      <c r="C2236" t="s">
        <v>139</v>
      </c>
      <c r="D2236" t="s">
        <v>190</v>
      </c>
      <c r="E2236" t="s">
        <v>45</v>
      </c>
      <c r="F2236" t="s">
        <v>49</v>
      </c>
      <c r="G2236" t="s">
        <v>5026</v>
      </c>
      <c r="H2236" t="s">
        <v>5044</v>
      </c>
      <c r="J2236" t="str">
        <f>HYPERLINK("https://twitter.com/FinoPaymntsBank/status/1760627999236309434","https://twitter.com/FinoPaymntsBank/status/1760627999236309434")</f>
        <v>https://twitter.com/FinoPaymntsBank/status/1760627999236309434</v>
      </c>
      <c r="K2236" t="s">
        <v>145</v>
      </c>
      <c r="O2236">
        <v>0</v>
      </c>
      <c r="P2236">
        <v>0</v>
      </c>
      <c r="Q2236">
        <v>8390</v>
      </c>
      <c r="R2236" t="s">
        <v>193</v>
      </c>
      <c r="S2236">
        <v>0</v>
      </c>
      <c r="T2236">
        <v>0</v>
      </c>
      <c r="U2236">
        <v>0</v>
      </c>
      <c r="W2236" t="s">
        <v>146</v>
      </c>
    </row>
    <row r="2237" spans="1:42" x14ac:dyDescent="0.35">
      <c r="A2237" t="s">
        <v>45</v>
      </c>
      <c r="B2237" t="s">
        <v>4968</v>
      </c>
      <c r="C2237" t="s">
        <v>47</v>
      </c>
      <c r="D2237" t="s">
        <v>45</v>
      </c>
      <c r="E2237" t="s">
        <v>45</v>
      </c>
      <c r="F2237" t="s">
        <v>49</v>
      </c>
      <c r="G2237" t="s">
        <v>5042</v>
      </c>
      <c r="H2237" t="s">
        <v>5044</v>
      </c>
      <c r="J2237" t="str">
        <f>HYPERLINK("https://www.facebook.com/357267201017935_768712795287106","https://www.facebook.com/357267201017935_768712795287106")</f>
        <v>https://www.facebook.com/357267201017935_768712795287106</v>
      </c>
      <c r="O2237">
        <v>0</v>
      </c>
      <c r="P2237">
        <v>0</v>
      </c>
      <c r="Q2237">
        <v>0</v>
      </c>
      <c r="S2237">
        <v>2</v>
      </c>
      <c r="T2237">
        <v>39</v>
      </c>
      <c r="U2237">
        <v>6</v>
      </c>
      <c r="W2237" t="s">
        <v>106</v>
      </c>
    </row>
    <row r="2238" spans="1:42" x14ac:dyDescent="0.35">
      <c r="A2238" t="s">
        <v>45</v>
      </c>
      <c r="B2238" t="s">
        <v>4968</v>
      </c>
      <c r="C2238" t="s">
        <v>47</v>
      </c>
      <c r="D2238" t="s">
        <v>45</v>
      </c>
      <c r="E2238" t="s">
        <v>45</v>
      </c>
      <c r="F2238" t="s">
        <v>49</v>
      </c>
      <c r="G2238" t="s">
        <v>5045</v>
      </c>
      <c r="H2238" t="s">
        <v>5046</v>
      </c>
      <c r="J2238" t="str">
        <f>HYPERLINK("https://www.facebook.com/357267201017935/posts/3069910089753619/?comment_id=252315377924515&amp;reply_comment_id=373918055424963","https://www.facebook.com/357267201017935/posts/3069910089753619/?comment_id=252315377924515&amp;reply_comment_id=373918055424963")</f>
        <v>https://www.facebook.com/357267201017935/posts/3069910089753619/?comment_id=252315377924515&amp;reply_comment_id=373918055424963</v>
      </c>
      <c r="O2238">
        <v>0</v>
      </c>
      <c r="P2238">
        <v>0</v>
      </c>
      <c r="Q2238">
        <v>0</v>
      </c>
      <c r="S2238">
        <v>0</v>
      </c>
      <c r="T2238">
        <v>0</v>
      </c>
      <c r="U2238">
        <v>0</v>
      </c>
      <c r="W2238" t="s">
        <v>62</v>
      </c>
    </row>
    <row r="2239" spans="1:42" x14ac:dyDescent="0.35">
      <c r="A2239" t="s">
        <v>45</v>
      </c>
      <c r="B2239" t="s">
        <v>4968</v>
      </c>
      <c r="C2239" t="s">
        <v>139</v>
      </c>
      <c r="D2239" t="s">
        <v>190</v>
      </c>
      <c r="E2239" t="s">
        <v>45</v>
      </c>
      <c r="F2239" t="s">
        <v>49</v>
      </c>
      <c r="G2239" t="s">
        <v>5047</v>
      </c>
      <c r="H2239" t="s">
        <v>5048</v>
      </c>
      <c r="J2239" t="str">
        <f>HYPERLINK("https://twitter.com/FinoPaymntsBank/status/1760627674710700291","https://twitter.com/FinoPaymntsBank/status/1760627674710700291")</f>
        <v>https://twitter.com/FinoPaymntsBank/status/1760627674710700291</v>
      </c>
      <c r="K2239" t="s">
        <v>145</v>
      </c>
      <c r="O2239">
        <v>0</v>
      </c>
      <c r="P2239">
        <v>0</v>
      </c>
      <c r="Q2239">
        <v>8388</v>
      </c>
      <c r="R2239" t="s">
        <v>193</v>
      </c>
      <c r="S2239">
        <v>0</v>
      </c>
      <c r="T2239">
        <v>0</v>
      </c>
      <c r="U2239">
        <v>0</v>
      </c>
      <c r="W2239" t="s">
        <v>146</v>
      </c>
    </row>
    <row r="2240" spans="1:42" x14ac:dyDescent="0.35">
      <c r="A2240" t="s">
        <v>45</v>
      </c>
      <c r="B2240" t="s">
        <v>4968</v>
      </c>
      <c r="C2240" t="s">
        <v>47</v>
      </c>
      <c r="D2240" t="s">
        <v>45</v>
      </c>
      <c r="E2240" t="s">
        <v>45</v>
      </c>
      <c r="F2240" t="s">
        <v>49</v>
      </c>
      <c r="G2240" t="s">
        <v>5049</v>
      </c>
      <c r="H2240" t="s">
        <v>5050</v>
      </c>
      <c r="J2240" t="str">
        <f>HYPERLINK("https://www.facebook.com/357267201017935/inbox/7063600577051197/","https://www.facebook.com/357267201017935/inbox/7063600577051197/")</f>
        <v>https://www.facebook.com/357267201017935/inbox/7063600577051197/</v>
      </c>
      <c r="O2240">
        <v>0</v>
      </c>
      <c r="P2240">
        <v>0</v>
      </c>
      <c r="Q2240">
        <v>0</v>
      </c>
      <c r="S2240">
        <v>0</v>
      </c>
      <c r="T2240">
        <v>0</v>
      </c>
      <c r="U2240">
        <v>0</v>
      </c>
      <c r="W2240" t="s">
        <v>52</v>
      </c>
    </row>
    <row r="2241" spans="1:42" x14ac:dyDescent="0.35">
      <c r="A2241" t="s">
        <v>45</v>
      </c>
      <c r="B2241" t="s">
        <v>4968</v>
      </c>
      <c r="C2241" t="s">
        <v>47</v>
      </c>
      <c r="D2241" t="s">
        <v>45</v>
      </c>
      <c r="E2241" t="s">
        <v>45</v>
      </c>
      <c r="F2241" t="s">
        <v>49</v>
      </c>
      <c r="G2241" t="s">
        <v>5049</v>
      </c>
      <c r="H2241" t="s">
        <v>5051</v>
      </c>
      <c r="J2241" t="str">
        <f>HYPERLINK("https://www.facebook.com/357267201017935/inbox/7063600577051197/","https://www.facebook.com/357267201017935/inbox/7063600577051197/")</f>
        <v>https://www.facebook.com/357267201017935/inbox/7063600577051197/</v>
      </c>
      <c r="O2241">
        <v>0</v>
      </c>
      <c r="P2241">
        <v>0</v>
      </c>
      <c r="Q2241">
        <v>0</v>
      </c>
      <c r="S2241">
        <v>0</v>
      </c>
      <c r="T2241">
        <v>0</v>
      </c>
      <c r="U2241">
        <v>0</v>
      </c>
      <c r="W2241" t="s">
        <v>52</v>
      </c>
    </row>
    <row r="2242" spans="1:42" x14ac:dyDescent="0.35">
      <c r="A2242" t="s">
        <v>45</v>
      </c>
      <c r="B2242" t="s">
        <v>4968</v>
      </c>
      <c r="C2242" t="s">
        <v>47</v>
      </c>
      <c r="D2242" t="s">
        <v>45</v>
      </c>
      <c r="E2242" t="s">
        <v>45</v>
      </c>
      <c r="F2242" t="s">
        <v>49</v>
      </c>
      <c r="G2242" t="s">
        <v>5052</v>
      </c>
      <c r="H2242" t="s">
        <v>5053</v>
      </c>
      <c r="J2242" t="str">
        <f>HYPERLINK("https://www.facebook.com/357267201017935/inbox/7063966110347977/","https://www.facebook.com/357267201017935/inbox/7063966110347977/")</f>
        <v>https://www.facebook.com/357267201017935/inbox/7063966110347977/</v>
      </c>
      <c r="O2242">
        <v>0</v>
      </c>
      <c r="P2242">
        <v>0</v>
      </c>
      <c r="Q2242">
        <v>0</v>
      </c>
      <c r="S2242">
        <v>0</v>
      </c>
      <c r="T2242">
        <v>0</v>
      </c>
      <c r="U2242">
        <v>0</v>
      </c>
      <c r="W2242" t="s">
        <v>52</v>
      </c>
    </row>
    <row r="2243" spans="1:42" x14ac:dyDescent="0.35">
      <c r="A2243" t="s">
        <v>45</v>
      </c>
      <c r="B2243" t="s">
        <v>4968</v>
      </c>
      <c r="C2243" t="s">
        <v>102</v>
      </c>
      <c r="D2243" t="s">
        <v>5054</v>
      </c>
      <c r="E2243" t="s">
        <v>5054</v>
      </c>
      <c r="F2243" t="s">
        <v>76</v>
      </c>
      <c r="G2243" t="s">
        <v>5055</v>
      </c>
      <c r="H2243" t="s">
        <v>5056</v>
      </c>
      <c r="J2243" t="str">
        <f>HYPERLINK("https://www.linkedin.com/feed/update/urn:li:activity:7166385909641293826","https://www.linkedin.com/feed/update/urn:li:activity:7166385909641293826")</f>
        <v>https://www.linkedin.com/feed/update/urn:li:activity:7166385909641293826</v>
      </c>
      <c r="O2243">
        <v>0</v>
      </c>
      <c r="P2243">
        <v>0</v>
      </c>
      <c r="Q2243">
        <v>0</v>
      </c>
      <c r="S2243">
        <v>0</v>
      </c>
      <c r="T2243">
        <v>0</v>
      </c>
      <c r="U2243">
        <v>0</v>
      </c>
      <c r="W2243" t="s">
        <v>106</v>
      </c>
      <c r="AO2243" t="s">
        <v>119</v>
      </c>
      <c r="AP2243" t="s">
        <v>101</v>
      </c>
    </row>
    <row r="2244" spans="1:42" x14ac:dyDescent="0.35">
      <c r="A2244" t="s">
        <v>45</v>
      </c>
      <c r="B2244" t="s">
        <v>4968</v>
      </c>
      <c r="C2244" t="s">
        <v>47</v>
      </c>
      <c r="D2244" t="s">
        <v>5057</v>
      </c>
      <c r="E2244" t="s">
        <v>5057</v>
      </c>
      <c r="F2244" t="s">
        <v>49</v>
      </c>
      <c r="G2244" t="s">
        <v>5058</v>
      </c>
      <c r="H2244" t="s">
        <v>5059</v>
      </c>
      <c r="J2244" t="str">
        <f>HYPERLINK("https://www.facebook.com/357267201017935/posts/3069910089753619/?comment_id=1439250890334504&amp;reply_comment_id=376062112042348","https://www.facebook.com/357267201017935/posts/3069910089753619/?comment_id=1439250890334504&amp;reply_comment_id=376062112042348")</f>
        <v>https://www.facebook.com/357267201017935/posts/3069910089753619/?comment_id=1439250890334504&amp;reply_comment_id=376062112042348</v>
      </c>
      <c r="O2244">
        <v>0</v>
      </c>
      <c r="P2244">
        <v>0</v>
      </c>
      <c r="Q2244">
        <v>0</v>
      </c>
      <c r="S2244">
        <v>0</v>
      </c>
      <c r="T2244">
        <v>0</v>
      </c>
      <c r="U2244">
        <v>0</v>
      </c>
      <c r="W2244" t="s">
        <v>62</v>
      </c>
    </row>
    <row r="2245" spans="1:42" x14ac:dyDescent="0.35">
      <c r="A2245" t="s">
        <v>45</v>
      </c>
      <c r="B2245" t="s">
        <v>4968</v>
      </c>
      <c r="C2245" t="s">
        <v>3127</v>
      </c>
      <c r="D2245" t="s">
        <v>5060</v>
      </c>
      <c r="E2245" t="s">
        <v>5060</v>
      </c>
      <c r="F2245" t="s">
        <v>76</v>
      </c>
      <c r="G2245" t="s">
        <v>5061</v>
      </c>
      <c r="H2245" t="s">
        <v>5062</v>
      </c>
      <c r="J2245" t="str">
        <f>HYPERLINK("","")</f>
        <v/>
      </c>
      <c r="O2245">
        <v>0</v>
      </c>
      <c r="P2245">
        <v>0</v>
      </c>
      <c r="Q2245">
        <v>0</v>
      </c>
      <c r="S2245">
        <v>0</v>
      </c>
      <c r="T2245">
        <v>0</v>
      </c>
      <c r="U2245">
        <v>0</v>
      </c>
      <c r="AP2245" t="s">
        <v>94</v>
      </c>
    </row>
    <row r="2246" spans="1:42" x14ac:dyDescent="0.35">
      <c r="A2246" t="s">
        <v>45</v>
      </c>
      <c r="B2246" t="s">
        <v>4968</v>
      </c>
      <c r="C2246" t="s">
        <v>63</v>
      </c>
      <c r="D2246" t="s">
        <v>5063</v>
      </c>
      <c r="E2246" t="s">
        <v>5063</v>
      </c>
      <c r="F2246" t="s">
        <v>49</v>
      </c>
      <c r="G2246" t="s">
        <v>3858</v>
      </c>
      <c r="H2246" t="s">
        <v>5064</v>
      </c>
      <c r="J2246" t="str">
        <f>HYPERLINK("https://www.instagram.com/p/C2w6aNLgipi/","https://www.instagram.com/p/C2w6aNLgipi/")</f>
        <v>https://www.instagram.com/p/C2w6aNLgipi/</v>
      </c>
      <c r="O2246">
        <v>0</v>
      </c>
      <c r="P2246">
        <v>0</v>
      </c>
      <c r="Q2246">
        <v>0</v>
      </c>
      <c r="S2246">
        <v>0</v>
      </c>
      <c r="T2246">
        <v>0</v>
      </c>
      <c r="U2246">
        <v>0</v>
      </c>
      <c r="W2246" t="s">
        <v>62</v>
      </c>
    </row>
    <row r="2247" spans="1:42" x14ac:dyDescent="0.35">
      <c r="A2247" t="s">
        <v>45</v>
      </c>
      <c r="B2247" t="s">
        <v>4968</v>
      </c>
      <c r="C2247" t="s">
        <v>63</v>
      </c>
      <c r="D2247" t="s">
        <v>5065</v>
      </c>
      <c r="E2247" t="s">
        <v>5065</v>
      </c>
      <c r="F2247" t="s">
        <v>49</v>
      </c>
      <c r="G2247" t="s">
        <v>5066</v>
      </c>
      <c r="H2247" t="s">
        <v>5067</v>
      </c>
      <c r="J2247" t="str">
        <f>HYPERLINK("https://www.instagram.com/p/C3U1uytgenK/","https://www.instagram.com/p/C3U1uytgenK/")</f>
        <v>https://www.instagram.com/p/C3U1uytgenK/</v>
      </c>
      <c r="O2247">
        <v>0</v>
      </c>
      <c r="P2247">
        <v>0</v>
      </c>
      <c r="Q2247">
        <v>0</v>
      </c>
      <c r="S2247">
        <v>0</v>
      </c>
      <c r="T2247">
        <v>0</v>
      </c>
      <c r="U2247">
        <v>0</v>
      </c>
      <c r="W2247" t="s">
        <v>62</v>
      </c>
      <c r="AP2247" t="s">
        <v>94</v>
      </c>
    </row>
    <row r="2248" spans="1:42" x14ac:dyDescent="0.35">
      <c r="A2248" t="s">
        <v>45</v>
      </c>
      <c r="B2248" t="s">
        <v>4968</v>
      </c>
      <c r="C2248" t="s">
        <v>139</v>
      </c>
      <c r="D2248" t="s">
        <v>190</v>
      </c>
      <c r="E2248" t="s">
        <v>45</v>
      </c>
      <c r="F2248" t="s">
        <v>49</v>
      </c>
      <c r="G2248" t="s">
        <v>5068</v>
      </c>
      <c r="H2248" t="s">
        <v>5069</v>
      </c>
      <c r="J2248" t="str">
        <f>HYPERLINK("https://twitter.com/FinoPaymntsBank/status/1760576819991052723","https://twitter.com/FinoPaymntsBank/status/1760576819991052723")</f>
        <v>https://twitter.com/FinoPaymntsBank/status/1760576819991052723</v>
      </c>
      <c r="K2248" t="s">
        <v>145</v>
      </c>
      <c r="O2248">
        <v>0</v>
      </c>
      <c r="P2248">
        <v>0</v>
      </c>
      <c r="Q2248">
        <v>8388</v>
      </c>
      <c r="R2248" t="s">
        <v>193</v>
      </c>
      <c r="S2248">
        <v>0</v>
      </c>
      <c r="T2248">
        <v>0</v>
      </c>
      <c r="U2248">
        <v>0</v>
      </c>
      <c r="W2248" t="s">
        <v>146</v>
      </c>
    </row>
    <row r="2249" spans="1:42" x14ac:dyDescent="0.35">
      <c r="A2249" t="s">
        <v>45</v>
      </c>
      <c r="B2249" t="s">
        <v>4968</v>
      </c>
      <c r="C2249" t="s">
        <v>47</v>
      </c>
      <c r="D2249" t="s">
        <v>45</v>
      </c>
      <c r="E2249" t="s">
        <v>45</v>
      </c>
      <c r="F2249" t="s">
        <v>49</v>
      </c>
      <c r="G2249" t="s">
        <v>5070</v>
      </c>
      <c r="H2249" t="s">
        <v>5071</v>
      </c>
      <c r="J2249" t="str">
        <f>HYPERLINK("https://www.facebook.com/454965103328545/posts/775405614617824?comment_id=831998555118924&amp;reply_comment_id=7572950359389833","https://www.facebook.com/454965103328545/posts/775405614617824?comment_id=831998555118924&amp;reply_comment_id=7572950359389833")</f>
        <v>https://www.facebook.com/454965103328545/posts/775405614617824?comment_id=831998555118924&amp;reply_comment_id=7572950359389833</v>
      </c>
      <c r="O2249">
        <v>0</v>
      </c>
      <c r="P2249">
        <v>0</v>
      </c>
      <c r="Q2249">
        <v>0</v>
      </c>
      <c r="S2249">
        <v>0</v>
      </c>
      <c r="T2249">
        <v>0</v>
      </c>
      <c r="U2249">
        <v>0</v>
      </c>
      <c r="W2249" t="s">
        <v>62</v>
      </c>
    </row>
    <row r="2250" spans="1:42" x14ac:dyDescent="0.35">
      <c r="A2250" t="s">
        <v>45</v>
      </c>
      <c r="B2250" t="s">
        <v>4968</v>
      </c>
      <c r="C2250" t="s">
        <v>63</v>
      </c>
      <c r="D2250" t="s">
        <v>186</v>
      </c>
      <c r="E2250" t="s">
        <v>186</v>
      </c>
      <c r="F2250" t="s">
        <v>49</v>
      </c>
      <c r="G2250" t="s">
        <v>5072</v>
      </c>
      <c r="H2250" t="s">
        <v>5073</v>
      </c>
      <c r="J2250" t="str">
        <f>HYPERLINK("https://www.instagram.com/p/C3kg9GTvYTr/","https://www.instagram.com/p/C3kg9GTvYTr/")</f>
        <v>https://www.instagram.com/p/C3kg9GTvYTr/</v>
      </c>
      <c r="O2250">
        <v>0</v>
      </c>
      <c r="P2250">
        <v>0</v>
      </c>
      <c r="Q2250">
        <v>0</v>
      </c>
      <c r="S2250">
        <v>0</v>
      </c>
      <c r="T2250">
        <v>0</v>
      </c>
      <c r="U2250">
        <v>0</v>
      </c>
      <c r="W2250" t="s">
        <v>62</v>
      </c>
    </row>
    <row r="2251" spans="1:42" x14ac:dyDescent="0.35">
      <c r="A2251" t="s">
        <v>45</v>
      </c>
      <c r="B2251" t="s">
        <v>4968</v>
      </c>
      <c r="C2251" t="s">
        <v>47</v>
      </c>
      <c r="D2251" t="s">
        <v>45</v>
      </c>
      <c r="E2251" t="s">
        <v>45</v>
      </c>
      <c r="F2251" t="s">
        <v>49</v>
      </c>
      <c r="G2251" t="s">
        <v>3989</v>
      </c>
      <c r="H2251" t="s">
        <v>5074</v>
      </c>
      <c r="J2251" t="str">
        <f>HYPERLINK("https://www.facebook.com/454965103328545/posts/773139534844432?comment_id=409898861779136&amp;reply_comment_id=1788125231627421","https://www.facebook.com/454965103328545/posts/773139534844432?comment_id=409898861779136&amp;reply_comment_id=1788125231627421")</f>
        <v>https://www.facebook.com/454965103328545/posts/773139534844432?comment_id=409898861779136&amp;reply_comment_id=1788125231627421</v>
      </c>
      <c r="O2251">
        <v>0</v>
      </c>
      <c r="P2251">
        <v>0</v>
      </c>
      <c r="Q2251">
        <v>0</v>
      </c>
      <c r="S2251">
        <v>0</v>
      </c>
      <c r="T2251">
        <v>0</v>
      </c>
      <c r="U2251">
        <v>0</v>
      </c>
      <c r="W2251" t="s">
        <v>62</v>
      </c>
    </row>
    <row r="2252" spans="1:42" x14ac:dyDescent="0.35">
      <c r="A2252" t="s">
        <v>45</v>
      </c>
      <c r="B2252" t="s">
        <v>4968</v>
      </c>
      <c r="C2252" t="s">
        <v>47</v>
      </c>
      <c r="D2252" t="s">
        <v>45</v>
      </c>
      <c r="E2252" t="s">
        <v>45</v>
      </c>
      <c r="F2252" t="s">
        <v>49</v>
      </c>
      <c r="G2252" t="s">
        <v>5075</v>
      </c>
      <c r="H2252" t="s">
        <v>5076</v>
      </c>
      <c r="J2252" t="str">
        <f>HYPERLINK("https://www.facebook.com/454965103328545/posts/763902162434836?comment_id=1123363792350947&amp;reply_comment_id=1643984729706160","https://www.facebook.com/454965103328545/posts/763902162434836?comment_id=1123363792350947&amp;reply_comment_id=1643984729706160")</f>
        <v>https://www.facebook.com/454965103328545/posts/763902162434836?comment_id=1123363792350947&amp;reply_comment_id=1643984729706160</v>
      </c>
      <c r="O2252">
        <v>0</v>
      </c>
      <c r="P2252">
        <v>0</v>
      </c>
      <c r="Q2252">
        <v>0</v>
      </c>
      <c r="S2252">
        <v>0</v>
      </c>
      <c r="T2252">
        <v>0</v>
      </c>
      <c r="U2252">
        <v>0</v>
      </c>
      <c r="W2252" t="s">
        <v>62</v>
      </c>
      <c r="AP2252" t="s">
        <v>101</v>
      </c>
    </row>
    <row r="2253" spans="1:42" x14ac:dyDescent="0.35">
      <c r="A2253" t="s">
        <v>45</v>
      </c>
      <c r="B2253" t="s">
        <v>4968</v>
      </c>
      <c r="C2253" t="s">
        <v>47</v>
      </c>
      <c r="D2253" t="s">
        <v>45</v>
      </c>
      <c r="E2253" t="s">
        <v>45</v>
      </c>
      <c r="F2253" t="s">
        <v>49</v>
      </c>
      <c r="G2253" t="s">
        <v>5077</v>
      </c>
      <c r="H2253" t="s">
        <v>5078</v>
      </c>
      <c r="J2253" t="str">
        <f>HYPERLINK("https://www.facebook.com/357267201017935/inbox/6851875061557084/","https://www.facebook.com/357267201017935/inbox/6851875061557084/")</f>
        <v>https://www.facebook.com/357267201017935/inbox/6851875061557084/</v>
      </c>
      <c r="O2253">
        <v>0</v>
      </c>
      <c r="P2253">
        <v>0</v>
      </c>
      <c r="Q2253">
        <v>0</v>
      </c>
      <c r="S2253">
        <v>0</v>
      </c>
      <c r="T2253">
        <v>0</v>
      </c>
      <c r="U2253">
        <v>0</v>
      </c>
      <c r="W2253" t="s">
        <v>52</v>
      </c>
      <c r="AP2253" t="s">
        <v>101</v>
      </c>
    </row>
    <row r="2254" spans="1:42" x14ac:dyDescent="0.35">
      <c r="A2254" t="s">
        <v>45</v>
      </c>
      <c r="B2254" t="s">
        <v>4968</v>
      </c>
      <c r="C2254" t="s">
        <v>47</v>
      </c>
      <c r="D2254" t="s">
        <v>45</v>
      </c>
      <c r="E2254" t="s">
        <v>45</v>
      </c>
      <c r="F2254" t="s">
        <v>49</v>
      </c>
      <c r="G2254" t="s">
        <v>5079</v>
      </c>
      <c r="H2254" t="s">
        <v>5080</v>
      </c>
      <c r="J2254" t="str">
        <f>HYPERLINK("https://www.facebook.com/454965103328545/videos/3697954183759550?comment_id=370550922597679&amp;reply_comment_id=7576671309034241","https://www.facebook.com/454965103328545/videos/3697954183759550?comment_id=370550922597679&amp;reply_comment_id=7576671309034241")</f>
        <v>https://www.facebook.com/454965103328545/videos/3697954183759550?comment_id=370550922597679&amp;reply_comment_id=7576671309034241</v>
      </c>
      <c r="O2254">
        <v>0</v>
      </c>
      <c r="P2254">
        <v>0</v>
      </c>
      <c r="Q2254">
        <v>0</v>
      </c>
      <c r="S2254">
        <v>0</v>
      </c>
      <c r="T2254">
        <v>0</v>
      </c>
      <c r="U2254">
        <v>0</v>
      </c>
      <c r="W2254" t="s">
        <v>62</v>
      </c>
    </row>
    <row r="2255" spans="1:42" x14ac:dyDescent="0.35">
      <c r="A2255" t="s">
        <v>45</v>
      </c>
      <c r="B2255" t="s">
        <v>4968</v>
      </c>
      <c r="C2255" t="s">
        <v>139</v>
      </c>
      <c r="D2255" t="s">
        <v>190</v>
      </c>
      <c r="E2255" t="s">
        <v>45</v>
      </c>
      <c r="F2255" t="s">
        <v>49</v>
      </c>
      <c r="G2255" t="s">
        <v>5081</v>
      </c>
      <c r="H2255" t="s">
        <v>5082</v>
      </c>
      <c r="J2255" t="str">
        <f>HYPERLINK("https://twitter.com/FinoPaymntsBank/status/1760573651483832808","https://twitter.com/FinoPaymntsBank/status/1760573651483832808")</f>
        <v>https://twitter.com/FinoPaymntsBank/status/1760573651483832808</v>
      </c>
      <c r="K2255" t="s">
        <v>145</v>
      </c>
      <c r="O2255">
        <v>0</v>
      </c>
      <c r="P2255">
        <v>0</v>
      </c>
      <c r="Q2255">
        <v>8388</v>
      </c>
      <c r="R2255" t="s">
        <v>193</v>
      </c>
      <c r="S2255">
        <v>0</v>
      </c>
      <c r="T2255">
        <v>0</v>
      </c>
      <c r="U2255">
        <v>0</v>
      </c>
      <c r="W2255" t="s">
        <v>146</v>
      </c>
    </row>
    <row r="2256" spans="1:42" x14ac:dyDescent="0.35">
      <c r="A2256" t="s">
        <v>45</v>
      </c>
      <c r="B2256" t="s">
        <v>4968</v>
      </c>
      <c r="C2256" t="s">
        <v>47</v>
      </c>
      <c r="D2256" t="s">
        <v>45</v>
      </c>
      <c r="E2256" t="s">
        <v>45</v>
      </c>
      <c r="F2256" t="s">
        <v>49</v>
      </c>
      <c r="G2256" t="s">
        <v>5083</v>
      </c>
      <c r="H2256" t="s">
        <v>5084</v>
      </c>
      <c r="J2256" t="str">
        <f>HYPERLINK("https://www.facebook.com/454965103328545/posts/771262205032165?comment_id=384417590985970&amp;reply_comment_id=1405458110356919","https://www.facebook.com/454965103328545/posts/771262205032165?comment_id=384417590985970&amp;reply_comment_id=1405458110356919")</f>
        <v>https://www.facebook.com/454965103328545/posts/771262205032165?comment_id=384417590985970&amp;reply_comment_id=1405458110356919</v>
      </c>
      <c r="O2256">
        <v>0</v>
      </c>
      <c r="P2256">
        <v>0</v>
      </c>
      <c r="Q2256">
        <v>0</v>
      </c>
      <c r="S2256">
        <v>0</v>
      </c>
      <c r="T2256">
        <v>0</v>
      </c>
      <c r="U2256">
        <v>0</v>
      </c>
      <c r="W2256" t="s">
        <v>62</v>
      </c>
    </row>
    <row r="2257" spans="1:45" x14ac:dyDescent="0.35">
      <c r="A2257" t="s">
        <v>45</v>
      </c>
      <c r="B2257" t="s">
        <v>4968</v>
      </c>
      <c r="C2257" t="s">
        <v>47</v>
      </c>
      <c r="D2257" t="s">
        <v>5085</v>
      </c>
      <c r="E2257" t="s">
        <v>5085</v>
      </c>
      <c r="F2257" t="s">
        <v>49</v>
      </c>
      <c r="G2257" t="s">
        <v>5086</v>
      </c>
      <c r="H2257" t="s">
        <v>5087</v>
      </c>
      <c r="J2257" t="str">
        <f>HYPERLINK("https://www.facebook.com/454965103328545/posts/771262205032165?comment_id=384417590985970","https://www.facebook.com/454965103328545/posts/771262205032165?comment_id=384417590985970")</f>
        <v>https://www.facebook.com/454965103328545/posts/771262205032165?comment_id=384417590985970</v>
      </c>
      <c r="O2257">
        <v>0</v>
      </c>
      <c r="P2257">
        <v>0</v>
      </c>
      <c r="Q2257">
        <v>0</v>
      </c>
      <c r="S2257">
        <v>0</v>
      </c>
      <c r="T2257">
        <v>0</v>
      </c>
      <c r="U2257">
        <v>0</v>
      </c>
      <c r="W2257" t="s">
        <v>62</v>
      </c>
      <c r="AS2257" t="s">
        <v>375</v>
      </c>
    </row>
    <row r="2258" spans="1:45" x14ac:dyDescent="0.35">
      <c r="A2258" t="s">
        <v>45</v>
      </c>
      <c r="B2258" t="s">
        <v>4968</v>
      </c>
      <c r="C2258" t="s">
        <v>47</v>
      </c>
      <c r="D2258" t="s">
        <v>3954</v>
      </c>
      <c r="E2258" t="s">
        <v>3954</v>
      </c>
      <c r="F2258" t="s">
        <v>49</v>
      </c>
      <c r="G2258" t="s">
        <v>5088</v>
      </c>
      <c r="H2258" t="s">
        <v>5089</v>
      </c>
      <c r="J2258" t="str">
        <f>HYPERLINK("https://www.facebook.com/454965103328545/posts/771881191636933?comment_id=1116349036462675","https://www.facebook.com/454965103328545/posts/771881191636933?comment_id=1116349036462675")</f>
        <v>https://www.facebook.com/454965103328545/posts/771881191636933?comment_id=1116349036462675</v>
      </c>
      <c r="O2258">
        <v>0</v>
      </c>
      <c r="P2258">
        <v>0</v>
      </c>
      <c r="Q2258">
        <v>0</v>
      </c>
      <c r="S2258">
        <v>0</v>
      </c>
      <c r="T2258">
        <v>0</v>
      </c>
      <c r="U2258">
        <v>0</v>
      </c>
      <c r="W2258" t="s">
        <v>62</v>
      </c>
    </row>
    <row r="2259" spans="1:45" x14ac:dyDescent="0.35">
      <c r="A2259" t="s">
        <v>45</v>
      </c>
      <c r="B2259" t="s">
        <v>4968</v>
      </c>
      <c r="C2259" t="s">
        <v>47</v>
      </c>
      <c r="D2259" t="s">
        <v>5090</v>
      </c>
      <c r="E2259" t="s">
        <v>5090</v>
      </c>
      <c r="F2259" t="s">
        <v>49</v>
      </c>
      <c r="G2259" t="s">
        <v>5091</v>
      </c>
      <c r="H2259" t="s">
        <v>5092</v>
      </c>
      <c r="J2259" t="str">
        <f>HYPERLINK("https://www.facebook.com/454965103328545/posts/775405614617824?comment_id=1380146489309203&amp;reply_comment_id=1590939828344397","https://www.facebook.com/454965103328545/posts/775405614617824?comment_id=1380146489309203&amp;reply_comment_id=1590939828344397")</f>
        <v>https://www.facebook.com/454965103328545/posts/775405614617824?comment_id=1380146489309203&amp;reply_comment_id=1590939828344397</v>
      </c>
      <c r="O2259">
        <v>0</v>
      </c>
      <c r="P2259">
        <v>0</v>
      </c>
      <c r="Q2259">
        <v>0</v>
      </c>
      <c r="S2259">
        <v>0</v>
      </c>
      <c r="T2259">
        <v>0</v>
      </c>
      <c r="U2259">
        <v>0</v>
      </c>
      <c r="W2259" t="s">
        <v>62</v>
      </c>
      <c r="Y2259" t="s">
        <v>5093</v>
      </c>
      <c r="Z2259" t="s">
        <v>613</v>
      </c>
      <c r="AA2259" t="s">
        <v>614</v>
      </c>
    </row>
    <row r="2260" spans="1:45" x14ac:dyDescent="0.35">
      <c r="A2260" t="s">
        <v>45</v>
      </c>
      <c r="B2260" t="s">
        <v>4968</v>
      </c>
      <c r="C2260" t="s">
        <v>139</v>
      </c>
      <c r="D2260" t="s">
        <v>5094</v>
      </c>
      <c r="E2260" t="s">
        <v>5095</v>
      </c>
      <c r="F2260" t="s">
        <v>142</v>
      </c>
      <c r="G2260" t="s">
        <v>5096</v>
      </c>
      <c r="H2260" t="s">
        <v>5097</v>
      </c>
      <c r="J2260" t="str">
        <f>HYPERLINK("https://twitter.com/Sanjay__Ahirwar/status/1760514376673456432","https://twitter.com/Sanjay__Ahirwar/status/1760514376673456432")</f>
        <v>https://twitter.com/Sanjay__Ahirwar/status/1760514376673456432</v>
      </c>
      <c r="K2260" t="s">
        <v>145</v>
      </c>
      <c r="O2260">
        <v>0</v>
      </c>
      <c r="P2260">
        <v>0</v>
      </c>
      <c r="Q2260">
        <v>54</v>
      </c>
      <c r="R2260" t="s">
        <v>3319</v>
      </c>
      <c r="S2260">
        <v>0</v>
      </c>
      <c r="T2260">
        <v>0</v>
      </c>
      <c r="U2260">
        <v>0</v>
      </c>
      <c r="W2260" t="s">
        <v>146</v>
      </c>
      <c r="AS2260" t="s">
        <v>375</v>
      </c>
    </row>
    <row r="2261" spans="1:45" x14ac:dyDescent="0.35">
      <c r="A2261" t="s">
        <v>45</v>
      </c>
      <c r="B2261" t="s">
        <v>4968</v>
      </c>
      <c r="C2261" t="s">
        <v>47</v>
      </c>
      <c r="D2261" t="s">
        <v>5098</v>
      </c>
      <c r="E2261" t="s">
        <v>5098</v>
      </c>
      <c r="F2261" t="s">
        <v>49</v>
      </c>
      <c r="G2261" t="s">
        <v>131</v>
      </c>
      <c r="H2261" t="s">
        <v>5099</v>
      </c>
      <c r="J2261" t="str">
        <f>HYPERLINK("https://www.facebook.com/454965103328545/videos/3697954183759550?comment_id=370550922597679","https://www.facebook.com/454965103328545/videos/3697954183759550?comment_id=370550922597679")</f>
        <v>https://www.facebook.com/454965103328545/videos/3697954183759550?comment_id=370550922597679</v>
      </c>
      <c r="O2261">
        <v>0</v>
      </c>
      <c r="P2261">
        <v>0</v>
      </c>
      <c r="Q2261">
        <v>0</v>
      </c>
      <c r="S2261">
        <v>0</v>
      </c>
      <c r="T2261">
        <v>0</v>
      </c>
      <c r="U2261">
        <v>0</v>
      </c>
      <c r="W2261" t="s">
        <v>62</v>
      </c>
      <c r="AS2261" t="s">
        <v>375</v>
      </c>
    </row>
    <row r="2262" spans="1:45" x14ac:dyDescent="0.35">
      <c r="A2262" t="s">
        <v>45</v>
      </c>
      <c r="B2262" t="s">
        <v>5100</v>
      </c>
      <c r="C2262" t="s">
        <v>47</v>
      </c>
      <c r="D2262" t="s">
        <v>2587</v>
      </c>
      <c r="E2262" t="s">
        <v>2587</v>
      </c>
      <c r="F2262" t="s">
        <v>49</v>
      </c>
      <c r="G2262" t="s">
        <v>5101</v>
      </c>
      <c r="H2262" t="s">
        <v>5102</v>
      </c>
      <c r="J2262" t="str">
        <f>HYPERLINK("https://www.facebook.com/357267201017935/inbox/6851875061557084/","https://www.facebook.com/357267201017935/inbox/6851875061557084/")</f>
        <v>https://www.facebook.com/357267201017935/inbox/6851875061557084/</v>
      </c>
      <c r="O2262">
        <v>0</v>
      </c>
      <c r="P2262">
        <v>0</v>
      </c>
      <c r="Q2262">
        <v>0</v>
      </c>
      <c r="S2262">
        <v>0</v>
      </c>
      <c r="T2262">
        <v>0</v>
      </c>
      <c r="U2262">
        <v>0</v>
      </c>
      <c r="W2262" t="s">
        <v>52</v>
      </c>
      <c r="AS2262" t="s">
        <v>375</v>
      </c>
    </row>
    <row r="2263" spans="1:45" x14ac:dyDescent="0.35">
      <c r="A2263" t="s">
        <v>45</v>
      </c>
      <c r="B2263" t="s">
        <v>5100</v>
      </c>
      <c r="C2263" t="s">
        <v>47</v>
      </c>
      <c r="D2263" t="s">
        <v>2587</v>
      </c>
      <c r="E2263" t="s">
        <v>2587</v>
      </c>
      <c r="F2263" t="s">
        <v>49</v>
      </c>
      <c r="G2263" t="s">
        <v>5103</v>
      </c>
      <c r="H2263" t="s">
        <v>5104</v>
      </c>
      <c r="J2263" t="str">
        <f>HYPERLINK("https://www.facebook.com/357267201017935/inbox/6851875061557084/","https://www.facebook.com/357267201017935/inbox/6851875061557084/")</f>
        <v>https://www.facebook.com/357267201017935/inbox/6851875061557084/</v>
      </c>
      <c r="O2263">
        <v>0</v>
      </c>
      <c r="P2263">
        <v>0</v>
      </c>
      <c r="Q2263">
        <v>0</v>
      </c>
      <c r="S2263">
        <v>0</v>
      </c>
      <c r="T2263">
        <v>0</v>
      </c>
      <c r="U2263">
        <v>0</v>
      </c>
      <c r="W2263" t="s">
        <v>52</v>
      </c>
    </row>
    <row r="2264" spans="1:45" x14ac:dyDescent="0.35">
      <c r="A2264" t="s">
        <v>45</v>
      </c>
      <c r="B2264" t="s">
        <v>5100</v>
      </c>
      <c r="C2264" t="s">
        <v>47</v>
      </c>
      <c r="D2264" t="s">
        <v>5105</v>
      </c>
      <c r="E2264" t="s">
        <v>5105</v>
      </c>
      <c r="F2264" t="s">
        <v>49</v>
      </c>
      <c r="G2264" t="s">
        <v>5106</v>
      </c>
      <c r="H2264" t="s">
        <v>5107</v>
      </c>
      <c r="J2264" t="str">
        <f>HYPERLINK("https://www.facebook.com/454965103328545/posts/768116778680041?comment_id=768508132003209","https://www.facebook.com/454965103328545/posts/768116778680041?comment_id=768508132003209")</f>
        <v>https://www.facebook.com/454965103328545/posts/768116778680041?comment_id=768508132003209</v>
      </c>
      <c r="O2264">
        <v>0</v>
      </c>
      <c r="P2264">
        <v>0</v>
      </c>
      <c r="Q2264">
        <v>0</v>
      </c>
      <c r="S2264">
        <v>0</v>
      </c>
      <c r="T2264">
        <v>0</v>
      </c>
      <c r="U2264">
        <v>0</v>
      </c>
      <c r="W2264" t="s">
        <v>62</v>
      </c>
    </row>
    <row r="2265" spans="1:45" x14ac:dyDescent="0.35">
      <c r="A2265" t="s">
        <v>45</v>
      </c>
      <c r="B2265" t="s">
        <v>5100</v>
      </c>
      <c r="C2265" t="s">
        <v>47</v>
      </c>
      <c r="D2265" t="s">
        <v>5108</v>
      </c>
      <c r="E2265" t="s">
        <v>5108</v>
      </c>
      <c r="F2265" t="s">
        <v>76</v>
      </c>
      <c r="G2265" t="s">
        <v>5109</v>
      </c>
      <c r="H2265" t="s">
        <v>5110</v>
      </c>
      <c r="J2265" t="str">
        <f>HYPERLINK("https://www.facebook.com/357267201017935/inbox/7067840066627248/","https://www.facebook.com/357267201017935/inbox/7067840066627248/")</f>
        <v>https://www.facebook.com/357267201017935/inbox/7067840066627248/</v>
      </c>
      <c r="O2265">
        <v>0</v>
      </c>
      <c r="P2265">
        <v>0</v>
      </c>
      <c r="Q2265">
        <v>0</v>
      </c>
      <c r="S2265">
        <v>0</v>
      </c>
      <c r="T2265">
        <v>0</v>
      </c>
      <c r="U2265">
        <v>0</v>
      </c>
      <c r="W2265" t="s">
        <v>52</v>
      </c>
    </row>
    <row r="2266" spans="1:45" x14ac:dyDescent="0.35">
      <c r="A2266" t="s">
        <v>45</v>
      </c>
      <c r="B2266" t="s">
        <v>5100</v>
      </c>
      <c r="C2266" t="s">
        <v>47</v>
      </c>
      <c r="D2266" t="s">
        <v>5019</v>
      </c>
      <c r="E2266" t="s">
        <v>5019</v>
      </c>
      <c r="F2266" t="s">
        <v>49</v>
      </c>
      <c r="G2266" t="s">
        <v>5111</v>
      </c>
      <c r="H2266" t="s">
        <v>5112</v>
      </c>
      <c r="J2266" t="str">
        <f>HYPERLINK("https://www.facebook.com/454965103328545/posts/763902162434836?comment_id=1123363792350947","https://www.facebook.com/454965103328545/posts/763902162434836?comment_id=1123363792350947")</f>
        <v>https://www.facebook.com/454965103328545/posts/763902162434836?comment_id=1123363792350947</v>
      </c>
      <c r="O2266">
        <v>0</v>
      </c>
      <c r="P2266">
        <v>0</v>
      </c>
      <c r="Q2266">
        <v>0</v>
      </c>
      <c r="S2266">
        <v>0</v>
      </c>
      <c r="T2266">
        <v>0</v>
      </c>
      <c r="U2266">
        <v>0</v>
      </c>
      <c r="W2266" t="s">
        <v>62</v>
      </c>
      <c r="AO2266" t="s">
        <v>119</v>
      </c>
      <c r="AS2266" t="s">
        <v>375</v>
      </c>
    </row>
    <row r="2267" spans="1:45" x14ac:dyDescent="0.35">
      <c r="A2267" t="s">
        <v>45</v>
      </c>
      <c r="B2267" t="s">
        <v>5100</v>
      </c>
      <c r="C2267" t="s">
        <v>63</v>
      </c>
      <c r="D2267" t="s">
        <v>4813</v>
      </c>
      <c r="E2267" t="s">
        <v>4813</v>
      </c>
      <c r="F2267" t="s">
        <v>76</v>
      </c>
      <c r="G2267" t="s">
        <v>5113</v>
      </c>
      <c r="H2267" t="s">
        <v>5114</v>
      </c>
      <c r="J2267" t="str">
        <f>HYPERLINK("https://www.instagram.com/p/C3nEvg6y3_1/","https://www.instagram.com/p/C3nEvg6y3_1/")</f>
        <v>https://www.instagram.com/p/C3nEvg6y3_1/</v>
      </c>
      <c r="O2267">
        <v>0</v>
      </c>
      <c r="P2267">
        <v>0</v>
      </c>
      <c r="Q2267">
        <v>0</v>
      </c>
      <c r="S2267">
        <v>2</v>
      </c>
      <c r="T2267">
        <v>5</v>
      </c>
      <c r="U2267">
        <v>0</v>
      </c>
      <c r="W2267" t="s">
        <v>106</v>
      </c>
    </row>
    <row r="2268" spans="1:45" x14ac:dyDescent="0.35">
      <c r="A2268" t="s">
        <v>45</v>
      </c>
      <c r="B2268" t="s">
        <v>5100</v>
      </c>
      <c r="C2268" t="s">
        <v>47</v>
      </c>
      <c r="F2268" t="s">
        <v>76</v>
      </c>
      <c r="G2268" t="s">
        <v>5115</v>
      </c>
      <c r="H2268" t="s">
        <v>5116</v>
      </c>
      <c r="J2268" t="str">
        <f>HYPERLINK("https://www.facebook.com/6820763411346178_10233234743481188","https://www.facebook.com/6820763411346178_10233234743481188")</f>
        <v>https://www.facebook.com/6820763411346178_10233234743481188</v>
      </c>
      <c r="O2268">
        <v>0</v>
      </c>
      <c r="P2268">
        <v>0</v>
      </c>
      <c r="Q2268">
        <v>0</v>
      </c>
      <c r="S2268">
        <v>0</v>
      </c>
      <c r="T2268">
        <v>0</v>
      </c>
      <c r="U2268">
        <v>0</v>
      </c>
      <c r="W2268" t="s">
        <v>106</v>
      </c>
    </row>
    <row r="2269" spans="1:45" x14ac:dyDescent="0.35">
      <c r="A2269" t="s">
        <v>45</v>
      </c>
      <c r="B2269" t="s">
        <v>5100</v>
      </c>
      <c r="C2269" t="s">
        <v>47</v>
      </c>
      <c r="D2269" t="s">
        <v>45</v>
      </c>
      <c r="E2269" t="s">
        <v>45</v>
      </c>
      <c r="F2269" t="s">
        <v>49</v>
      </c>
      <c r="G2269" t="s">
        <v>5117</v>
      </c>
      <c r="H2269" t="s">
        <v>5118</v>
      </c>
      <c r="J2269" t="str">
        <f>HYPERLINK("https://www.facebook.com/454965103328545/posts/755939476564438?comment_id=720463840223670&amp;reply_comment_id=1409028113334395","https://www.facebook.com/454965103328545/posts/755939476564438?comment_id=720463840223670&amp;reply_comment_id=1409028113334395")</f>
        <v>https://www.facebook.com/454965103328545/posts/755939476564438?comment_id=720463840223670&amp;reply_comment_id=1409028113334395</v>
      </c>
      <c r="O2269">
        <v>0</v>
      </c>
      <c r="P2269">
        <v>0</v>
      </c>
      <c r="Q2269">
        <v>0</v>
      </c>
      <c r="S2269">
        <v>0</v>
      </c>
      <c r="T2269">
        <v>0</v>
      </c>
      <c r="U2269">
        <v>0</v>
      </c>
      <c r="W2269" t="s">
        <v>62</v>
      </c>
    </row>
    <row r="2270" spans="1:45" x14ac:dyDescent="0.35">
      <c r="A2270" t="s">
        <v>45</v>
      </c>
      <c r="B2270" t="s">
        <v>5100</v>
      </c>
      <c r="C2270" t="s">
        <v>58</v>
      </c>
      <c r="D2270" t="s">
        <v>1068</v>
      </c>
      <c r="E2270" t="s">
        <v>1068</v>
      </c>
      <c r="F2270" t="s">
        <v>49</v>
      </c>
      <c r="G2270" t="s">
        <v>5119</v>
      </c>
      <c r="H2270" t="s">
        <v>5120</v>
      </c>
      <c r="J2270" t="str">
        <f>HYPERLINK("https://www.youtube.com/watch?v=qQpsYv62Bqg","https://www.youtube.com/watch?v=qQpsYv62Bqg")</f>
        <v>https://www.youtube.com/watch?v=qQpsYv62Bqg</v>
      </c>
      <c r="O2270">
        <v>0</v>
      </c>
      <c r="P2270">
        <v>0</v>
      </c>
      <c r="Q2270">
        <v>0</v>
      </c>
      <c r="S2270">
        <v>0</v>
      </c>
      <c r="T2270">
        <v>0</v>
      </c>
      <c r="U2270">
        <v>0</v>
      </c>
      <c r="W2270" t="s">
        <v>106</v>
      </c>
    </row>
    <row r="2271" spans="1:45" x14ac:dyDescent="0.35">
      <c r="A2271" t="s">
        <v>45</v>
      </c>
      <c r="B2271" t="s">
        <v>5100</v>
      </c>
      <c r="C2271" t="s">
        <v>47</v>
      </c>
      <c r="D2271" t="s">
        <v>5121</v>
      </c>
      <c r="E2271" t="s">
        <v>5121</v>
      </c>
      <c r="F2271" t="s">
        <v>49</v>
      </c>
      <c r="G2271" t="s">
        <v>5122</v>
      </c>
      <c r="H2271" t="s">
        <v>5123</v>
      </c>
      <c r="J2271" t="str">
        <f>HYPERLINK("https://www.facebook.com/357267201017935/inbox/7043403679070887/","https://www.facebook.com/357267201017935/inbox/7043403679070887/")</f>
        <v>https://www.facebook.com/357267201017935/inbox/7043403679070887/</v>
      </c>
      <c r="O2271">
        <v>0</v>
      </c>
      <c r="P2271">
        <v>0</v>
      </c>
      <c r="Q2271">
        <v>0</v>
      </c>
      <c r="S2271">
        <v>0</v>
      </c>
      <c r="T2271">
        <v>0</v>
      </c>
      <c r="U2271">
        <v>0</v>
      </c>
      <c r="W2271" t="s">
        <v>52</v>
      </c>
      <c r="Y2271" t="s">
        <v>5124</v>
      </c>
      <c r="Z2271" t="s">
        <v>613</v>
      </c>
      <c r="AA2271" t="s">
        <v>614</v>
      </c>
    </row>
    <row r="2272" spans="1:45" x14ac:dyDescent="0.35">
      <c r="A2272" t="s">
        <v>45</v>
      </c>
      <c r="B2272" t="s">
        <v>5100</v>
      </c>
      <c r="C2272" t="s">
        <v>58</v>
      </c>
      <c r="D2272" t="s">
        <v>5125</v>
      </c>
      <c r="E2272" t="s">
        <v>5125</v>
      </c>
      <c r="F2272" t="s">
        <v>142</v>
      </c>
      <c r="G2272" t="s">
        <v>5126</v>
      </c>
      <c r="H2272" t="s">
        <v>5127</v>
      </c>
      <c r="J2272" t="str">
        <f>HYPERLINK("https://www.youtube.com/watch?v=uO0S8CqbvYA","https://www.youtube.com/watch?v=uO0S8CqbvYA")</f>
        <v>https://www.youtube.com/watch?v=uO0S8CqbvYA</v>
      </c>
      <c r="O2272">
        <v>0</v>
      </c>
      <c r="P2272">
        <v>0</v>
      </c>
      <c r="Q2272">
        <v>0</v>
      </c>
      <c r="S2272">
        <v>0</v>
      </c>
      <c r="T2272">
        <v>0</v>
      </c>
      <c r="U2272">
        <v>0</v>
      </c>
      <c r="W2272" t="s">
        <v>106</v>
      </c>
      <c r="AP2272" t="s">
        <v>94</v>
      </c>
    </row>
    <row r="2273" spans="1:45" x14ac:dyDescent="0.35">
      <c r="A2273" t="s">
        <v>45</v>
      </c>
      <c r="B2273" t="s">
        <v>5100</v>
      </c>
      <c r="C2273" t="s">
        <v>47</v>
      </c>
      <c r="D2273" t="s">
        <v>45</v>
      </c>
      <c r="E2273" t="s">
        <v>45</v>
      </c>
      <c r="F2273" t="s">
        <v>49</v>
      </c>
      <c r="G2273" t="s">
        <v>5128</v>
      </c>
      <c r="H2273" t="s">
        <v>5129</v>
      </c>
      <c r="J2273" t="str">
        <f>HYPERLINK("https://www.facebook.com/357267201017935/inbox/7040456802698908/","https://www.facebook.com/357267201017935/inbox/7040456802698908/")</f>
        <v>https://www.facebook.com/357267201017935/inbox/7040456802698908/</v>
      </c>
      <c r="O2273">
        <v>0</v>
      </c>
      <c r="P2273">
        <v>0</v>
      </c>
      <c r="Q2273">
        <v>0</v>
      </c>
      <c r="S2273">
        <v>0</v>
      </c>
      <c r="T2273">
        <v>0</v>
      </c>
      <c r="U2273">
        <v>0</v>
      </c>
      <c r="W2273" t="s">
        <v>52</v>
      </c>
      <c r="AP2273" t="s">
        <v>94</v>
      </c>
    </row>
    <row r="2274" spans="1:45" x14ac:dyDescent="0.35">
      <c r="A2274" t="s">
        <v>45</v>
      </c>
      <c r="B2274" t="s">
        <v>5100</v>
      </c>
      <c r="C2274" t="s">
        <v>47</v>
      </c>
      <c r="D2274" t="s">
        <v>45</v>
      </c>
      <c r="E2274" t="s">
        <v>45</v>
      </c>
      <c r="F2274" t="s">
        <v>49</v>
      </c>
      <c r="G2274" t="s">
        <v>5130</v>
      </c>
      <c r="H2274" t="s">
        <v>5131</v>
      </c>
      <c r="J2274" t="str">
        <f>HYPERLINK("https://www.facebook.com/357267201017935/inbox/7042850965792825/","https://www.facebook.com/357267201017935/inbox/7042850965792825/")</f>
        <v>https://www.facebook.com/357267201017935/inbox/7042850965792825/</v>
      </c>
      <c r="O2274">
        <v>0</v>
      </c>
      <c r="P2274">
        <v>0</v>
      </c>
      <c r="Q2274">
        <v>0</v>
      </c>
      <c r="S2274">
        <v>0</v>
      </c>
      <c r="T2274">
        <v>0</v>
      </c>
      <c r="U2274">
        <v>0</v>
      </c>
      <c r="W2274" t="s">
        <v>52</v>
      </c>
    </row>
    <row r="2275" spans="1:45" x14ac:dyDescent="0.35">
      <c r="A2275" t="s">
        <v>45</v>
      </c>
      <c r="B2275" t="s">
        <v>5100</v>
      </c>
      <c r="C2275" t="s">
        <v>47</v>
      </c>
      <c r="D2275" t="s">
        <v>45</v>
      </c>
      <c r="E2275" t="s">
        <v>45</v>
      </c>
      <c r="F2275" t="s">
        <v>49</v>
      </c>
      <c r="G2275" t="s">
        <v>3989</v>
      </c>
      <c r="H2275" t="s">
        <v>5132</v>
      </c>
      <c r="J2275" t="str">
        <f>HYPERLINK("https://www.facebook.com/454965103328545/posts/768116778680041?comment_id=691841086496285&amp;reply_comment_id=2206118259733480","https://www.facebook.com/454965103328545/posts/768116778680041?comment_id=691841086496285&amp;reply_comment_id=2206118259733480")</f>
        <v>https://www.facebook.com/454965103328545/posts/768116778680041?comment_id=691841086496285&amp;reply_comment_id=2206118259733480</v>
      </c>
      <c r="O2275">
        <v>0</v>
      </c>
      <c r="P2275">
        <v>0</v>
      </c>
      <c r="Q2275">
        <v>0</v>
      </c>
      <c r="S2275">
        <v>0</v>
      </c>
      <c r="T2275">
        <v>0</v>
      </c>
      <c r="U2275">
        <v>0</v>
      </c>
      <c r="W2275" t="s">
        <v>62</v>
      </c>
    </row>
    <row r="2276" spans="1:45" x14ac:dyDescent="0.35">
      <c r="A2276" t="s">
        <v>45</v>
      </c>
      <c r="B2276" t="s">
        <v>5100</v>
      </c>
      <c r="C2276" t="s">
        <v>47</v>
      </c>
      <c r="D2276" t="s">
        <v>45</v>
      </c>
      <c r="E2276" t="s">
        <v>45</v>
      </c>
      <c r="F2276" t="s">
        <v>49</v>
      </c>
      <c r="G2276" t="s">
        <v>5133</v>
      </c>
      <c r="H2276" t="s">
        <v>5134</v>
      </c>
      <c r="J2276" t="str">
        <f>HYPERLINK("https://www.facebook.com/357267201017935/inbox/7032249133519675/","https://www.facebook.com/357267201017935/inbox/7032249133519675/")</f>
        <v>https://www.facebook.com/357267201017935/inbox/7032249133519675/</v>
      </c>
      <c r="O2276">
        <v>0</v>
      </c>
      <c r="P2276">
        <v>0</v>
      </c>
      <c r="Q2276">
        <v>0</v>
      </c>
      <c r="S2276">
        <v>0</v>
      </c>
      <c r="T2276">
        <v>0</v>
      </c>
      <c r="U2276">
        <v>0</v>
      </c>
      <c r="W2276" t="s">
        <v>52</v>
      </c>
    </row>
    <row r="2277" spans="1:45" x14ac:dyDescent="0.35">
      <c r="A2277" t="s">
        <v>45</v>
      </c>
      <c r="B2277" t="s">
        <v>5100</v>
      </c>
      <c r="C2277" t="s">
        <v>47</v>
      </c>
      <c r="D2277" t="s">
        <v>45</v>
      </c>
      <c r="E2277" t="s">
        <v>45</v>
      </c>
      <c r="F2277" t="s">
        <v>49</v>
      </c>
      <c r="G2277" t="s">
        <v>5135</v>
      </c>
      <c r="H2277" t="s">
        <v>5136</v>
      </c>
      <c r="J2277" t="str">
        <f>HYPERLINK("https://www.facebook.com/357267201017935/inbox/7043403679070887/","https://www.facebook.com/357267201017935/inbox/7043403679070887/")</f>
        <v>https://www.facebook.com/357267201017935/inbox/7043403679070887/</v>
      </c>
      <c r="O2277">
        <v>0</v>
      </c>
      <c r="P2277">
        <v>0</v>
      </c>
      <c r="Q2277">
        <v>0</v>
      </c>
      <c r="S2277">
        <v>0</v>
      </c>
      <c r="T2277">
        <v>0</v>
      </c>
      <c r="U2277">
        <v>0</v>
      </c>
      <c r="W2277" t="s">
        <v>52</v>
      </c>
    </row>
    <row r="2278" spans="1:45" x14ac:dyDescent="0.35">
      <c r="A2278" t="s">
        <v>45</v>
      </c>
      <c r="B2278" t="s">
        <v>5100</v>
      </c>
      <c r="C2278" t="s">
        <v>47</v>
      </c>
      <c r="D2278" t="s">
        <v>45</v>
      </c>
      <c r="E2278" t="s">
        <v>45</v>
      </c>
      <c r="F2278" t="s">
        <v>49</v>
      </c>
      <c r="G2278" t="s">
        <v>5137</v>
      </c>
      <c r="H2278" t="s">
        <v>5138</v>
      </c>
      <c r="J2278" t="str">
        <f>HYPERLINK("https://www.facebook.com/357267201017935/inbox/7043542442390344/","https://www.facebook.com/357267201017935/inbox/7043542442390344/")</f>
        <v>https://www.facebook.com/357267201017935/inbox/7043542442390344/</v>
      </c>
      <c r="O2278">
        <v>0</v>
      </c>
      <c r="P2278">
        <v>0</v>
      </c>
      <c r="Q2278">
        <v>0</v>
      </c>
      <c r="S2278">
        <v>0</v>
      </c>
      <c r="T2278">
        <v>0</v>
      </c>
      <c r="U2278">
        <v>0</v>
      </c>
      <c r="W2278" t="s">
        <v>52</v>
      </c>
    </row>
    <row r="2279" spans="1:45" x14ac:dyDescent="0.35">
      <c r="A2279" t="s">
        <v>45</v>
      </c>
      <c r="B2279" t="s">
        <v>5100</v>
      </c>
      <c r="C2279" t="s">
        <v>47</v>
      </c>
      <c r="D2279" t="s">
        <v>45</v>
      </c>
      <c r="E2279" t="s">
        <v>45</v>
      </c>
      <c r="F2279" t="s">
        <v>49</v>
      </c>
      <c r="G2279" t="s">
        <v>3754</v>
      </c>
      <c r="H2279" t="s">
        <v>5139</v>
      </c>
      <c r="J2279" t="str">
        <f>HYPERLINK("https://www.facebook.com/454965103328545/posts/768116778680041?comment_id=1350316936366668&amp;reply_comment_id=384775864164063","https://www.facebook.com/454965103328545/posts/768116778680041?comment_id=1350316936366668&amp;reply_comment_id=384775864164063")</f>
        <v>https://www.facebook.com/454965103328545/posts/768116778680041?comment_id=1350316936366668&amp;reply_comment_id=384775864164063</v>
      </c>
      <c r="O2279">
        <v>0</v>
      </c>
      <c r="P2279">
        <v>0</v>
      </c>
      <c r="Q2279">
        <v>0</v>
      </c>
      <c r="S2279">
        <v>0</v>
      </c>
      <c r="T2279">
        <v>0</v>
      </c>
      <c r="U2279">
        <v>0</v>
      </c>
      <c r="W2279" t="s">
        <v>62</v>
      </c>
    </row>
    <row r="2280" spans="1:45" x14ac:dyDescent="0.35">
      <c r="A2280" t="s">
        <v>45</v>
      </c>
      <c r="B2280" t="s">
        <v>5100</v>
      </c>
      <c r="C2280" t="s">
        <v>58</v>
      </c>
      <c r="D2280" t="s">
        <v>5140</v>
      </c>
      <c r="E2280" t="s">
        <v>5140</v>
      </c>
      <c r="F2280" t="s">
        <v>49</v>
      </c>
      <c r="G2280" t="s">
        <v>5141</v>
      </c>
      <c r="H2280" t="s">
        <v>5142</v>
      </c>
      <c r="J2280" t="str">
        <f>HYPERLINK("https://www.youtube.com/watch?v=rZAd0UnxMQA","https://www.youtube.com/watch?v=rZAd0UnxMQA")</f>
        <v>https://www.youtube.com/watch?v=rZAd0UnxMQA</v>
      </c>
      <c r="O2280">
        <v>0</v>
      </c>
      <c r="P2280">
        <v>0</v>
      </c>
      <c r="Q2280">
        <v>0</v>
      </c>
      <c r="S2280">
        <v>0</v>
      </c>
      <c r="T2280">
        <v>0</v>
      </c>
      <c r="U2280">
        <v>0</v>
      </c>
      <c r="W2280" t="s">
        <v>106</v>
      </c>
    </row>
    <row r="2281" spans="1:45" x14ac:dyDescent="0.35">
      <c r="A2281" t="s">
        <v>45</v>
      </c>
      <c r="B2281" t="s">
        <v>5100</v>
      </c>
      <c r="C2281" t="s">
        <v>63</v>
      </c>
      <c r="D2281" t="s">
        <v>5143</v>
      </c>
      <c r="E2281" t="s">
        <v>5143</v>
      </c>
      <c r="F2281" t="s">
        <v>142</v>
      </c>
      <c r="G2281" t="s">
        <v>5144</v>
      </c>
      <c r="H2281" t="s">
        <v>5145</v>
      </c>
      <c r="J2281" t="str">
        <f>HYPERLINK("https://www.instagram.com/reel/C3mpWdIymU4/","https://www.instagram.com/reel/C3mpWdIymU4/")</f>
        <v>https://www.instagram.com/reel/C3mpWdIymU4/</v>
      </c>
      <c r="O2281">
        <v>0</v>
      </c>
      <c r="P2281">
        <v>0</v>
      </c>
      <c r="Q2281">
        <v>0</v>
      </c>
      <c r="S2281">
        <v>0</v>
      </c>
      <c r="T2281">
        <v>0</v>
      </c>
      <c r="U2281">
        <v>0</v>
      </c>
      <c r="W2281" t="s">
        <v>106</v>
      </c>
    </row>
    <row r="2282" spans="1:45" x14ac:dyDescent="0.35">
      <c r="A2282" t="s">
        <v>45</v>
      </c>
      <c r="B2282" t="s">
        <v>5100</v>
      </c>
      <c r="C2282" t="s">
        <v>47</v>
      </c>
      <c r="D2282" t="s">
        <v>45</v>
      </c>
      <c r="E2282" t="s">
        <v>45</v>
      </c>
      <c r="F2282" t="s">
        <v>49</v>
      </c>
      <c r="G2282" t="s">
        <v>5146</v>
      </c>
      <c r="H2282" t="s">
        <v>5147</v>
      </c>
      <c r="J2282" t="str">
        <f>HYPERLINK("https://www.facebook.com/357267201017935/inbox/7046451735432748/","https://www.facebook.com/357267201017935/inbox/7046451735432748/")</f>
        <v>https://www.facebook.com/357267201017935/inbox/7046451735432748/</v>
      </c>
      <c r="O2282">
        <v>0</v>
      </c>
      <c r="P2282">
        <v>0</v>
      </c>
      <c r="Q2282">
        <v>0</v>
      </c>
      <c r="S2282">
        <v>0</v>
      </c>
      <c r="T2282">
        <v>0</v>
      </c>
      <c r="U2282">
        <v>0</v>
      </c>
      <c r="W2282" t="s">
        <v>52</v>
      </c>
    </row>
    <row r="2283" spans="1:45" x14ac:dyDescent="0.35">
      <c r="A2283" t="s">
        <v>45</v>
      </c>
      <c r="B2283" t="s">
        <v>5100</v>
      </c>
      <c r="C2283" t="s">
        <v>139</v>
      </c>
      <c r="D2283" t="s">
        <v>190</v>
      </c>
      <c r="E2283" t="s">
        <v>45</v>
      </c>
      <c r="F2283" t="s">
        <v>49</v>
      </c>
      <c r="G2283" t="s">
        <v>5148</v>
      </c>
      <c r="H2283" t="s">
        <v>5149</v>
      </c>
      <c r="J2283" t="str">
        <f>HYPERLINK("https://twitter.com/FinoPaymntsBank/status/1760233447195660308","https://twitter.com/FinoPaymntsBank/status/1760233447195660308")</f>
        <v>https://twitter.com/FinoPaymntsBank/status/1760233447195660308</v>
      </c>
      <c r="K2283" t="s">
        <v>145</v>
      </c>
      <c r="O2283">
        <v>0</v>
      </c>
      <c r="P2283">
        <v>0</v>
      </c>
      <c r="Q2283">
        <v>8388</v>
      </c>
      <c r="R2283" t="s">
        <v>193</v>
      </c>
      <c r="S2283">
        <v>0</v>
      </c>
      <c r="T2283">
        <v>0</v>
      </c>
      <c r="U2283">
        <v>0</v>
      </c>
      <c r="W2283" t="s">
        <v>146</v>
      </c>
    </row>
    <row r="2284" spans="1:45" x14ac:dyDescent="0.35">
      <c r="A2284" t="s">
        <v>45</v>
      </c>
      <c r="B2284" t="s">
        <v>5100</v>
      </c>
      <c r="C2284" t="s">
        <v>139</v>
      </c>
      <c r="D2284" t="s">
        <v>190</v>
      </c>
      <c r="E2284" t="s">
        <v>45</v>
      </c>
      <c r="F2284" t="s">
        <v>49</v>
      </c>
      <c r="G2284" t="s">
        <v>5150</v>
      </c>
      <c r="H2284" t="s">
        <v>5151</v>
      </c>
      <c r="J2284" t="str">
        <f>HYPERLINK("https://twitter.com/FinoPaymntsBank/status/1760233150616313974","https://twitter.com/FinoPaymntsBank/status/1760233150616313974")</f>
        <v>https://twitter.com/FinoPaymntsBank/status/1760233150616313974</v>
      </c>
      <c r="K2284" t="s">
        <v>145</v>
      </c>
      <c r="O2284">
        <v>0</v>
      </c>
      <c r="P2284">
        <v>0</v>
      </c>
      <c r="Q2284">
        <v>8388</v>
      </c>
      <c r="R2284" t="s">
        <v>193</v>
      </c>
      <c r="S2284">
        <v>0</v>
      </c>
      <c r="T2284">
        <v>0</v>
      </c>
      <c r="U2284">
        <v>0</v>
      </c>
      <c r="W2284" t="s">
        <v>146</v>
      </c>
    </row>
    <row r="2285" spans="1:45" x14ac:dyDescent="0.35">
      <c r="A2285" t="s">
        <v>45</v>
      </c>
      <c r="B2285" t="s">
        <v>5100</v>
      </c>
      <c r="C2285" t="s">
        <v>58</v>
      </c>
      <c r="D2285" t="s">
        <v>4389</v>
      </c>
      <c r="E2285" t="s">
        <v>4389</v>
      </c>
      <c r="F2285" t="s">
        <v>49</v>
      </c>
      <c r="G2285" t="s">
        <v>5152</v>
      </c>
      <c r="H2285" t="s">
        <v>5153</v>
      </c>
      <c r="J2285" t="str">
        <f>HYPERLINK("https://www.youtube.com/watch?v=chwwqoD-_mU","https://www.youtube.com/watch?v=chwwqoD-_mU")</f>
        <v>https://www.youtube.com/watch?v=chwwqoD-_mU</v>
      </c>
      <c r="O2285">
        <v>0</v>
      </c>
      <c r="P2285">
        <v>0</v>
      </c>
      <c r="Q2285">
        <v>0</v>
      </c>
      <c r="S2285">
        <v>0</v>
      </c>
      <c r="T2285">
        <v>0</v>
      </c>
      <c r="U2285">
        <v>0</v>
      </c>
      <c r="W2285" t="s">
        <v>106</v>
      </c>
    </row>
    <row r="2286" spans="1:45" x14ac:dyDescent="0.35">
      <c r="A2286" t="s">
        <v>45</v>
      </c>
      <c r="B2286" t="s">
        <v>5100</v>
      </c>
      <c r="C2286" t="s">
        <v>102</v>
      </c>
      <c r="D2286" t="s">
        <v>965</v>
      </c>
      <c r="E2286" t="s">
        <v>965</v>
      </c>
      <c r="F2286" t="s">
        <v>49</v>
      </c>
      <c r="G2286" t="s">
        <v>5154</v>
      </c>
      <c r="H2286" t="s">
        <v>5155</v>
      </c>
      <c r="J2286" t="str">
        <f>HYPERLINK("https://www.linkedin.com/feed/update/urn:li:share:7165978484870135808","https://www.linkedin.com/feed/update/urn:li:share:7165978484870135808")</f>
        <v>https://www.linkedin.com/feed/update/urn:li:share:7165978484870135808</v>
      </c>
      <c r="O2286">
        <v>0</v>
      </c>
      <c r="P2286">
        <v>0</v>
      </c>
      <c r="Q2286">
        <v>0</v>
      </c>
      <c r="S2286">
        <v>2</v>
      </c>
      <c r="T2286">
        <v>116</v>
      </c>
      <c r="U2286">
        <v>0</v>
      </c>
      <c r="W2286" t="s">
        <v>106</v>
      </c>
    </row>
    <row r="2287" spans="1:45" x14ac:dyDescent="0.35">
      <c r="A2287" t="s">
        <v>45</v>
      </c>
      <c r="B2287" t="s">
        <v>5100</v>
      </c>
      <c r="C2287" t="s">
        <v>47</v>
      </c>
      <c r="D2287" t="s">
        <v>1954</v>
      </c>
      <c r="E2287" t="s">
        <v>1954</v>
      </c>
      <c r="F2287" t="s">
        <v>49</v>
      </c>
      <c r="G2287" t="s">
        <v>5156</v>
      </c>
      <c r="H2287" t="s">
        <v>5157</v>
      </c>
      <c r="J2287" t="str">
        <f>HYPERLINK("https://www.facebook.com/454965103328545/posts/773139534844432?comment_id=409898861779136","https://www.facebook.com/454965103328545/posts/773139534844432?comment_id=409898861779136")</f>
        <v>https://www.facebook.com/454965103328545/posts/773139534844432?comment_id=409898861779136</v>
      </c>
      <c r="O2287">
        <v>0</v>
      </c>
      <c r="P2287">
        <v>0</v>
      </c>
      <c r="Q2287">
        <v>0</v>
      </c>
      <c r="S2287">
        <v>0</v>
      </c>
      <c r="T2287">
        <v>0</v>
      </c>
      <c r="U2287">
        <v>0</v>
      </c>
      <c r="W2287" t="s">
        <v>62</v>
      </c>
      <c r="AS2287" t="s">
        <v>375</v>
      </c>
    </row>
    <row r="2288" spans="1:45" x14ac:dyDescent="0.35">
      <c r="A2288" t="s">
        <v>45</v>
      </c>
      <c r="B2288" t="s">
        <v>5100</v>
      </c>
      <c r="C2288" t="s">
        <v>139</v>
      </c>
      <c r="D2288" t="s">
        <v>190</v>
      </c>
      <c r="E2288" t="s">
        <v>45</v>
      </c>
      <c r="F2288" t="s">
        <v>49</v>
      </c>
      <c r="G2288" t="s">
        <v>5158</v>
      </c>
      <c r="H2288" t="s">
        <v>5159</v>
      </c>
      <c r="J2288" t="str">
        <f>HYPERLINK("https://twitter.com/FinoPaymntsBank/status/1760212762578555238","https://twitter.com/FinoPaymntsBank/status/1760212762578555238")</f>
        <v>https://twitter.com/FinoPaymntsBank/status/1760212762578555238</v>
      </c>
      <c r="K2288" t="s">
        <v>145</v>
      </c>
      <c r="O2288">
        <v>0</v>
      </c>
      <c r="P2288">
        <v>0</v>
      </c>
      <c r="Q2288">
        <v>8388</v>
      </c>
      <c r="R2288" t="s">
        <v>193</v>
      </c>
      <c r="S2288">
        <v>0</v>
      </c>
      <c r="T2288">
        <v>0</v>
      </c>
      <c r="U2288">
        <v>0</v>
      </c>
      <c r="W2288" t="s">
        <v>146</v>
      </c>
    </row>
    <row r="2289" spans="1:45" x14ac:dyDescent="0.35">
      <c r="A2289" t="s">
        <v>45</v>
      </c>
      <c r="B2289" t="s">
        <v>5100</v>
      </c>
      <c r="C2289" t="s">
        <v>47</v>
      </c>
      <c r="D2289" t="s">
        <v>5160</v>
      </c>
      <c r="E2289" t="s">
        <v>5160</v>
      </c>
      <c r="F2289" t="s">
        <v>49</v>
      </c>
      <c r="G2289" t="s">
        <v>5161</v>
      </c>
      <c r="H2289" t="s">
        <v>5162</v>
      </c>
      <c r="J2289" t="str">
        <f>HYPERLINK("https://www.facebook.com/454965103328545/posts/768116778680041?comment_id=1350316936366668&amp;reply_comment_id=315355537758574","https://www.facebook.com/454965103328545/posts/768116778680041?comment_id=1350316936366668&amp;reply_comment_id=315355537758574")</f>
        <v>https://www.facebook.com/454965103328545/posts/768116778680041?comment_id=1350316936366668&amp;reply_comment_id=315355537758574</v>
      </c>
      <c r="O2289">
        <v>0</v>
      </c>
      <c r="P2289">
        <v>0</v>
      </c>
      <c r="Q2289">
        <v>0</v>
      </c>
      <c r="S2289">
        <v>0</v>
      </c>
      <c r="T2289">
        <v>0</v>
      </c>
      <c r="U2289">
        <v>0</v>
      </c>
      <c r="W2289" t="s">
        <v>62</v>
      </c>
    </row>
    <row r="2290" spans="1:45" x14ac:dyDescent="0.35">
      <c r="A2290" t="s">
        <v>45</v>
      </c>
      <c r="B2290" t="s">
        <v>5100</v>
      </c>
      <c r="C2290" t="s">
        <v>47</v>
      </c>
      <c r="D2290" t="s">
        <v>5160</v>
      </c>
      <c r="E2290" t="s">
        <v>5160</v>
      </c>
      <c r="F2290" t="s">
        <v>49</v>
      </c>
      <c r="G2290" t="s">
        <v>5163</v>
      </c>
      <c r="H2290" t="s">
        <v>5164</v>
      </c>
      <c r="J2290" t="str">
        <f>HYPERLINK("https://www.facebook.com/454965103328545/posts/773103518181367?comment_id=3415591585398622&amp;reply_comment_id=1088445065803875","https://www.facebook.com/454965103328545/posts/773103518181367?comment_id=3415591585398622&amp;reply_comment_id=1088445065803875")</f>
        <v>https://www.facebook.com/454965103328545/posts/773103518181367?comment_id=3415591585398622&amp;reply_comment_id=1088445065803875</v>
      </c>
      <c r="O2290">
        <v>0</v>
      </c>
      <c r="P2290">
        <v>0</v>
      </c>
      <c r="Q2290">
        <v>0</v>
      </c>
      <c r="S2290">
        <v>0</v>
      </c>
      <c r="T2290">
        <v>0</v>
      </c>
      <c r="U2290">
        <v>0</v>
      </c>
      <c r="W2290" t="s">
        <v>62</v>
      </c>
    </row>
    <row r="2291" spans="1:45" x14ac:dyDescent="0.35">
      <c r="A2291" t="s">
        <v>45</v>
      </c>
      <c r="B2291" t="s">
        <v>5100</v>
      </c>
      <c r="C2291" t="s">
        <v>47</v>
      </c>
      <c r="D2291" t="s">
        <v>5160</v>
      </c>
      <c r="E2291" t="s">
        <v>5160</v>
      </c>
      <c r="F2291" t="s">
        <v>49</v>
      </c>
      <c r="G2291" t="s">
        <v>5165</v>
      </c>
      <c r="H2291" t="s">
        <v>5166</v>
      </c>
      <c r="J2291" t="str">
        <f>HYPERLINK("https://www.facebook.com/454965103328545/posts/775405614617824?comment_id=900504191557619&amp;reply_comment_id=703112288377897","https://www.facebook.com/454965103328545/posts/775405614617824?comment_id=900504191557619&amp;reply_comment_id=703112288377897")</f>
        <v>https://www.facebook.com/454965103328545/posts/775405614617824?comment_id=900504191557619&amp;reply_comment_id=703112288377897</v>
      </c>
      <c r="O2291">
        <v>0</v>
      </c>
      <c r="P2291">
        <v>0</v>
      </c>
      <c r="Q2291">
        <v>0</v>
      </c>
      <c r="S2291">
        <v>0</v>
      </c>
      <c r="T2291">
        <v>0</v>
      </c>
      <c r="U2291">
        <v>0</v>
      </c>
      <c r="W2291" t="s">
        <v>62</v>
      </c>
    </row>
    <row r="2292" spans="1:45" x14ac:dyDescent="0.35">
      <c r="A2292" t="s">
        <v>45</v>
      </c>
      <c r="B2292" t="s">
        <v>5100</v>
      </c>
      <c r="C2292" t="s">
        <v>47</v>
      </c>
      <c r="D2292" t="s">
        <v>5160</v>
      </c>
      <c r="E2292" t="s">
        <v>5160</v>
      </c>
      <c r="F2292" t="s">
        <v>49</v>
      </c>
      <c r="G2292" t="s">
        <v>5167</v>
      </c>
      <c r="H2292" t="s">
        <v>5168</v>
      </c>
      <c r="J2292" t="str">
        <f>HYPERLINK("https://www.facebook.com/454965103328545/posts/775405614617824?comment_id=1380146489309203&amp;reply_comment_id=2424927811023724","https://www.facebook.com/454965103328545/posts/775405614617824?comment_id=1380146489309203&amp;reply_comment_id=2424927811023724")</f>
        <v>https://www.facebook.com/454965103328545/posts/775405614617824?comment_id=1380146489309203&amp;reply_comment_id=2424927811023724</v>
      </c>
      <c r="O2292">
        <v>0</v>
      </c>
      <c r="P2292">
        <v>0</v>
      </c>
      <c r="Q2292">
        <v>0</v>
      </c>
      <c r="S2292">
        <v>0</v>
      </c>
      <c r="T2292">
        <v>0</v>
      </c>
      <c r="U2292">
        <v>0</v>
      </c>
      <c r="W2292" t="s">
        <v>62</v>
      </c>
    </row>
    <row r="2293" spans="1:45" x14ac:dyDescent="0.35">
      <c r="A2293" t="s">
        <v>45</v>
      </c>
      <c r="B2293" t="s">
        <v>5100</v>
      </c>
      <c r="C2293" t="s">
        <v>47</v>
      </c>
      <c r="D2293" t="s">
        <v>45</v>
      </c>
      <c r="E2293" t="s">
        <v>45</v>
      </c>
      <c r="F2293" t="s">
        <v>49</v>
      </c>
      <c r="G2293" t="s">
        <v>5169</v>
      </c>
      <c r="H2293" t="s">
        <v>5170</v>
      </c>
      <c r="J2293" t="str">
        <f>HYPERLINK("https://www.facebook.com/454965103328545/posts/755944923230560?comment_id=1541924386731950&amp;reply_comment_id=1051157242844604","https://www.facebook.com/454965103328545/posts/755944923230560?comment_id=1541924386731950&amp;reply_comment_id=1051157242844604")</f>
        <v>https://www.facebook.com/454965103328545/posts/755944923230560?comment_id=1541924386731950&amp;reply_comment_id=1051157242844604</v>
      </c>
      <c r="O2293">
        <v>0</v>
      </c>
      <c r="P2293">
        <v>0</v>
      </c>
      <c r="Q2293">
        <v>0</v>
      </c>
      <c r="S2293">
        <v>0</v>
      </c>
      <c r="T2293">
        <v>0</v>
      </c>
      <c r="U2293">
        <v>0</v>
      </c>
      <c r="W2293" t="s">
        <v>62</v>
      </c>
    </row>
    <row r="2294" spans="1:45" x14ac:dyDescent="0.35">
      <c r="A2294" t="s">
        <v>45</v>
      </c>
      <c r="B2294" t="s">
        <v>5100</v>
      </c>
      <c r="C2294" t="s">
        <v>47</v>
      </c>
      <c r="D2294" t="s">
        <v>45</v>
      </c>
      <c r="E2294" t="s">
        <v>45</v>
      </c>
      <c r="F2294" t="s">
        <v>49</v>
      </c>
      <c r="G2294" t="s">
        <v>5171</v>
      </c>
      <c r="H2294" t="s">
        <v>5172</v>
      </c>
      <c r="J2294" t="str">
        <f>HYPERLINK("https://www.facebook.com/357267201017935/posts/3069910089753619/?comment_id=369033289323484&amp;reply_comment_id=694218646260096","https://www.facebook.com/357267201017935/posts/3069910089753619/?comment_id=369033289323484&amp;reply_comment_id=694218646260096")</f>
        <v>https://www.facebook.com/357267201017935/posts/3069910089753619/?comment_id=369033289323484&amp;reply_comment_id=694218646260096</v>
      </c>
      <c r="O2294">
        <v>0</v>
      </c>
      <c r="P2294">
        <v>0</v>
      </c>
      <c r="Q2294">
        <v>0</v>
      </c>
      <c r="S2294">
        <v>0</v>
      </c>
      <c r="T2294">
        <v>0</v>
      </c>
      <c r="U2294">
        <v>0</v>
      </c>
      <c r="W2294" t="s">
        <v>62</v>
      </c>
    </row>
    <row r="2295" spans="1:45" x14ac:dyDescent="0.35">
      <c r="A2295" t="s">
        <v>45</v>
      </c>
      <c r="B2295" t="s">
        <v>5100</v>
      </c>
      <c r="C2295" t="s">
        <v>47</v>
      </c>
      <c r="D2295" t="s">
        <v>45</v>
      </c>
      <c r="E2295" t="s">
        <v>45</v>
      </c>
      <c r="F2295" t="s">
        <v>49</v>
      </c>
      <c r="G2295" t="s">
        <v>5173</v>
      </c>
      <c r="H2295" t="s">
        <v>5174</v>
      </c>
      <c r="J2295" t="str">
        <f>HYPERLINK("https://www.facebook.com/454965103328545/posts/773139534844432?comment_id=1062564761625156&amp;reply_comment_id=3713014925609604","https://www.facebook.com/454965103328545/posts/773139534844432?comment_id=1062564761625156&amp;reply_comment_id=3713014925609604")</f>
        <v>https://www.facebook.com/454965103328545/posts/773139534844432?comment_id=1062564761625156&amp;reply_comment_id=3713014925609604</v>
      </c>
      <c r="O2295">
        <v>0</v>
      </c>
      <c r="P2295">
        <v>0</v>
      </c>
      <c r="Q2295">
        <v>0</v>
      </c>
      <c r="S2295">
        <v>0</v>
      </c>
      <c r="T2295">
        <v>0</v>
      </c>
      <c r="U2295">
        <v>0</v>
      </c>
      <c r="W2295" t="s">
        <v>62</v>
      </c>
    </row>
    <row r="2296" spans="1:45" x14ac:dyDescent="0.35">
      <c r="A2296" t="s">
        <v>45</v>
      </c>
      <c r="B2296" t="s">
        <v>5100</v>
      </c>
      <c r="C2296" t="s">
        <v>63</v>
      </c>
      <c r="D2296" t="s">
        <v>186</v>
      </c>
      <c r="E2296" t="s">
        <v>186</v>
      </c>
      <c r="F2296" t="s">
        <v>49</v>
      </c>
      <c r="G2296" t="s">
        <v>5072</v>
      </c>
      <c r="H2296" t="s">
        <v>5175</v>
      </c>
      <c r="J2296" t="str">
        <f>HYPERLINK("https://www.instagram.com/p/C3kg9GTvYTr/","https://www.instagram.com/p/C3kg9GTvYTr/")</f>
        <v>https://www.instagram.com/p/C3kg9GTvYTr/</v>
      </c>
      <c r="O2296">
        <v>0</v>
      </c>
      <c r="P2296">
        <v>0</v>
      </c>
      <c r="Q2296">
        <v>0</v>
      </c>
      <c r="S2296">
        <v>0</v>
      </c>
      <c r="T2296">
        <v>0</v>
      </c>
      <c r="U2296">
        <v>0</v>
      </c>
      <c r="W2296" t="s">
        <v>62</v>
      </c>
    </row>
    <row r="2297" spans="1:45" x14ac:dyDescent="0.35">
      <c r="A2297" t="s">
        <v>45</v>
      </c>
      <c r="B2297" t="s">
        <v>5100</v>
      </c>
      <c r="C2297" t="s">
        <v>58</v>
      </c>
      <c r="D2297" t="s">
        <v>5176</v>
      </c>
      <c r="E2297" t="s">
        <v>5176</v>
      </c>
      <c r="F2297" t="s">
        <v>49</v>
      </c>
      <c r="G2297" t="s">
        <v>5177</v>
      </c>
      <c r="H2297" t="s">
        <v>5178</v>
      </c>
      <c r="J2297" t="str">
        <f>HYPERLINK("https://www.youtube.com/watch?v=kED_Jdl3r5U&amp;lc=Ugz6t1LJqEiF-aJout14AaABAg","https://www.youtube.com/watch?v=kED_Jdl3r5U&amp;lc=Ugz6t1LJqEiF-aJout14AaABAg")</f>
        <v>https://www.youtube.com/watch?v=kED_Jdl3r5U&amp;lc=Ugz6t1LJqEiF-aJout14AaABAg</v>
      </c>
      <c r="O2297">
        <v>0</v>
      </c>
      <c r="P2297">
        <v>0</v>
      </c>
      <c r="Q2297">
        <v>0</v>
      </c>
      <c r="S2297">
        <v>0</v>
      </c>
      <c r="T2297">
        <v>0</v>
      </c>
      <c r="U2297">
        <v>0</v>
      </c>
      <c r="W2297" t="s">
        <v>62</v>
      </c>
    </row>
    <row r="2298" spans="1:45" x14ac:dyDescent="0.35">
      <c r="A2298" t="s">
        <v>45</v>
      </c>
      <c r="B2298" t="s">
        <v>5100</v>
      </c>
      <c r="C2298" t="s">
        <v>58</v>
      </c>
      <c r="D2298" t="s">
        <v>5125</v>
      </c>
      <c r="E2298" t="s">
        <v>5125</v>
      </c>
      <c r="F2298" t="s">
        <v>49</v>
      </c>
      <c r="G2298" t="s">
        <v>5179</v>
      </c>
      <c r="H2298" t="s">
        <v>5180</v>
      </c>
      <c r="J2298" t="str">
        <f>HYPERLINK("https://www.youtube.com/watch?v=Tsrsf60AiZE","https://www.youtube.com/watch?v=Tsrsf60AiZE")</f>
        <v>https://www.youtube.com/watch?v=Tsrsf60AiZE</v>
      </c>
      <c r="O2298">
        <v>0</v>
      </c>
      <c r="P2298">
        <v>0</v>
      </c>
      <c r="Q2298">
        <v>0</v>
      </c>
      <c r="S2298">
        <v>0</v>
      </c>
      <c r="T2298">
        <v>0</v>
      </c>
      <c r="U2298">
        <v>0</v>
      </c>
      <c r="W2298" t="s">
        <v>106</v>
      </c>
      <c r="AP2298" t="s">
        <v>94</v>
      </c>
    </row>
    <row r="2299" spans="1:45" x14ac:dyDescent="0.35">
      <c r="A2299" t="s">
        <v>45</v>
      </c>
      <c r="B2299" t="s">
        <v>5100</v>
      </c>
      <c r="C2299" t="s">
        <v>63</v>
      </c>
      <c r="D2299" t="s">
        <v>5181</v>
      </c>
      <c r="E2299" t="s">
        <v>5181</v>
      </c>
      <c r="F2299" t="s">
        <v>49</v>
      </c>
      <c r="G2299" t="s">
        <v>5182</v>
      </c>
      <c r="H2299" t="s">
        <v>5183</v>
      </c>
      <c r="J2299" t="str">
        <f>HYPERLINK("https://www.instagram.com/p/C3kg9GTvYTr/","https://www.instagram.com/p/C3kg9GTvYTr/")</f>
        <v>https://www.instagram.com/p/C3kg9GTvYTr/</v>
      </c>
      <c r="O2299">
        <v>0</v>
      </c>
      <c r="P2299">
        <v>0</v>
      </c>
      <c r="Q2299">
        <v>0</v>
      </c>
      <c r="S2299">
        <v>0</v>
      </c>
      <c r="T2299">
        <v>0</v>
      </c>
      <c r="U2299">
        <v>0</v>
      </c>
      <c r="W2299" t="s">
        <v>62</v>
      </c>
      <c r="AS2299" t="s">
        <v>375</v>
      </c>
    </row>
    <row r="2300" spans="1:45" x14ac:dyDescent="0.35">
      <c r="A2300" t="s">
        <v>45</v>
      </c>
      <c r="B2300" t="s">
        <v>5100</v>
      </c>
      <c r="C2300" t="s">
        <v>47</v>
      </c>
      <c r="D2300" t="s">
        <v>5184</v>
      </c>
      <c r="E2300" t="s">
        <v>5184</v>
      </c>
      <c r="F2300" t="s">
        <v>49</v>
      </c>
      <c r="G2300" t="s">
        <v>5185</v>
      </c>
      <c r="H2300" t="s">
        <v>5186</v>
      </c>
      <c r="J2300" t="str">
        <f>HYPERLINK("https://www.facebook.com/357267201017935/inbox/7066332396778015/","https://www.facebook.com/357267201017935/inbox/7066332396778015/")</f>
        <v>https://www.facebook.com/357267201017935/inbox/7066332396778015/</v>
      </c>
      <c r="O2300">
        <v>0</v>
      </c>
      <c r="P2300">
        <v>0</v>
      </c>
      <c r="Q2300">
        <v>0</v>
      </c>
      <c r="S2300">
        <v>0</v>
      </c>
      <c r="T2300">
        <v>0</v>
      </c>
      <c r="U2300">
        <v>0</v>
      </c>
      <c r="W2300" t="s">
        <v>52</v>
      </c>
    </row>
    <row r="2301" spans="1:45" x14ac:dyDescent="0.35">
      <c r="A2301" t="s">
        <v>45</v>
      </c>
      <c r="B2301" t="s">
        <v>5100</v>
      </c>
      <c r="C2301" t="s">
        <v>47</v>
      </c>
      <c r="D2301" t="s">
        <v>5187</v>
      </c>
      <c r="E2301" t="s">
        <v>5187</v>
      </c>
      <c r="F2301" t="s">
        <v>49</v>
      </c>
      <c r="G2301" t="s">
        <v>5188</v>
      </c>
      <c r="H2301" t="s">
        <v>5189</v>
      </c>
      <c r="J2301" t="str">
        <f>HYPERLINK("https://www.facebook.com/454965103328545/posts/771262205032165?comment_id=976691700481962","https://www.facebook.com/454965103328545/posts/771262205032165?comment_id=976691700481962")</f>
        <v>https://www.facebook.com/454965103328545/posts/771262205032165?comment_id=976691700481962</v>
      </c>
      <c r="O2301">
        <v>0</v>
      </c>
      <c r="P2301">
        <v>0</v>
      </c>
      <c r="Q2301">
        <v>0</v>
      </c>
      <c r="S2301">
        <v>0</v>
      </c>
      <c r="T2301">
        <v>0</v>
      </c>
      <c r="U2301">
        <v>0</v>
      </c>
      <c r="W2301" t="s">
        <v>62</v>
      </c>
    </row>
    <row r="2302" spans="1:45" x14ac:dyDescent="0.35">
      <c r="A2302" t="s">
        <v>45</v>
      </c>
      <c r="B2302" t="s">
        <v>5100</v>
      </c>
      <c r="C2302" t="s">
        <v>47</v>
      </c>
      <c r="D2302" t="s">
        <v>1779</v>
      </c>
      <c r="E2302" t="s">
        <v>1779</v>
      </c>
      <c r="F2302" t="s">
        <v>49</v>
      </c>
      <c r="G2302" t="s">
        <v>5190</v>
      </c>
      <c r="H2302" t="s">
        <v>5191</v>
      </c>
      <c r="J2302" t="str">
        <f>HYPERLINK("https://www.facebook.com/454965103328545/posts/773139534844432?comment_id=1062564761625156","https://www.facebook.com/454965103328545/posts/773139534844432?comment_id=1062564761625156")</f>
        <v>https://www.facebook.com/454965103328545/posts/773139534844432?comment_id=1062564761625156</v>
      </c>
      <c r="O2302">
        <v>0</v>
      </c>
      <c r="P2302">
        <v>0</v>
      </c>
      <c r="Q2302">
        <v>0</v>
      </c>
      <c r="S2302">
        <v>0</v>
      </c>
      <c r="T2302">
        <v>0</v>
      </c>
      <c r="U2302">
        <v>0</v>
      </c>
      <c r="W2302" t="s">
        <v>62</v>
      </c>
      <c r="AS2302" t="s">
        <v>375</v>
      </c>
    </row>
    <row r="2303" spans="1:45" x14ac:dyDescent="0.35">
      <c r="A2303" t="s">
        <v>45</v>
      </c>
      <c r="B2303" t="s">
        <v>5100</v>
      </c>
      <c r="C2303" t="s">
        <v>63</v>
      </c>
      <c r="D2303" t="s">
        <v>186</v>
      </c>
      <c r="E2303" t="s">
        <v>186</v>
      </c>
      <c r="F2303" t="s">
        <v>49</v>
      </c>
      <c r="G2303" t="s">
        <v>5192</v>
      </c>
      <c r="H2303" t="s">
        <v>5193</v>
      </c>
      <c r="J2303" t="str">
        <f>HYPERLINK("https://www.instagram.com/p/C3l8oltCXQo/","https://www.instagram.com/p/C3l8oltCXQo/")</f>
        <v>https://www.instagram.com/p/C3l8oltCXQo/</v>
      </c>
      <c r="O2303">
        <v>0</v>
      </c>
      <c r="P2303">
        <v>0</v>
      </c>
      <c r="Q2303">
        <v>0</v>
      </c>
      <c r="S2303">
        <v>0</v>
      </c>
      <c r="T2303">
        <v>55</v>
      </c>
      <c r="U2303">
        <v>0</v>
      </c>
      <c r="W2303" t="s">
        <v>106</v>
      </c>
    </row>
    <row r="2304" spans="1:45" x14ac:dyDescent="0.35">
      <c r="A2304" t="s">
        <v>45</v>
      </c>
      <c r="B2304" t="s">
        <v>5100</v>
      </c>
      <c r="C2304" t="s">
        <v>139</v>
      </c>
      <c r="D2304" t="s">
        <v>190</v>
      </c>
      <c r="E2304" t="s">
        <v>45</v>
      </c>
      <c r="F2304" t="s">
        <v>49</v>
      </c>
      <c r="G2304" t="s">
        <v>4506</v>
      </c>
      <c r="H2304" t="s">
        <v>5194</v>
      </c>
      <c r="J2304" t="str">
        <f>HYPERLINK("https://twitter.com/FinoPaymntsBank/status/1760129715426496798","https://twitter.com/FinoPaymntsBank/status/1760129715426496798")</f>
        <v>https://twitter.com/FinoPaymntsBank/status/1760129715426496798</v>
      </c>
      <c r="K2304" t="s">
        <v>145</v>
      </c>
      <c r="O2304">
        <v>0</v>
      </c>
      <c r="P2304">
        <v>0</v>
      </c>
      <c r="Q2304">
        <v>8391</v>
      </c>
      <c r="R2304" t="s">
        <v>193</v>
      </c>
      <c r="S2304">
        <v>0</v>
      </c>
      <c r="T2304">
        <v>0</v>
      </c>
      <c r="U2304">
        <v>0</v>
      </c>
      <c r="W2304" t="s">
        <v>146</v>
      </c>
    </row>
    <row r="2305" spans="1:45" x14ac:dyDescent="0.35">
      <c r="A2305" t="s">
        <v>45</v>
      </c>
      <c r="B2305" t="s">
        <v>5100</v>
      </c>
      <c r="C2305" t="s">
        <v>47</v>
      </c>
      <c r="D2305" t="s">
        <v>45</v>
      </c>
      <c r="E2305" t="s">
        <v>45</v>
      </c>
      <c r="F2305" t="s">
        <v>49</v>
      </c>
      <c r="G2305" t="s">
        <v>5192</v>
      </c>
      <c r="H2305" t="s">
        <v>5194</v>
      </c>
      <c r="J2305" t="str">
        <f>HYPERLINK("https://www.facebook.com/357267201017935_773139534844432","https://www.facebook.com/357267201017935_773139534844432")</f>
        <v>https://www.facebook.com/357267201017935_773139534844432</v>
      </c>
      <c r="O2305">
        <v>0</v>
      </c>
      <c r="P2305">
        <v>0</v>
      </c>
      <c r="Q2305">
        <v>0</v>
      </c>
      <c r="S2305">
        <v>2</v>
      </c>
      <c r="T2305">
        <v>41</v>
      </c>
      <c r="U2305">
        <v>1</v>
      </c>
      <c r="W2305" t="s">
        <v>106</v>
      </c>
    </row>
    <row r="2306" spans="1:45" x14ac:dyDescent="0.35">
      <c r="A2306" t="s">
        <v>45</v>
      </c>
      <c r="B2306" t="s">
        <v>5100</v>
      </c>
      <c r="C2306" t="s">
        <v>47</v>
      </c>
      <c r="D2306" t="s">
        <v>5195</v>
      </c>
      <c r="E2306" t="s">
        <v>5195</v>
      </c>
      <c r="F2306" t="s">
        <v>49</v>
      </c>
      <c r="G2306" t="s">
        <v>131</v>
      </c>
      <c r="H2306" t="s">
        <v>5196</v>
      </c>
      <c r="J2306" t="str">
        <f>HYPERLINK("https://www.facebook.com/357267201017935/posts/3069910089753619/?comment_id=369033289323484","https://www.facebook.com/357267201017935/posts/3069910089753619/?comment_id=369033289323484")</f>
        <v>https://www.facebook.com/357267201017935/posts/3069910089753619/?comment_id=369033289323484</v>
      </c>
      <c r="O2306">
        <v>0</v>
      </c>
      <c r="P2306">
        <v>0</v>
      </c>
      <c r="Q2306">
        <v>0</v>
      </c>
      <c r="S2306">
        <v>0</v>
      </c>
      <c r="T2306">
        <v>0</v>
      </c>
      <c r="U2306">
        <v>0</v>
      </c>
      <c r="W2306" t="s">
        <v>62</v>
      </c>
      <c r="AS2306" t="s">
        <v>375</v>
      </c>
    </row>
    <row r="2307" spans="1:45" x14ac:dyDescent="0.35">
      <c r="A2307" t="s">
        <v>45</v>
      </c>
      <c r="B2307" t="s">
        <v>5100</v>
      </c>
      <c r="C2307" t="s">
        <v>47</v>
      </c>
      <c r="D2307" t="s">
        <v>5195</v>
      </c>
      <c r="E2307" t="s">
        <v>5195</v>
      </c>
      <c r="F2307" t="s">
        <v>49</v>
      </c>
      <c r="G2307" t="s">
        <v>5197</v>
      </c>
      <c r="H2307" t="s">
        <v>5198</v>
      </c>
      <c r="J2307" t="str">
        <f>HYPERLINK("https://www.facebook.com/357267201017935/posts/3069910089753619/?comment_id=3084805714991810","https://www.facebook.com/357267201017935/posts/3069910089753619/?comment_id=3084805714991810")</f>
        <v>https://www.facebook.com/357267201017935/posts/3069910089753619/?comment_id=3084805714991810</v>
      </c>
      <c r="O2307">
        <v>0</v>
      </c>
      <c r="P2307">
        <v>0</v>
      </c>
      <c r="Q2307">
        <v>0</v>
      </c>
      <c r="S2307">
        <v>0</v>
      </c>
      <c r="T2307">
        <v>0</v>
      </c>
      <c r="U2307">
        <v>0</v>
      </c>
      <c r="W2307" t="s">
        <v>62</v>
      </c>
    </row>
    <row r="2308" spans="1:45" x14ac:dyDescent="0.35">
      <c r="A2308" t="s">
        <v>45</v>
      </c>
      <c r="B2308" t="s">
        <v>5100</v>
      </c>
      <c r="C2308" t="s">
        <v>58</v>
      </c>
      <c r="D2308" t="s">
        <v>3340</v>
      </c>
      <c r="E2308" t="s">
        <v>3340</v>
      </c>
      <c r="F2308" t="s">
        <v>142</v>
      </c>
      <c r="G2308" t="s">
        <v>5199</v>
      </c>
      <c r="H2308" t="s">
        <v>5200</v>
      </c>
      <c r="J2308" t="str">
        <f>HYPERLINK("https://www.youtube.com/watch?v=RclTc21rP9I","https://www.youtube.com/watch?v=RclTc21rP9I")</f>
        <v>https://www.youtube.com/watch?v=RclTc21rP9I</v>
      </c>
      <c r="O2308">
        <v>0</v>
      </c>
      <c r="P2308">
        <v>0</v>
      </c>
      <c r="Q2308">
        <v>0</v>
      </c>
      <c r="S2308">
        <v>0</v>
      </c>
      <c r="T2308">
        <v>0</v>
      </c>
      <c r="U2308">
        <v>0</v>
      </c>
      <c r="W2308" t="s">
        <v>106</v>
      </c>
      <c r="AP2308" t="s">
        <v>147</v>
      </c>
    </row>
    <row r="2309" spans="1:45" x14ac:dyDescent="0.35">
      <c r="A2309" t="s">
        <v>45</v>
      </c>
      <c r="B2309" t="s">
        <v>5100</v>
      </c>
      <c r="C2309" t="s">
        <v>47</v>
      </c>
      <c r="D2309" t="s">
        <v>5201</v>
      </c>
      <c r="E2309" t="s">
        <v>5201</v>
      </c>
      <c r="F2309" t="s">
        <v>49</v>
      </c>
      <c r="G2309" t="s">
        <v>5202</v>
      </c>
      <c r="H2309" t="s">
        <v>5203</v>
      </c>
      <c r="J2309" t="str">
        <f>HYPERLINK("https://www.facebook.com/454965103328545/posts/755944923230560?comment_id=1541924386731950","https://www.facebook.com/454965103328545/posts/755944923230560?comment_id=1541924386731950")</f>
        <v>https://www.facebook.com/454965103328545/posts/755944923230560?comment_id=1541924386731950</v>
      </c>
      <c r="O2309">
        <v>0</v>
      </c>
      <c r="P2309">
        <v>0</v>
      </c>
      <c r="Q2309">
        <v>0</v>
      </c>
      <c r="S2309">
        <v>0</v>
      </c>
      <c r="T2309">
        <v>0</v>
      </c>
      <c r="U2309">
        <v>0</v>
      </c>
      <c r="W2309" t="s">
        <v>62</v>
      </c>
      <c r="AS2309" t="s">
        <v>375</v>
      </c>
    </row>
    <row r="2310" spans="1:45" x14ac:dyDescent="0.35">
      <c r="A2310" t="s">
        <v>45</v>
      </c>
      <c r="B2310" t="s">
        <v>5204</v>
      </c>
      <c r="C2310" t="s">
        <v>102</v>
      </c>
      <c r="D2310" t="s">
        <v>91</v>
      </c>
      <c r="E2310" t="s">
        <v>91</v>
      </c>
      <c r="F2310" t="s">
        <v>76</v>
      </c>
      <c r="G2310" t="s">
        <v>5205</v>
      </c>
      <c r="H2310" t="s">
        <v>5206</v>
      </c>
      <c r="J2310" t="str">
        <f>HYPERLINK("https://www.linkedin.com/feed/update/urn:li:activity:7165766435456139265","https://www.linkedin.com/feed/update/urn:li:activity:7165766435456139265")</f>
        <v>https://www.linkedin.com/feed/update/urn:li:activity:7165766435456139265</v>
      </c>
      <c r="O2310">
        <v>0</v>
      </c>
      <c r="P2310">
        <v>0</v>
      </c>
      <c r="Q2310">
        <v>0</v>
      </c>
      <c r="S2310">
        <v>0</v>
      </c>
      <c r="T2310">
        <v>0</v>
      </c>
      <c r="U2310">
        <v>0</v>
      </c>
      <c r="W2310" t="s">
        <v>106</v>
      </c>
    </row>
    <row r="2311" spans="1:45" x14ac:dyDescent="0.35">
      <c r="A2311" t="s">
        <v>45</v>
      </c>
      <c r="B2311" t="s">
        <v>5204</v>
      </c>
      <c r="C2311" t="s">
        <v>47</v>
      </c>
      <c r="D2311" t="s">
        <v>5105</v>
      </c>
      <c r="E2311" t="s">
        <v>5105</v>
      </c>
      <c r="F2311" t="s">
        <v>49</v>
      </c>
      <c r="G2311" t="s">
        <v>5207</v>
      </c>
      <c r="H2311" t="s">
        <v>5208</v>
      </c>
      <c r="J2311" t="str">
        <f>HYPERLINK("https://www.facebook.com/454965103328545/posts/775405614617824?comment_id=1084372632889073","https://www.facebook.com/454965103328545/posts/775405614617824?comment_id=1084372632889073")</f>
        <v>https://www.facebook.com/454965103328545/posts/775405614617824?comment_id=1084372632889073</v>
      </c>
      <c r="O2311">
        <v>0</v>
      </c>
      <c r="P2311">
        <v>0</v>
      </c>
      <c r="Q2311">
        <v>0</v>
      </c>
      <c r="S2311">
        <v>0</v>
      </c>
      <c r="T2311">
        <v>0</v>
      </c>
      <c r="U2311">
        <v>0</v>
      </c>
      <c r="W2311" t="s">
        <v>62</v>
      </c>
    </row>
    <row r="2312" spans="1:45" x14ac:dyDescent="0.35">
      <c r="A2312" t="s">
        <v>45</v>
      </c>
      <c r="B2312" t="s">
        <v>5204</v>
      </c>
      <c r="C2312" t="s">
        <v>47</v>
      </c>
      <c r="D2312" t="s">
        <v>5090</v>
      </c>
      <c r="E2312" t="s">
        <v>5090</v>
      </c>
      <c r="F2312" t="s">
        <v>49</v>
      </c>
      <c r="G2312" t="s">
        <v>5209</v>
      </c>
      <c r="H2312" t="s">
        <v>5210</v>
      </c>
      <c r="J2312" t="str">
        <f>HYPERLINK("https://www.facebook.com/454965103328545/posts/775405614617824?comment_id=1380146489309203","https://www.facebook.com/454965103328545/posts/775405614617824?comment_id=1380146489309203")</f>
        <v>https://www.facebook.com/454965103328545/posts/775405614617824?comment_id=1380146489309203</v>
      </c>
      <c r="O2312">
        <v>0</v>
      </c>
      <c r="P2312">
        <v>0</v>
      </c>
      <c r="Q2312">
        <v>0</v>
      </c>
      <c r="S2312">
        <v>0</v>
      </c>
      <c r="T2312">
        <v>0</v>
      </c>
      <c r="U2312">
        <v>0</v>
      </c>
      <c r="W2312" t="s">
        <v>62</v>
      </c>
      <c r="Y2312" t="s">
        <v>5211</v>
      </c>
      <c r="Z2312" t="s">
        <v>613</v>
      </c>
      <c r="AA2312" t="s">
        <v>614</v>
      </c>
    </row>
    <row r="2313" spans="1:45" x14ac:dyDescent="0.35">
      <c r="A2313" t="s">
        <v>45</v>
      </c>
      <c r="B2313" t="s">
        <v>5204</v>
      </c>
      <c r="C2313" t="s">
        <v>63</v>
      </c>
      <c r="D2313" t="s">
        <v>5212</v>
      </c>
      <c r="E2313" t="s">
        <v>5212</v>
      </c>
      <c r="F2313" t="s">
        <v>49</v>
      </c>
      <c r="G2313" t="s">
        <v>5213</v>
      </c>
      <c r="H2313" t="s">
        <v>5214</v>
      </c>
      <c r="J2313" t="str">
        <f>HYPERLINK("https://www.instagram.com/p/C3U1uytgenK/","https://www.instagram.com/p/C3U1uytgenK/")</f>
        <v>https://www.instagram.com/p/C3U1uytgenK/</v>
      </c>
      <c r="O2313">
        <v>0</v>
      </c>
      <c r="P2313">
        <v>0</v>
      </c>
      <c r="Q2313">
        <v>0</v>
      </c>
      <c r="S2313">
        <v>0</v>
      </c>
      <c r="T2313">
        <v>0</v>
      </c>
      <c r="U2313">
        <v>0</v>
      </c>
      <c r="W2313" t="s">
        <v>62</v>
      </c>
    </row>
    <row r="2314" spans="1:45" x14ac:dyDescent="0.35">
      <c r="A2314" t="s">
        <v>45</v>
      </c>
      <c r="B2314" t="s">
        <v>5204</v>
      </c>
      <c r="C2314" t="s">
        <v>47</v>
      </c>
      <c r="D2314" t="s">
        <v>1779</v>
      </c>
      <c r="E2314" t="s">
        <v>1779</v>
      </c>
      <c r="F2314" t="s">
        <v>49</v>
      </c>
      <c r="G2314" t="s">
        <v>5215</v>
      </c>
      <c r="H2314" t="s">
        <v>5216</v>
      </c>
      <c r="J2314" t="str">
        <f>HYPERLINK("https://www.facebook.com/454965103328545/posts/775405614617824?comment_id=1796602227487967","https://www.facebook.com/454965103328545/posts/775405614617824?comment_id=1796602227487967")</f>
        <v>https://www.facebook.com/454965103328545/posts/775405614617824?comment_id=1796602227487967</v>
      </c>
      <c r="O2314">
        <v>0</v>
      </c>
      <c r="P2314">
        <v>0</v>
      </c>
      <c r="Q2314">
        <v>0</v>
      </c>
      <c r="S2314">
        <v>0</v>
      </c>
      <c r="T2314">
        <v>0</v>
      </c>
      <c r="U2314">
        <v>0</v>
      </c>
      <c r="W2314" t="s">
        <v>62</v>
      </c>
    </row>
    <row r="2315" spans="1:45" x14ac:dyDescent="0.35">
      <c r="A2315" t="s">
        <v>45</v>
      </c>
      <c r="B2315" t="s">
        <v>5204</v>
      </c>
      <c r="C2315" t="s">
        <v>63</v>
      </c>
      <c r="D2315" t="s">
        <v>5217</v>
      </c>
      <c r="E2315" t="s">
        <v>5217</v>
      </c>
      <c r="F2315" t="s">
        <v>76</v>
      </c>
      <c r="G2315" t="s">
        <v>5218</v>
      </c>
      <c r="H2315" t="s">
        <v>5219</v>
      </c>
      <c r="J2315" t="str">
        <f>HYPERLINK("https://www.instagram.com/p/C2w6aNLgipi/","https://www.instagram.com/p/C2w6aNLgipi/")</f>
        <v>https://www.instagram.com/p/C2w6aNLgipi/</v>
      </c>
      <c r="O2315">
        <v>0</v>
      </c>
      <c r="P2315">
        <v>0</v>
      </c>
      <c r="Q2315">
        <v>0</v>
      </c>
      <c r="S2315">
        <v>0</v>
      </c>
      <c r="T2315">
        <v>0</v>
      </c>
      <c r="U2315">
        <v>0</v>
      </c>
      <c r="W2315" t="s">
        <v>62</v>
      </c>
    </row>
    <row r="2316" spans="1:45" x14ac:dyDescent="0.35">
      <c r="A2316" t="s">
        <v>45</v>
      </c>
      <c r="B2316" t="s">
        <v>5204</v>
      </c>
      <c r="C2316" t="s">
        <v>47</v>
      </c>
      <c r="D2316" t="s">
        <v>2335</v>
      </c>
      <c r="E2316" t="s">
        <v>2335</v>
      </c>
      <c r="F2316" t="s">
        <v>49</v>
      </c>
      <c r="G2316" t="s">
        <v>5220</v>
      </c>
      <c r="H2316" t="s">
        <v>5221</v>
      </c>
      <c r="J2316" t="str">
        <f>HYPERLINK("https://www.facebook.com/454965103328545/posts/775405614617824?comment_id=882942073514564","https://www.facebook.com/454965103328545/posts/775405614617824?comment_id=882942073514564")</f>
        <v>https://www.facebook.com/454965103328545/posts/775405614617824?comment_id=882942073514564</v>
      </c>
      <c r="O2316">
        <v>0</v>
      </c>
      <c r="P2316">
        <v>0</v>
      </c>
      <c r="Q2316">
        <v>0</v>
      </c>
      <c r="S2316">
        <v>0</v>
      </c>
      <c r="T2316">
        <v>0</v>
      </c>
      <c r="U2316">
        <v>0</v>
      </c>
      <c r="W2316" t="s">
        <v>62</v>
      </c>
    </row>
    <row r="2317" spans="1:45" x14ac:dyDescent="0.35">
      <c r="A2317" t="s">
        <v>45</v>
      </c>
      <c r="B2317" t="s">
        <v>5204</v>
      </c>
      <c r="C2317" t="s">
        <v>47</v>
      </c>
      <c r="D2317" t="s">
        <v>2335</v>
      </c>
      <c r="E2317" t="s">
        <v>2335</v>
      </c>
      <c r="F2317" t="s">
        <v>49</v>
      </c>
      <c r="H2317" t="s">
        <v>5222</v>
      </c>
      <c r="J2317" t="str">
        <f>HYPERLINK("https://www.facebook.com/454965103328545/posts/775405614617824?comment_id=1586725782145902","https://www.facebook.com/454965103328545/posts/775405614617824?comment_id=1586725782145902")</f>
        <v>https://www.facebook.com/454965103328545/posts/775405614617824?comment_id=1586725782145902</v>
      </c>
      <c r="O2317">
        <v>0</v>
      </c>
      <c r="P2317">
        <v>0</v>
      </c>
      <c r="Q2317">
        <v>0</v>
      </c>
      <c r="S2317">
        <v>0</v>
      </c>
      <c r="T2317">
        <v>0</v>
      </c>
      <c r="U2317">
        <v>0</v>
      </c>
      <c r="W2317" t="s">
        <v>62</v>
      </c>
    </row>
    <row r="2318" spans="1:45" x14ac:dyDescent="0.35">
      <c r="A2318" t="s">
        <v>45</v>
      </c>
      <c r="B2318" t="s">
        <v>5204</v>
      </c>
      <c r="C2318" t="s">
        <v>63</v>
      </c>
      <c r="D2318" t="s">
        <v>5223</v>
      </c>
      <c r="E2318" t="s">
        <v>5223</v>
      </c>
      <c r="F2318" t="s">
        <v>49</v>
      </c>
      <c r="G2318" t="s">
        <v>5224</v>
      </c>
      <c r="H2318" t="s">
        <v>5225</v>
      </c>
      <c r="J2318" t="str">
        <f>HYPERLINK("https://www.instagram.com/p/C3kg9GTvYTr/","https://www.instagram.com/p/C3kg9GTvYTr/")</f>
        <v>https://www.instagram.com/p/C3kg9GTvYTr/</v>
      </c>
      <c r="O2318">
        <v>0</v>
      </c>
      <c r="P2318">
        <v>0</v>
      </c>
      <c r="Q2318">
        <v>0</v>
      </c>
      <c r="S2318">
        <v>0</v>
      </c>
      <c r="T2318">
        <v>0</v>
      </c>
      <c r="U2318">
        <v>0</v>
      </c>
      <c r="W2318" t="s">
        <v>62</v>
      </c>
    </row>
    <row r="2319" spans="1:45" x14ac:dyDescent="0.35">
      <c r="A2319" t="s">
        <v>45</v>
      </c>
      <c r="B2319" t="s">
        <v>5204</v>
      </c>
      <c r="C2319" t="s">
        <v>139</v>
      </c>
      <c r="D2319" t="s">
        <v>4735</v>
      </c>
      <c r="E2319" t="s">
        <v>4736</v>
      </c>
      <c r="F2319" t="s">
        <v>49</v>
      </c>
      <c r="G2319" t="s">
        <v>5226</v>
      </c>
      <c r="H2319" t="s">
        <v>5227</v>
      </c>
      <c r="J2319" t="str">
        <f>HYPERLINK("https://twitter.com/Nizaamjanseva/status/1759961899813474399","https://twitter.com/Nizaamjanseva/status/1759961899813474399")</f>
        <v>https://twitter.com/Nizaamjanseva/status/1759961899813474399</v>
      </c>
      <c r="K2319" t="s">
        <v>145</v>
      </c>
      <c r="O2319">
        <v>0</v>
      </c>
      <c r="P2319">
        <v>0</v>
      </c>
      <c r="Q2319">
        <v>2</v>
      </c>
      <c r="R2319" t="s">
        <v>4739</v>
      </c>
      <c r="S2319">
        <v>0</v>
      </c>
      <c r="T2319">
        <v>0</v>
      </c>
      <c r="U2319">
        <v>0</v>
      </c>
      <c r="W2319" t="s">
        <v>52</v>
      </c>
      <c r="Y2319" t="s">
        <v>5228</v>
      </c>
      <c r="Z2319" t="s">
        <v>613</v>
      </c>
      <c r="AA2319" t="s">
        <v>614</v>
      </c>
    </row>
    <row r="2320" spans="1:45" x14ac:dyDescent="0.35">
      <c r="A2320" t="s">
        <v>45</v>
      </c>
      <c r="B2320" t="s">
        <v>5204</v>
      </c>
      <c r="C2320" t="s">
        <v>58</v>
      </c>
      <c r="D2320" t="s">
        <v>3440</v>
      </c>
      <c r="E2320" t="s">
        <v>3440</v>
      </c>
      <c r="F2320" t="s">
        <v>49</v>
      </c>
      <c r="G2320" t="s">
        <v>4504</v>
      </c>
      <c r="H2320" t="s">
        <v>5229</v>
      </c>
      <c r="J2320" t="str">
        <f>HYPERLINK("https://www.youtube.com/watch?v=gAML-uNpp0s","https://www.youtube.com/watch?v=gAML-uNpp0s")</f>
        <v>https://www.youtube.com/watch?v=gAML-uNpp0s</v>
      </c>
      <c r="O2320">
        <v>0</v>
      </c>
      <c r="P2320">
        <v>0</v>
      </c>
      <c r="Q2320">
        <v>0</v>
      </c>
      <c r="S2320">
        <v>0</v>
      </c>
      <c r="T2320">
        <v>0</v>
      </c>
      <c r="U2320">
        <v>0</v>
      </c>
      <c r="W2320" t="s">
        <v>106</v>
      </c>
      <c r="AP2320" t="s">
        <v>101</v>
      </c>
    </row>
    <row r="2321" spans="1:45" x14ac:dyDescent="0.35">
      <c r="A2321" t="s">
        <v>45</v>
      </c>
      <c r="B2321" t="s">
        <v>5204</v>
      </c>
      <c r="C2321" t="s">
        <v>47</v>
      </c>
      <c r="D2321" t="s">
        <v>1029</v>
      </c>
      <c r="E2321" t="s">
        <v>1029</v>
      </c>
      <c r="F2321" t="s">
        <v>49</v>
      </c>
      <c r="G2321" t="s">
        <v>5230</v>
      </c>
      <c r="H2321" t="s">
        <v>5231</v>
      </c>
      <c r="J2321" t="str">
        <f>HYPERLINK("https://www.facebook.com/454965103328545/posts/768116778680041?comment_id=707796337865737&amp;reply_comment_id=1172066663780405","https://www.facebook.com/454965103328545/posts/768116778680041?comment_id=707796337865737&amp;reply_comment_id=1172066663780405")</f>
        <v>https://www.facebook.com/454965103328545/posts/768116778680041?comment_id=707796337865737&amp;reply_comment_id=1172066663780405</v>
      </c>
      <c r="O2321">
        <v>0</v>
      </c>
      <c r="P2321">
        <v>0</v>
      </c>
      <c r="Q2321">
        <v>0</v>
      </c>
      <c r="S2321">
        <v>0</v>
      </c>
      <c r="T2321">
        <v>0</v>
      </c>
      <c r="U2321">
        <v>0</v>
      </c>
      <c r="W2321" t="s">
        <v>62</v>
      </c>
    </row>
    <row r="2322" spans="1:45" x14ac:dyDescent="0.35">
      <c r="A2322" t="s">
        <v>45</v>
      </c>
      <c r="B2322" t="s">
        <v>5204</v>
      </c>
      <c r="C2322" t="s">
        <v>47</v>
      </c>
      <c r="D2322" t="s">
        <v>1029</v>
      </c>
      <c r="E2322" t="s">
        <v>1029</v>
      </c>
      <c r="F2322" t="s">
        <v>49</v>
      </c>
      <c r="G2322" t="s">
        <v>5232</v>
      </c>
      <c r="H2322" t="s">
        <v>5233</v>
      </c>
      <c r="J2322" t="str">
        <f>HYPERLINK("https://www.facebook.com/454965103328545/posts/768116778680041?comment_id=412060081223490&amp;reply_comment_id=921366985984510","https://www.facebook.com/454965103328545/posts/768116778680041?comment_id=412060081223490&amp;reply_comment_id=921366985984510")</f>
        <v>https://www.facebook.com/454965103328545/posts/768116778680041?comment_id=412060081223490&amp;reply_comment_id=921366985984510</v>
      </c>
      <c r="O2322">
        <v>0</v>
      </c>
      <c r="P2322">
        <v>0</v>
      </c>
      <c r="Q2322">
        <v>0</v>
      </c>
      <c r="S2322">
        <v>0</v>
      </c>
      <c r="T2322">
        <v>0</v>
      </c>
      <c r="U2322">
        <v>0</v>
      </c>
      <c r="W2322" t="s">
        <v>62</v>
      </c>
    </row>
    <row r="2323" spans="1:45" x14ac:dyDescent="0.35">
      <c r="A2323" t="s">
        <v>45</v>
      </c>
      <c r="B2323" t="s">
        <v>5204</v>
      </c>
      <c r="C2323" t="s">
        <v>47</v>
      </c>
      <c r="D2323" t="s">
        <v>5234</v>
      </c>
      <c r="E2323" t="s">
        <v>5234</v>
      </c>
      <c r="F2323" t="s">
        <v>49</v>
      </c>
      <c r="G2323" t="s">
        <v>5235</v>
      </c>
      <c r="H2323" t="s">
        <v>5236</v>
      </c>
      <c r="J2323" t="str">
        <f>HYPERLINK("https://www.facebook.com/454965103328545/posts/775405614617824?comment_id=831998555118924","https://www.facebook.com/454965103328545/posts/775405614617824?comment_id=831998555118924")</f>
        <v>https://www.facebook.com/454965103328545/posts/775405614617824?comment_id=831998555118924</v>
      </c>
      <c r="O2323">
        <v>0</v>
      </c>
      <c r="P2323">
        <v>0</v>
      </c>
      <c r="Q2323">
        <v>0</v>
      </c>
      <c r="S2323">
        <v>0</v>
      </c>
      <c r="T2323">
        <v>0</v>
      </c>
      <c r="U2323">
        <v>0</v>
      </c>
      <c r="W2323" t="s">
        <v>62</v>
      </c>
      <c r="AS2323" t="s">
        <v>375</v>
      </c>
    </row>
    <row r="2324" spans="1:45" x14ac:dyDescent="0.35">
      <c r="A2324" t="s">
        <v>45</v>
      </c>
      <c r="B2324" t="s">
        <v>5204</v>
      </c>
      <c r="C2324" t="s">
        <v>47</v>
      </c>
      <c r="F2324" t="s">
        <v>76</v>
      </c>
      <c r="G2324" t="s">
        <v>5237</v>
      </c>
      <c r="H2324" t="s">
        <v>5238</v>
      </c>
      <c r="J2324" t="str">
        <f>HYPERLINK("https://www.facebook.com/6820763411346178_10233230568376813","https://www.facebook.com/6820763411346178_10233230568376813")</f>
        <v>https://www.facebook.com/6820763411346178_10233230568376813</v>
      </c>
      <c r="O2324">
        <v>0</v>
      </c>
      <c r="P2324">
        <v>0</v>
      </c>
      <c r="Q2324">
        <v>0</v>
      </c>
      <c r="S2324">
        <v>0</v>
      </c>
      <c r="T2324">
        <v>0</v>
      </c>
      <c r="U2324">
        <v>0</v>
      </c>
      <c r="W2324" t="s">
        <v>106</v>
      </c>
    </row>
    <row r="2325" spans="1:45" x14ac:dyDescent="0.35">
      <c r="A2325" t="s">
        <v>45</v>
      </c>
      <c r="B2325" t="s">
        <v>5204</v>
      </c>
      <c r="C2325" t="s">
        <v>139</v>
      </c>
      <c r="D2325" t="s">
        <v>5239</v>
      </c>
      <c r="E2325" t="s">
        <v>5240</v>
      </c>
      <c r="F2325" t="s">
        <v>49</v>
      </c>
      <c r="G2325" t="s">
        <v>5241</v>
      </c>
      <c r="H2325" t="s">
        <v>5242</v>
      </c>
      <c r="J2325" t="str">
        <f>HYPERLINK("https://twitter.com/LakhanVerm36420/status/1759937047979303135","https://twitter.com/LakhanVerm36420/status/1759937047979303135")</f>
        <v>https://twitter.com/LakhanVerm36420/status/1759937047979303135</v>
      </c>
      <c r="K2325" t="s">
        <v>145</v>
      </c>
      <c r="O2325">
        <v>0</v>
      </c>
      <c r="P2325">
        <v>0</v>
      </c>
      <c r="Q2325">
        <v>0</v>
      </c>
      <c r="S2325">
        <v>0</v>
      </c>
      <c r="T2325">
        <v>0</v>
      </c>
      <c r="U2325">
        <v>0</v>
      </c>
      <c r="W2325" t="s">
        <v>146</v>
      </c>
      <c r="AS2325" t="s">
        <v>375</v>
      </c>
    </row>
    <row r="2326" spans="1:45" x14ac:dyDescent="0.35">
      <c r="A2326" t="s">
        <v>45</v>
      </c>
      <c r="B2326" t="s">
        <v>5204</v>
      </c>
      <c r="C2326" t="s">
        <v>47</v>
      </c>
      <c r="D2326" t="s">
        <v>5243</v>
      </c>
      <c r="E2326" t="s">
        <v>5243</v>
      </c>
      <c r="F2326" t="s">
        <v>49</v>
      </c>
      <c r="G2326" t="s">
        <v>50</v>
      </c>
      <c r="H2326" t="s">
        <v>5244</v>
      </c>
      <c r="J2326" t="str">
        <f>HYPERLINK("https://www.facebook.com/357267201017935/inbox/7063966110347977/","https://www.facebook.com/357267201017935/inbox/7063966110347977/")</f>
        <v>https://www.facebook.com/357267201017935/inbox/7063966110347977/</v>
      </c>
      <c r="O2326">
        <v>0</v>
      </c>
      <c r="P2326">
        <v>0</v>
      </c>
      <c r="Q2326">
        <v>0</v>
      </c>
      <c r="S2326">
        <v>0</v>
      </c>
      <c r="T2326">
        <v>0</v>
      </c>
      <c r="U2326">
        <v>0</v>
      </c>
      <c r="W2326" t="s">
        <v>52</v>
      </c>
      <c r="AS2326" t="s">
        <v>375</v>
      </c>
    </row>
    <row r="2327" spans="1:45" x14ac:dyDescent="0.35">
      <c r="A2327" t="s">
        <v>45</v>
      </c>
      <c r="B2327" t="s">
        <v>5204</v>
      </c>
      <c r="C2327" t="s">
        <v>139</v>
      </c>
      <c r="D2327" t="s">
        <v>5239</v>
      </c>
      <c r="E2327" t="s">
        <v>5240</v>
      </c>
      <c r="F2327" t="s">
        <v>142</v>
      </c>
      <c r="G2327" t="s">
        <v>5245</v>
      </c>
      <c r="H2327" t="s">
        <v>5246</v>
      </c>
      <c r="J2327" t="str">
        <f>HYPERLINK("https://twitter.com/LakhanVerm36420/status/1759935607575556504","https://twitter.com/LakhanVerm36420/status/1759935607575556504")</f>
        <v>https://twitter.com/LakhanVerm36420/status/1759935607575556504</v>
      </c>
      <c r="K2327" t="s">
        <v>145</v>
      </c>
      <c r="O2327">
        <v>0</v>
      </c>
      <c r="P2327">
        <v>0</v>
      </c>
      <c r="Q2327">
        <v>0</v>
      </c>
      <c r="S2327">
        <v>0</v>
      </c>
      <c r="T2327">
        <v>0</v>
      </c>
      <c r="U2327">
        <v>0</v>
      </c>
      <c r="W2327" t="s">
        <v>146</v>
      </c>
      <c r="AP2327" t="s">
        <v>147</v>
      </c>
    </row>
    <row r="2328" spans="1:45" x14ac:dyDescent="0.35">
      <c r="A2328" t="s">
        <v>45</v>
      </c>
      <c r="B2328" t="s">
        <v>5204</v>
      </c>
      <c r="C2328" t="s">
        <v>63</v>
      </c>
      <c r="D2328" t="s">
        <v>5247</v>
      </c>
      <c r="E2328" t="s">
        <v>5247</v>
      </c>
      <c r="F2328" t="s">
        <v>49</v>
      </c>
      <c r="G2328" t="s">
        <v>5248</v>
      </c>
      <c r="H2328" t="s">
        <v>5249</v>
      </c>
      <c r="J2328" t="str">
        <f>HYPERLINK("https://www.instagram.com/p/C3kg9GTvYTr/","https://www.instagram.com/p/C3kg9GTvYTr/")</f>
        <v>https://www.instagram.com/p/C3kg9GTvYTr/</v>
      </c>
      <c r="O2328">
        <v>0</v>
      </c>
      <c r="P2328">
        <v>0</v>
      </c>
      <c r="Q2328">
        <v>0</v>
      </c>
      <c r="S2328">
        <v>0</v>
      </c>
      <c r="T2328">
        <v>0</v>
      </c>
      <c r="U2328">
        <v>0</v>
      </c>
      <c r="W2328" t="s">
        <v>62</v>
      </c>
    </row>
    <row r="2329" spans="1:45" x14ac:dyDescent="0.35">
      <c r="A2329" t="s">
        <v>45</v>
      </c>
      <c r="B2329" t="s">
        <v>5204</v>
      </c>
      <c r="C2329" t="s">
        <v>102</v>
      </c>
      <c r="D2329" t="s">
        <v>3195</v>
      </c>
      <c r="E2329" t="s">
        <v>3195</v>
      </c>
      <c r="F2329" t="s">
        <v>49</v>
      </c>
      <c r="G2329" t="s">
        <v>5250</v>
      </c>
      <c r="H2329" t="s">
        <v>5251</v>
      </c>
      <c r="J2329" t="str">
        <f>HYPERLINK("https://www.linkedin.com/feed/update/urn:li:ugcPost:7165697686388633601","https://www.linkedin.com/feed/update/urn:li:ugcPost:7165697686388633601")</f>
        <v>https://www.linkedin.com/feed/update/urn:li:ugcPost:7165697686388633601</v>
      </c>
      <c r="O2329">
        <v>0</v>
      </c>
      <c r="P2329">
        <v>0</v>
      </c>
      <c r="Q2329">
        <v>0</v>
      </c>
      <c r="S2329">
        <v>0</v>
      </c>
      <c r="T2329">
        <v>0</v>
      </c>
      <c r="U2329">
        <v>0</v>
      </c>
      <c r="W2329" t="s">
        <v>106</v>
      </c>
    </row>
    <row r="2330" spans="1:45" x14ac:dyDescent="0.35">
      <c r="A2330" t="s">
        <v>45</v>
      </c>
      <c r="B2330" t="s">
        <v>5204</v>
      </c>
      <c r="C2330" t="s">
        <v>47</v>
      </c>
      <c r="D2330" t="s">
        <v>5252</v>
      </c>
      <c r="E2330" t="s">
        <v>5252</v>
      </c>
      <c r="F2330" t="s">
        <v>49</v>
      </c>
      <c r="G2330" t="s">
        <v>5253</v>
      </c>
      <c r="H2330" t="s">
        <v>5254</v>
      </c>
      <c r="J2330" t="str">
        <f>HYPERLINK("https://www.facebook.com/454965103328545/posts/775405614617824?comment_id=900504191557619","https://www.facebook.com/454965103328545/posts/775405614617824?comment_id=900504191557619")</f>
        <v>https://www.facebook.com/454965103328545/posts/775405614617824?comment_id=900504191557619</v>
      </c>
      <c r="O2330">
        <v>0</v>
      </c>
      <c r="P2330">
        <v>0</v>
      </c>
      <c r="Q2330">
        <v>0</v>
      </c>
      <c r="S2330">
        <v>0</v>
      </c>
      <c r="T2330">
        <v>0</v>
      </c>
      <c r="U2330">
        <v>0</v>
      </c>
      <c r="W2330" t="s">
        <v>62</v>
      </c>
    </row>
    <row r="2331" spans="1:45" x14ac:dyDescent="0.35">
      <c r="A2331" t="s">
        <v>45</v>
      </c>
      <c r="B2331" t="s">
        <v>5204</v>
      </c>
      <c r="C2331" t="s">
        <v>63</v>
      </c>
      <c r="D2331" t="s">
        <v>186</v>
      </c>
      <c r="E2331" t="s">
        <v>186</v>
      </c>
      <c r="F2331" t="s">
        <v>49</v>
      </c>
      <c r="G2331" t="s">
        <v>5255</v>
      </c>
      <c r="H2331" t="s">
        <v>5256</v>
      </c>
      <c r="J2331" t="str">
        <f>HYPERLINK("https://www.instagram.com/p/C3kg9GTvYTr/","https://www.instagram.com/p/C3kg9GTvYTr/")</f>
        <v>https://www.instagram.com/p/C3kg9GTvYTr/</v>
      </c>
      <c r="O2331">
        <v>0</v>
      </c>
      <c r="P2331">
        <v>0</v>
      </c>
      <c r="Q2331">
        <v>0</v>
      </c>
      <c r="S2331">
        <v>6</v>
      </c>
      <c r="T2331">
        <v>185</v>
      </c>
      <c r="U2331">
        <v>0</v>
      </c>
      <c r="W2331" t="s">
        <v>106</v>
      </c>
    </row>
    <row r="2332" spans="1:45" x14ac:dyDescent="0.35">
      <c r="A2332" t="s">
        <v>45</v>
      </c>
      <c r="B2332" t="s">
        <v>5204</v>
      </c>
      <c r="C2332" t="s">
        <v>47</v>
      </c>
      <c r="D2332" t="s">
        <v>45</v>
      </c>
      <c r="E2332" t="s">
        <v>45</v>
      </c>
      <c r="F2332" t="s">
        <v>49</v>
      </c>
      <c r="G2332" t="s">
        <v>5255</v>
      </c>
      <c r="H2332" t="s">
        <v>5257</v>
      </c>
      <c r="J2332" t="str">
        <f>HYPERLINK("https://www.facebook.com/454965103328545/posts/775405614617824","https://www.facebook.com/454965103328545/posts/775405614617824")</f>
        <v>https://www.facebook.com/454965103328545/posts/775405614617824</v>
      </c>
      <c r="O2332">
        <v>0</v>
      </c>
      <c r="P2332">
        <v>0</v>
      </c>
      <c r="Q2332">
        <v>0</v>
      </c>
      <c r="S2332">
        <v>9</v>
      </c>
      <c r="T2332">
        <v>63</v>
      </c>
      <c r="U2332">
        <v>5</v>
      </c>
      <c r="W2332" t="s">
        <v>106</v>
      </c>
    </row>
    <row r="2333" spans="1:45" x14ac:dyDescent="0.35">
      <c r="A2333" t="s">
        <v>45</v>
      </c>
      <c r="B2333" t="s">
        <v>5204</v>
      </c>
      <c r="C2333" t="s">
        <v>139</v>
      </c>
      <c r="D2333" t="s">
        <v>190</v>
      </c>
      <c r="E2333" t="s">
        <v>45</v>
      </c>
      <c r="F2333" t="s">
        <v>49</v>
      </c>
      <c r="G2333" t="s">
        <v>4806</v>
      </c>
      <c r="H2333" t="s">
        <v>5258</v>
      </c>
      <c r="J2333" t="str">
        <f>HYPERLINK("https://twitter.com/FinoPaymntsBank/status/1759929039546875964","https://twitter.com/FinoPaymntsBank/status/1759929039546875964")</f>
        <v>https://twitter.com/FinoPaymntsBank/status/1759929039546875964</v>
      </c>
      <c r="K2333" t="s">
        <v>145</v>
      </c>
      <c r="O2333">
        <v>0</v>
      </c>
      <c r="P2333">
        <v>0</v>
      </c>
      <c r="Q2333">
        <v>8391</v>
      </c>
      <c r="R2333" t="s">
        <v>193</v>
      </c>
      <c r="S2333">
        <v>0</v>
      </c>
      <c r="T2333">
        <v>0</v>
      </c>
      <c r="U2333">
        <v>0</v>
      </c>
      <c r="W2333" t="s">
        <v>146</v>
      </c>
    </row>
    <row r="2334" spans="1:45" x14ac:dyDescent="0.35">
      <c r="A2334" t="s">
        <v>45</v>
      </c>
      <c r="B2334" t="s">
        <v>5204</v>
      </c>
      <c r="C2334" t="s">
        <v>102</v>
      </c>
      <c r="D2334" t="s">
        <v>5259</v>
      </c>
      <c r="E2334" t="s">
        <v>5259</v>
      </c>
      <c r="F2334" t="s">
        <v>49</v>
      </c>
      <c r="G2334" t="s">
        <v>5260</v>
      </c>
      <c r="H2334" t="s">
        <v>5261</v>
      </c>
      <c r="J2334" t="str">
        <f>HYPERLINK("https://www.linkedin.com/feed/update/urn:li:activity:7165684696540999680","https://www.linkedin.com/feed/update/urn:li:activity:7165684696540999680")</f>
        <v>https://www.linkedin.com/feed/update/urn:li:activity:7165684696540999680</v>
      </c>
      <c r="O2334">
        <v>0</v>
      </c>
      <c r="P2334">
        <v>0</v>
      </c>
      <c r="Q2334">
        <v>0</v>
      </c>
      <c r="S2334">
        <v>0</v>
      </c>
      <c r="T2334">
        <v>0</v>
      </c>
      <c r="U2334">
        <v>0</v>
      </c>
      <c r="W2334" t="s">
        <v>106</v>
      </c>
    </row>
    <row r="2335" spans="1:45" x14ac:dyDescent="0.35">
      <c r="A2335" t="s">
        <v>45</v>
      </c>
      <c r="B2335" t="s">
        <v>5204</v>
      </c>
      <c r="C2335" t="s">
        <v>139</v>
      </c>
      <c r="D2335" t="s">
        <v>190</v>
      </c>
      <c r="E2335" t="s">
        <v>45</v>
      </c>
      <c r="F2335" t="s">
        <v>49</v>
      </c>
      <c r="G2335" t="s">
        <v>5262</v>
      </c>
      <c r="H2335" t="s">
        <v>5263</v>
      </c>
      <c r="J2335" t="str">
        <f>HYPERLINK("https://twitter.com/FinoPaymntsBank/status/1759915762217615556","https://twitter.com/FinoPaymntsBank/status/1759915762217615556")</f>
        <v>https://twitter.com/FinoPaymntsBank/status/1759915762217615556</v>
      </c>
      <c r="K2335" t="s">
        <v>145</v>
      </c>
      <c r="O2335">
        <v>0</v>
      </c>
      <c r="P2335">
        <v>0</v>
      </c>
      <c r="Q2335">
        <v>8391</v>
      </c>
      <c r="R2335" t="s">
        <v>193</v>
      </c>
      <c r="S2335">
        <v>0</v>
      </c>
      <c r="T2335">
        <v>0</v>
      </c>
      <c r="U2335">
        <v>0</v>
      </c>
      <c r="W2335" t="s">
        <v>146</v>
      </c>
    </row>
    <row r="2336" spans="1:45" x14ac:dyDescent="0.35">
      <c r="A2336" t="s">
        <v>45</v>
      </c>
      <c r="B2336" t="s">
        <v>5204</v>
      </c>
      <c r="C2336" t="s">
        <v>47</v>
      </c>
      <c r="D2336" t="s">
        <v>45</v>
      </c>
      <c r="E2336" t="s">
        <v>45</v>
      </c>
      <c r="F2336" t="s">
        <v>49</v>
      </c>
      <c r="H2336" t="s">
        <v>5264</v>
      </c>
      <c r="J2336" t="str">
        <f>HYPERLINK("https://www.facebook.com/454965103328545/posts/775382114620174","https://www.facebook.com/454965103328545/posts/775382114620174")</f>
        <v>https://www.facebook.com/454965103328545/posts/775382114620174</v>
      </c>
      <c r="O2336">
        <v>0</v>
      </c>
      <c r="P2336">
        <v>0</v>
      </c>
      <c r="Q2336">
        <v>0</v>
      </c>
      <c r="S2336">
        <v>0</v>
      </c>
      <c r="T2336">
        <v>0</v>
      </c>
      <c r="U2336">
        <v>0</v>
      </c>
      <c r="W2336" t="s">
        <v>106</v>
      </c>
    </row>
    <row r="2337" spans="1:45" x14ac:dyDescent="0.35">
      <c r="A2337" t="s">
        <v>45</v>
      </c>
      <c r="B2337" t="s">
        <v>5204</v>
      </c>
      <c r="C2337" t="s">
        <v>47</v>
      </c>
      <c r="D2337" t="s">
        <v>5265</v>
      </c>
      <c r="E2337" t="s">
        <v>5265</v>
      </c>
      <c r="F2337" t="s">
        <v>49</v>
      </c>
      <c r="G2337" t="s">
        <v>5266</v>
      </c>
      <c r="H2337" t="s">
        <v>5267</v>
      </c>
      <c r="J2337" t="str">
        <f>HYPERLINK("https://www.facebook.com/357267201017935/inbox/7063600577051197/","https://www.facebook.com/357267201017935/inbox/7063600577051197/")</f>
        <v>https://www.facebook.com/357267201017935/inbox/7063600577051197/</v>
      </c>
      <c r="O2337">
        <v>0</v>
      </c>
      <c r="P2337">
        <v>0</v>
      </c>
      <c r="Q2337">
        <v>0</v>
      </c>
      <c r="S2337">
        <v>0</v>
      </c>
      <c r="T2337">
        <v>0</v>
      </c>
      <c r="U2337">
        <v>0</v>
      </c>
      <c r="W2337" t="s">
        <v>52</v>
      </c>
      <c r="AP2337" t="s">
        <v>94</v>
      </c>
      <c r="AS2337" t="s">
        <v>375</v>
      </c>
    </row>
    <row r="2338" spans="1:45" x14ac:dyDescent="0.35">
      <c r="A2338" t="s">
        <v>45</v>
      </c>
      <c r="B2338" t="s">
        <v>5204</v>
      </c>
      <c r="C2338" t="s">
        <v>47</v>
      </c>
      <c r="D2338" t="s">
        <v>5265</v>
      </c>
      <c r="E2338" t="s">
        <v>5265</v>
      </c>
      <c r="F2338" t="s">
        <v>49</v>
      </c>
      <c r="G2338" t="s">
        <v>5268</v>
      </c>
      <c r="H2338" t="s">
        <v>5269</v>
      </c>
      <c r="J2338" t="str">
        <f>HYPERLINK("https://www.facebook.com/357267201017935/inbox/7063600577051197/","https://www.facebook.com/357267201017935/inbox/7063600577051197/")</f>
        <v>https://www.facebook.com/357267201017935/inbox/7063600577051197/</v>
      </c>
      <c r="O2338">
        <v>0</v>
      </c>
      <c r="P2338">
        <v>0</v>
      </c>
      <c r="Q2338">
        <v>0</v>
      </c>
      <c r="S2338">
        <v>0</v>
      </c>
      <c r="T2338">
        <v>0</v>
      </c>
      <c r="U2338">
        <v>0</v>
      </c>
      <c r="W2338" t="s">
        <v>52</v>
      </c>
      <c r="AS2338" t="s">
        <v>375</v>
      </c>
    </row>
    <row r="2339" spans="1:45" x14ac:dyDescent="0.35">
      <c r="A2339" t="s">
        <v>45</v>
      </c>
      <c r="B2339" t="s">
        <v>5204</v>
      </c>
      <c r="C2339" t="s">
        <v>47</v>
      </c>
      <c r="D2339" t="s">
        <v>5265</v>
      </c>
      <c r="E2339" t="s">
        <v>5265</v>
      </c>
      <c r="F2339" t="s">
        <v>49</v>
      </c>
      <c r="G2339" t="s">
        <v>5270</v>
      </c>
      <c r="H2339" t="s">
        <v>5271</v>
      </c>
      <c r="J2339" t="str">
        <f>HYPERLINK("https://www.facebook.com/357267201017935/inbox/7063600577051197/","https://www.facebook.com/357267201017935/inbox/7063600577051197/")</f>
        <v>https://www.facebook.com/357267201017935/inbox/7063600577051197/</v>
      </c>
      <c r="O2339">
        <v>0</v>
      </c>
      <c r="P2339">
        <v>0</v>
      </c>
      <c r="Q2339">
        <v>0</v>
      </c>
      <c r="S2339">
        <v>0</v>
      </c>
      <c r="T2339">
        <v>0</v>
      </c>
      <c r="U2339">
        <v>0</v>
      </c>
      <c r="W2339" t="s">
        <v>52</v>
      </c>
    </row>
    <row r="2340" spans="1:45" x14ac:dyDescent="0.35">
      <c r="A2340" t="s">
        <v>45</v>
      </c>
      <c r="B2340" t="s">
        <v>5204</v>
      </c>
      <c r="C2340" t="s">
        <v>47</v>
      </c>
      <c r="D2340" t="s">
        <v>5265</v>
      </c>
      <c r="E2340" t="s">
        <v>5265</v>
      </c>
      <c r="F2340" t="s">
        <v>49</v>
      </c>
      <c r="G2340" t="s">
        <v>5272</v>
      </c>
      <c r="H2340" t="s">
        <v>5273</v>
      </c>
      <c r="J2340" t="str">
        <f>HYPERLINK("https://www.facebook.com/357267201017935/inbox/7063600577051197/","https://www.facebook.com/357267201017935/inbox/7063600577051197/")</f>
        <v>https://www.facebook.com/357267201017935/inbox/7063600577051197/</v>
      </c>
      <c r="O2340">
        <v>0</v>
      </c>
      <c r="P2340">
        <v>0</v>
      </c>
      <c r="Q2340">
        <v>0</v>
      </c>
      <c r="S2340">
        <v>0</v>
      </c>
      <c r="T2340">
        <v>0</v>
      </c>
      <c r="U2340">
        <v>0</v>
      </c>
      <c r="W2340" t="s">
        <v>52</v>
      </c>
    </row>
    <row r="2341" spans="1:45" x14ac:dyDescent="0.35">
      <c r="A2341" t="s">
        <v>45</v>
      </c>
      <c r="B2341" t="s">
        <v>5204</v>
      </c>
      <c r="C2341" t="s">
        <v>47</v>
      </c>
      <c r="D2341" t="s">
        <v>5265</v>
      </c>
      <c r="E2341" t="s">
        <v>5265</v>
      </c>
      <c r="F2341" t="s">
        <v>49</v>
      </c>
      <c r="G2341" t="s">
        <v>50</v>
      </c>
      <c r="H2341" t="s">
        <v>5274</v>
      </c>
      <c r="J2341" t="str">
        <f>HYPERLINK("https://www.facebook.com/357267201017935/inbox/7063600577051197/","https://www.facebook.com/357267201017935/inbox/7063600577051197/")</f>
        <v>https://www.facebook.com/357267201017935/inbox/7063600577051197/</v>
      </c>
      <c r="O2341">
        <v>0</v>
      </c>
      <c r="P2341">
        <v>0</v>
      </c>
      <c r="Q2341">
        <v>0</v>
      </c>
      <c r="S2341">
        <v>0</v>
      </c>
      <c r="T2341">
        <v>0</v>
      </c>
      <c r="U2341">
        <v>0</v>
      </c>
      <c r="W2341" t="s">
        <v>52</v>
      </c>
    </row>
    <row r="2342" spans="1:45" x14ac:dyDescent="0.35">
      <c r="A2342" t="s">
        <v>45</v>
      </c>
      <c r="B2342" t="s">
        <v>5204</v>
      </c>
      <c r="C2342" t="s">
        <v>139</v>
      </c>
      <c r="D2342" t="s">
        <v>5275</v>
      </c>
      <c r="E2342" t="s">
        <v>5276</v>
      </c>
      <c r="F2342" t="s">
        <v>142</v>
      </c>
      <c r="G2342" t="s">
        <v>5277</v>
      </c>
      <c r="H2342" t="s">
        <v>5278</v>
      </c>
      <c r="J2342" t="str">
        <f>HYPERLINK("https://twitter.com/sandipbrw/status/1759907520330809529","https://twitter.com/sandipbrw/status/1759907520330809529")</f>
        <v>https://twitter.com/sandipbrw/status/1759907520330809529</v>
      </c>
      <c r="K2342" t="s">
        <v>145</v>
      </c>
      <c r="O2342">
        <v>0</v>
      </c>
      <c r="P2342">
        <v>0</v>
      </c>
      <c r="Q2342">
        <v>7</v>
      </c>
      <c r="R2342" t="s">
        <v>5279</v>
      </c>
      <c r="S2342">
        <v>0</v>
      </c>
      <c r="T2342">
        <v>0</v>
      </c>
      <c r="U2342">
        <v>0</v>
      </c>
      <c r="W2342" t="s">
        <v>146</v>
      </c>
      <c r="AP2342" t="s">
        <v>147</v>
      </c>
      <c r="AS2342" t="s">
        <v>375</v>
      </c>
    </row>
    <row r="2343" spans="1:45" x14ac:dyDescent="0.35">
      <c r="A2343" t="s">
        <v>45</v>
      </c>
      <c r="B2343" t="s">
        <v>5204</v>
      </c>
      <c r="C2343" t="s">
        <v>139</v>
      </c>
      <c r="D2343" t="s">
        <v>5280</v>
      </c>
      <c r="E2343" t="s">
        <v>5281</v>
      </c>
      <c r="F2343" t="s">
        <v>49</v>
      </c>
      <c r="G2343" t="s">
        <v>5282</v>
      </c>
      <c r="H2343" t="s">
        <v>5283</v>
      </c>
      <c r="J2343" t="str">
        <f>HYPERLINK("https://twitter.com/durgesh_n8/status/1759893794861035691","https://twitter.com/durgesh_n8/status/1759893794861035691")</f>
        <v>https://twitter.com/durgesh_n8/status/1759893794861035691</v>
      </c>
      <c r="K2343" t="s">
        <v>145</v>
      </c>
      <c r="O2343">
        <v>0</v>
      </c>
      <c r="P2343">
        <v>0</v>
      </c>
      <c r="Q2343">
        <v>114</v>
      </c>
      <c r="R2343" t="s">
        <v>5284</v>
      </c>
      <c r="S2343">
        <v>0</v>
      </c>
      <c r="T2343">
        <v>0</v>
      </c>
      <c r="U2343">
        <v>0</v>
      </c>
      <c r="W2343" t="s">
        <v>146</v>
      </c>
    </row>
    <row r="2344" spans="1:45" x14ac:dyDescent="0.35">
      <c r="A2344" t="s">
        <v>45</v>
      </c>
      <c r="B2344" t="s">
        <v>5204</v>
      </c>
      <c r="C2344" t="s">
        <v>139</v>
      </c>
      <c r="D2344" t="s">
        <v>5280</v>
      </c>
      <c r="E2344" t="s">
        <v>5281</v>
      </c>
      <c r="F2344" t="s">
        <v>49</v>
      </c>
      <c r="G2344" t="s">
        <v>5285</v>
      </c>
      <c r="H2344" t="s">
        <v>5286</v>
      </c>
      <c r="J2344" t="str">
        <f>HYPERLINK("https://twitter.com/durgesh_n8/status/1759893566611210524","https://twitter.com/durgesh_n8/status/1759893566611210524")</f>
        <v>https://twitter.com/durgesh_n8/status/1759893566611210524</v>
      </c>
      <c r="K2344" t="s">
        <v>145</v>
      </c>
      <c r="O2344">
        <v>0</v>
      </c>
      <c r="P2344">
        <v>0</v>
      </c>
      <c r="Q2344">
        <v>114</v>
      </c>
      <c r="R2344" t="s">
        <v>5284</v>
      </c>
      <c r="S2344">
        <v>0</v>
      </c>
      <c r="T2344">
        <v>0</v>
      </c>
      <c r="U2344">
        <v>0</v>
      </c>
      <c r="W2344" t="s">
        <v>146</v>
      </c>
    </row>
    <row r="2345" spans="1:45" x14ac:dyDescent="0.35">
      <c r="A2345" t="s">
        <v>45</v>
      </c>
      <c r="B2345" t="s">
        <v>5204</v>
      </c>
      <c r="C2345" t="s">
        <v>58</v>
      </c>
      <c r="D2345" t="s">
        <v>5287</v>
      </c>
      <c r="E2345" t="s">
        <v>5287</v>
      </c>
      <c r="F2345" t="s">
        <v>49</v>
      </c>
      <c r="G2345" t="s">
        <v>5288</v>
      </c>
      <c r="H2345" t="s">
        <v>5289</v>
      </c>
      <c r="J2345" t="str">
        <f>HYPERLINK("https://www.youtube.com/watch?v=ozRex61M_FE","https://www.youtube.com/watch?v=ozRex61M_FE")</f>
        <v>https://www.youtube.com/watch?v=ozRex61M_FE</v>
      </c>
      <c r="O2345">
        <v>0</v>
      </c>
      <c r="P2345">
        <v>0</v>
      </c>
      <c r="Q2345">
        <v>0</v>
      </c>
      <c r="S2345">
        <v>0</v>
      </c>
      <c r="T2345">
        <v>0</v>
      </c>
      <c r="U2345">
        <v>0</v>
      </c>
      <c r="W2345" t="s">
        <v>106</v>
      </c>
    </row>
    <row r="2346" spans="1:45" x14ac:dyDescent="0.35">
      <c r="A2346" t="s">
        <v>45</v>
      </c>
      <c r="B2346" t="s">
        <v>5204</v>
      </c>
      <c r="C2346" t="s">
        <v>58</v>
      </c>
      <c r="D2346" t="s">
        <v>1240</v>
      </c>
      <c r="E2346" t="s">
        <v>1240</v>
      </c>
      <c r="F2346" t="s">
        <v>142</v>
      </c>
      <c r="G2346" t="s">
        <v>5290</v>
      </c>
      <c r="H2346" t="s">
        <v>5291</v>
      </c>
      <c r="J2346" t="str">
        <f>HYPERLINK("https://www.youtube.com/watch?v=ACpO_MR6xbo","https://www.youtube.com/watch?v=ACpO_MR6xbo")</f>
        <v>https://www.youtube.com/watch?v=ACpO_MR6xbo</v>
      </c>
      <c r="O2346">
        <v>0</v>
      </c>
      <c r="P2346">
        <v>0</v>
      </c>
      <c r="Q2346">
        <v>0</v>
      </c>
      <c r="S2346">
        <v>0</v>
      </c>
      <c r="T2346">
        <v>0</v>
      </c>
      <c r="U2346">
        <v>0</v>
      </c>
      <c r="W2346" t="s">
        <v>106</v>
      </c>
      <c r="AP2346" t="s">
        <v>147</v>
      </c>
    </row>
    <row r="2347" spans="1:45" x14ac:dyDescent="0.35">
      <c r="A2347" t="s">
        <v>45</v>
      </c>
      <c r="B2347" t="s">
        <v>5204</v>
      </c>
      <c r="C2347" t="s">
        <v>139</v>
      </c>
      <c r="D2347" t="s">
        <v>4735</v>
      </c>
      <c r="E2347" t="s">
        <v>4736</v>
      </c>
      <c r="F2347" t="s">
        <v>142</v>
      </c>
      <c r="G2347" t="s">
        <v>5292</v>
      </c>
      <c r="H2347" t="s">
        <v>5293</v>
      </c>
      <c r="J2347" t="str">
        <f>HYPERLINK("https://twitter.com/Nizaamjanseva/status/1759871848362426485","https://twitter.com/Nizaamjanseva/status/1759871848362426485")</f>
        <v>https://twitter.com/Nizaamjanseva/status/1759871848362426485</v>
      </c>
      <c r="K2347" t="s">
        <v>145</v>
      </c>
      <c r="O2347">
        <v>0</v>
      </c>
      <c r="P2347">
        <v>0</v>
      </c>
      <c r="Q2347">
        <v>2</v>
      </c>
      <c r="R2347" t="s">
        <v>4739</v>
      </c>
      <c r="S2347">
        <v>0</v>
      </c>
      <c r="T2347">
        <v>0</v>
      </c>
      <c r="U2347">
        <v>0</v>
      </c>
      <c r="W2347" t="s">
        <v>146</v>
      </c>
    </row>
    <row r="2348" spans="1:45" x14ac:dyDescent="0.35">
      <c r="A2348" t="s">
        <v>45</v>
      </c>
      <c r="B2348" t="s">
        <v>5204</v>
      </c>
      <c r="C2348" t="s">
        <v>47</v>
      </c>
      <c r="D2348" t="s">
        <v>5294</v>
      </c>
      <c r="E2348" t="s">
        <v>5294</v>
      </c>
      <c r="F2348" t="s">
        <v>49</v>
      </c>
      <c r="G2348" t="s">
        <v>253</v>
      </c>
      <c r="H2348" t="s">
        <v>5295</v>
      </c>
      <c r="J2348" t="str">
        <f>HYPERLINK("https://www.facebook.com/357267201017935/inbox/7063166090427979/","https://www.facebook.com/357267201017935/inbox/7063166090427979/")</f>
        <v>https://www.facebook.com/357267201017935/inbox/7063166090427979/</v>
      </c>
      <c r="O2348">
        <v>0</v>
      </c>
      <c r="P2348">
        <v>0</v>
      </c>
      <c r="Q2348">
        <v>0</v>
      </c>
      <c r="S2348">
        <v>0</v>
      </c>
      <c r="T2348">
        <v>0</v>
      </c>
      <c r="U2348">
        <v>0</v>
      </c>
      <c r="W2348" t="s">
        <v>52</v>
      </c>
    </row>
    <row r="2349" spans="1:45" x14ac:dyDescent="0.35">
      <c r="A2349" t="s">
        <v>45</v>
      </c>
      <c r="B2349" t="s">
        <v>5204</v>
      </c>
      <c r="C2349" t="s">
        <v>47</v>
      </c>
      <c r="D2349" t="s">
        <v>5296</v>
      </c>
      <c r="E2349" t="s">
        <v>5296</v>
      </c>
      <c r="F2349" t="s">
        <v>49</v>
      </c>
      <c r="G2349" t="s">
        <v>459</v>
      </c>
      <c r="H2349" t="s">
        <v>5297</v>
      </c>
      <c r="J2349" t="str">
        <f>HYPERLINK("https://www.facebook.com/357267201017935/posts/3069910089753619/?comment_id=252315377924515","https://www.facebook.com/357267201017935/posts/3069910089753619/?comment_id=252315377924515")</f>
        <v>https://www.facebook.com/357267201017935/posts/3069910089753619/?comment_id=252315377924515</v>
      </c>
      <c r="O2349">
        <v>0</v>
      </c>
      <c r="P2349">
        <v>0</v>
      </c>
      <c r="Q2349">
        <v>0</v>
      </c>
      <c r="S2349">
        <v>0</v>
      </c>
      <c r="T2349">
        <v>0</v>
      </c>
      <c r="U2349">
        <v>0</v>
      </c>
      <c r="W2349" t="s">
        <v>62</v>
      </c>
      <c r="AS2349" t="s">
        <v>375</v>
      </c>
    </row>
    <row r="2350" spans="1:45" x14ac:dyDescent="0.35">
      <c r="A2350" t="s">
        <v>45</v>
      </c>
      <c r="B2350" t="s">
        <v>5204</v>
      </c>
      <c r="C2350" t="s">
        <v>47</v>
      </c>
      <c r="D2350" t="s">
        <v>5296</v>
      </c>
      <c r="E2350" t="s">
        <v>5296</v>
      </c>
      <c r="F2350" t="s">
        <v>49</v>
      </c>
      <c r="G2350" t="s">
        <v>459</v>
      </c>
      <c r="H2350" t="s">
        <v>5298</v>
      </c>
      <c r="J2350" t="str">
        <f>HYPERLINK("https://www.facebook.com/357267201017935/posts/3069910089753619/?comment_id=1363076814386067","https://www.facebook.com/357267201017935/posts/3069910089753619/?comment_id=1363076814386067")</f>
        <v>https://www.facebook.com/357267201017935/posts/3069910089753619/?comment_id=1363076814386067</v>
      </c>
      <c r="O2350">
        <v>0</v>
      </c>
      <c r="P2350">
        <v>0</v>
      </c>
      <c r="Q2350">
        <v>0</v>
      </c>
      <c r="S2350">
        <v>0</v>
      </c>
      <c r="T2350">
        <v>0</v>
      </c>
      <c r="U2350">
        <v>0</v>
      </c>
      <c r="W2350" t="s">
        <v>62</v>
      </c>
    </row>
    <row r="2351" spans="1:45" x14ac:dyDescent="0.35">
      <c r="A2351" t="s">
        <v>45</v>
      </c>
      <c r="B2351" t="s">
        <v>5204</v>
      </c>
      <c r="C2351" t="s">
        <v>47</v>
      </c>
      <c r="D2351" t="s">
        <v>5299</v>
      </c>
      <c r="E2351" t="s">
        <v>5299</v>
      </c>
      <c r="F2351" t="s">
        <v>49</v>
      </c>
      <c r="G2351" t="s">
        <v>50</v>
      </c>
      <c r="H2351" t="s">
        <v>5300</v>
      </c>
      <c r="J2351" t="str">
        <f>HYPERLINK("https://www.facebook.com/357267201017935/inbox/7062984010446187/","https://www.facebook.com/357267201017935/inbox/7062984010446187/")</f>
        <v>https://www.facebook.com/357267201017935/inbox/7062984010446187/</v>
      </c>
      <c r="O2351">
        <v>0</v>
      </c>
      <c r="P2351">
        <v>0</v>
      </c>
      <c r="Q2351">
        <v>0</v>
      </c>
      <c r="S2351">
        <v>0</v>
      </c>
      <c r="T2351">
        <v>0</v>
      </c>
      <c r="U2351">
        <v>0</v>
      </c>
      <c r="W2351" t="s">
        <v>52</v>
      </c>
    </row>
    <row r="2352" spans="1:45" x14ac:dyDescent="0.35">
      <c r="A2352" t="s">
        <v>45</v>
      </c>
      <c r="B2352" t="s">
        <v>5204</v>
      </c>
      <c r="C2352" t="s">
        <v>63</v>
      </c>
      <c r="D2352" t="s">
        <v>5301</v>
      </c>
      <c r="E2352" t="s">
        <v>5301</v>
      </c>
      <c r="F2352" t="s">
        <v>49</v>
      </c>
      <c r="G2352" t="s">
        <v>5302</v>
      </c>
      <c r="H2352" t="s">
        <v>5303</v>
      </c>
      <c r="J2352" t="str">
        <f>HYPERLINK("https://www.instagram.com/p/C3VES0FgrdQ/","https://www.instagram.com/p/C3VES0FgrdQ/")</f>
        <v>https://www.instagram.com/p/C3VES0FgrdQ/</v>
      </c>
      <c r="O2352">
        <v>0</v>
      </c>
      <c r="P2352">
        <v>0</v>
      </c>
      <c r="Q2352">
        <v>0</v>
      </c>
      <c r="S2352">
        <v>0</v>
      </c>
      <c r="T2352">
        <v>0</v>
      </c>
      <c r="U2352">
        <v>0</v>
      </c>
      <c r="W2352" t="s">
        <v>62</v>
      </c>
    </row>
    <row r="2353" spans="1:45" x14ac:dyDescent="0.35">
      <c r="A2353" t="s">
        <v>45</v>
      </c>
      <c r="B2353" t="s">
        <v>5204</v>
      </c>
      <c r="C2353" t="s">
        <v>58</v>
      </c>
      <c r="D2353" t="s">
        <v>5304</v>
      </c>
      <c r="E2353" t="s">
        <v>5304</v>
      </c>
      <c r="F2353" t="s">
        <v>49</v>
      </c>
      <c r="G2353" t="s">
        <v>5305</v>
      </c>
      <c r="H2353" t="s">
        <v>5306</v>
      </c>
      <c r="J2353" t="str">
        <f>HYPERLINK("https://www.youtube.com/watch?v=zoou3hfJPys","https://www.youtube.com/watch?v=zoou3hfJPys")</f>
        <v>https://www.youtube.com/watch?v=zoou3hfJPys</v>
      </c>
      <c r="O2353">
        <v>0</v>
      </c>
      <c r="P2353">
        <v>0</v>
      </c>
      <c r="Q2353">
        <v>0</v>
      </c>
      <c r="S2353">
        <v>0</v>
      </c>
      <c r="T2353">
        <v>0</v>
      </c>
      <c r="U2353">
        <v>0</v>
      </c>
      <c r="W2353" t="s">
        <v>106</v>
      </c>
    </row>
    <row r="2354" spans="1:45" x14ac:dyDescent="0.35">
      <c r="A2354" t="s">
        <v>45</v>
      </c>
      <c r="B2354" t="s">
        <v>5204</v>
      </c>
      <c r="C2354" t="s">
        <v>58</v>
      </c>
      <c r="D2354" t="s">
        <v>5307</v>
      </c>
      <c r="E2354" t="s">
        <v>5307</v>
      </c>
      <c r="F2354" t="s">
        <v>76</v>
      </c>
      <c r="G2354" t="s">
        <v>5308</v>
      </c>
      <c r="H2354" t="s">
        <v>5309</v>
      </c>
      <c r="J2354" t="str">
        <f>HYPERLINK("https://www.youtube.com/watch?v=_Y9sVyesImE","https://www.youtube.com/watch?v=_Y9sVyesImE")</f>
        <v>https://www.youtube.com/watch?v=_Y9sVyesImE</v>
      </c>
      <c r="O2354">
        <v>0</v>
      </c>
      <c r="P2354">
        <v>0</v>
      </c>
      <c r="Q2354">
        <v>0</v>
      </c>
      <c r="S2354">
        <v>0</v>
      </c>
      <c r="T2354">
        <v>0</v>
      </c>
      <c r="U2354">
        <v>0</v>
      </c>
      <c r="W2354" t="s">
        <v>106</v>
      </c>
    </row>
    <row r="2355" spans="1:45" x14ac:dyDescent="0.35">
      <c r="A2355" t="s">
        <v>45</v>
      </c>
      <c r="B2355" t="s">
        <v>5204</v>
      </c>
      <c r="C2355" t="s">
        <v>58</v>
      </c>
      <c r="D2355" t="s">
        <v>5310</v>
      </c>
      <c r="E2355" t="s">
        <v>5310</v>
      </c>
      <c r="F2355" t="s">
        <v>49</v>
      </c>
      <c r="G2355" t="s">
        <v>5311</v>
      </c>
      <c r="H2355" t="s">
        <v>5312</v>
      </c>
      <c r="J2355" t="str">
        <f>HYPERLINK("https://www.youtube.com/watch?v=73ygsO-vX_o","https://www.youtube.com/watch?v=73ygsO-vX_o")</f>
        <v>https://www.youtube.com/watch?v=73ygsO-vX_o</v>
      </c>
      <c r="O2355">
        <v>0</v>
      </c>
      <c r="P2355">
        <v>0</v>
      </c>
      <c r="Q2355">
        <v>0</v>
      </c>
      <c r="S2355">
        <v>0</v>
      </c>
      <c r="T2355">
        <v>0</v>
      </c>
      <c r="U2355">
        <v>0</v>
      </c>
      <c r="W2355" t="s">
        <v>106</v>
      </c>
    </row>
    <row r="2356" spans="1:45" x14ac:dyDescent="0.35">
      <c r="A2356" t="s">
        <v>45</v>
      </c>
      <c r="B2356" t="s">
        <v>5204</v>
      </c>
      <c r="C2356" t="s">
        <v>3127</v>
      </c>
      <c r="D2356" t="s">
        <v>5313</v>
      </c>
      <c r="E2356" t="s">
        <v>5313</v>
      </c>
      <c r="F2356" t="s">
        <v>76</v>
      </c>
      <c r="G2356" t="s">
        <v>5314</v>
      </c>
      <c r="H2356" t="s">
        <v>5315</v>
      </c>
      <c r="J2356" t="str">
        <f>HYPERLINK("","")</f>
        <v/>
      </c>
      <c r="O2356">
        <v>0</v>
      </c>
      <c r="P2356">
        <v>0</v>
      </c>
      <c r="Q2356">
        <v>0</v>
      </c>
      <c r="S2356">
        <v>0</v>
      </c>
      <c r="T2356">
        <v>0</v>
      </c>
      <c r="U2356">
        <v>0</v>
      </c>
    </row>
    <row r="2357" spans="1:45" x14ac:dyDescent="0.35">
      <c r="A2357" t="s">
        <v>45</v>
      </c>
      <c r="B2357" t="s">
        <v>5316</v>
      </c>
      <c r="C2357" t="s">
        <v>47</v>
      </c>
      <c r="D2357" t="s">
        <v>163</v>
      </c>
      <c r="E2357" t="s">
        <v>163</v>
      </c>
      <c r="F2357" t="s">
        <v>49</v>
      </c>
      <c r="G2357" t="s">
        <v>5317</v>
      </c>
      <c r="H2357" t="s">
        <v>5318</v>
      </c>
      <c r="J2357" t="str">
        <f>HYPERLINK("https://www.facebook.com/454965103328545/posts/771906841634368?comment_id=1342521349780521","https://www.facebook.com/454965103328545/posts/771906841634368?comment_id=1342521349780521")</f>
        <v>https://www.facebook.com/454965103328545/posts/771906841634368?comment_id=1342521349780521</v>
      </c>
      <c r="O2357">
        <v>0</v>
      </c>
      <c r="P2357">
        <v>0</v>
      </c>
      <c r="Q2357">
        <v>0</v>
      </c>
      <c r="S2357">
        <v>0</v>
      </c>
      <c r="T2357">
        <v>0</v>
      </c>
      <c r="U2357">
        <v>0</v>
      </c>
      <c r="W2357" t="s">
        <v>62</v>
      </c>
      <c r="AS2357" t="s">
        <v>375</v>
      </c>
    </row>
    <row r="2358" spans="1:45" x14ac:dyDescent="0.35">
      <c r="A2358" t="s">
        <v>45</v>
      </c>
      <c r="B2358" t="s">
        <v>5316</v>
      </c>
      <c r="C2358" t="s">
        <v>47</v>
      </c>
      <c r="D2358" t="s">
        <v>4275</v>
      </c>
      <c r="E2358" t="s">
        <v>4275</v>
      </c>
      <c r="F2358" t="s">
        <v>49</v>
      </c>
      <c r="G2358" t="s">
        <v>253</v>
      </c>
      <c r="H2358" t="s">
        <v>5319</v>
      </c>
      <c r="J2358" t="str">
        <f>HYPERLINK("https://www.facebook.com/357267201017935/inbox/7060444830700105/","https://www.facebook.com/357267201017935/inbox/7060444830700105/")</f>
        <v>https://www.facebook.com/357267201017935/inbox/7060444830700105/</v>
      </c>
      <c r="O2358">
        <v>0</v>
      </c>
      <c r="P2358">
        <v>0</v>
      </c>
      <c r="Q2358">
        <v>0</v>
      </c>
      <c r="S2358">
        <v>0</v>
      </c>
      <c r="T2358">
        <v>0</v>
      </c>
      <c r="U2358">
        <v>0</v>
      </c>
      <c r="W2358" t="s">
        <v>52</v>
      </c>
    </row>
    <row r="2359" spans="1:45" x14ac:dyDescent="0.35">
      <c r="A2359" t="s">
        <v>45</v>
      </c>
      <c r="B2359" t="s">
        <v>5316</v>
      </c>
      <c r="C2359" t="s">
        <v>63</v>
      </c>
      <c r="D2359" t="s">
        <v>5320</v>
      </c>
      <c r="E2359" t="s">
        <v>5320</v>
      </c>
      <c r="F2359" t="s">
        <v>49</v>
      </c>
      <c r="G2359" t="s">
        <v>5321</v>
      </c>
      <c r="H2359" t="s">
        <v>5322</v>
      </c>
      <c r="J2359" t="str">
        <f>HYPERLINK("https://www.instagram.com/p/C2Rt24ZNQgs/","https://www.instagram.com/p/C2Rt24ZNQgs/")</f>
        <v>https://www.instagram.com/p/C2Rt24ZNQgs/</v>
      </c>
      <c r="O2359">
        <v>0</v>
      </c>
      <c r="P2359">
        <v>0</v>
      </c>
      <c r="Q2359">
        <v>0</v>
      </c>
      <c r="S2359">
        <v>0</v>
      </c>
      <c r="T2359">
        <v>0</v>
      </c>
      <c r="U2359">
        <v>0</v>
      </c>
      <c r="W2359" t="s">
        <v>62</v>
      </c>
    </row>
    <row r="2360" spans="1:45" x14ac:dyDescent="0.35">
      <c r="A2360" t="s">
        <v>45</v>
      </c>
      <c r="B2360" t="s">
        <v>5316</v>
      </c>
      <c r="C2360" t="s">
        <v>58</v>
      </c>
      <c r="D2360" t="s">
        <v>5323</v>
      </c>
      <c r="E2360" t="s">
        <v>5323</v>
      </c>
      <c r="F2360" t="s">
        <v>49</v>
      </c>
      <c r="G2360" t="s">
        <v>5324</v>
      </c>
      <c r="H2360" t="s">
        <v>5325</v>
      </c>
      <c r="J2360" t="str">
        <f>HYPERLINK("https://www.youtube.com/watch?v=ysGpFKzPts0","https://www.youtube.com/watch?v=ysGpFKzPts0")</f>
        <v>https://www.youtube.com/watch?v=ysGpFKzPts0</v>
      </c>
      <c r="O2360">
        <v>0</v>
      </c>
      <c r="P2360">
        <v>0</v>
      </c>
      <c r="Q2360">
        <v>0</v>
      </c>
      <c r="S2360">
        <v>0</v>
      </c>
      <c r="T2360">
        <v>0</v>
      </c>
      <c r="U2360">
        <v>0</v>
      </c>
      <c r="W2360" t="s">
        <v>106</v>
      </c>
      <c r="AP2360" t="s">
        <v>94</v>
      </c>
    </row>
    <row r="2361" spans="1:45" x14ac:dyDescent="0.35">
      <c r="A2361" t="s">
        <v>45</v>
      </c>
      <c r="B2361" t="s">
        <v>5316</v>
      </c>
      <c r="C2361" t="s">
        <v>58</v>
      </c>
      <c r="D2361" t="s">
        <v>3860</v>
      </c>
      <c r="E2361" t="s">
        <v>3860</v>
      </c>
      <c r="F2361" t="s">
        <v>49</v>
      </c>
      <c r="G2361" t="s">
        <v>5326</v>
      </c>
      <c r="H2361" t="s">
        <v>5327</v>
      </c>
      <c r="J2361" t="str">
        <f>HYPERLINK("https://www.youtube.com/watch?v=7418GSbnHfk","https://www.youtube.com/watch?v=7418GSbnHfk")</f>
        <v>https://www.youtube.com/watch?v=7418GSbnHfk</v>
      </c>
      <c r="O2361">
        <v>0</v>
      </c>
      <c r="P2361">
        <v>0</v>
      </c>
      <c r="Q2361">
        <v>0</v>
      </c>
      <c r="S2361">
        <v>0</v>
      </c>
      <c r="T2361">
        <v>0</v>
      </c>
      <c r="U2361">
        <v>0</v>
      </c>
      <c r="W2361" t="s">
        <v>106</v>
      </c>
      <c r="AP2361" t="s">
        <v>101</v>
      </c>
    </row>
    <row r="2362" spans="1:45" x14ac:dyDescent="0.35">
      <c r="A2362" t="s">
        <v>45</v>
      </c>
      <c r="B2362" t="s">
        <v>5316</v>
      </c>
      <c r="C2362" t="s">
        <v>58</v>
      </c>
      <c r="D2362" t="s">
        <v>5328</v>
      </c>
      <c r="E2362" t="s">
        <v>5328</v>
      </c>
      <c r="F2362" t="s">
        <v>76</v>
      </c>
      <c r="G2362" t="s">
        <v>5329</v>
      </c>
      <c r="H2362" t="s">
        <v>5330</v>
      </c>
      <c r="J2362" t="str">
        <f>HYPERLINK("https://www.youtube.com/watch?v=KAXlq2104Vg","https://www.youtube.com/watch?v=KAXlq2104Vg")</f>
        <v>https://www.youtube.com/watch?v=KAXlq2104Vg</v>
      </c>
      <c r="O2362">
        <v>0</v>
      </c>
      <c r="P2362">
        <v>0</v>
      </c>
      <c r="Q2362">
        <v>0</v>
      </c>
      <c r="S2362">
        <v>0</v>
      </c>
      <c r="T2362">
        <v>0</v>
      </c>
      <c r="U2362">
        <v>0</v>
      </c>
      <c r="W2362" t="s">
        <v>106</v>
      </c>
    </row>
    <row r="2363" spans="1:45" x14ac:dyDescent="0.35">
      <c r="A2363" t="s">
        <v>45</v>
      </c>
      <c r="B2363" t="s">
        <v>5316</v>
      </c>
      <c r="C2363" t="s">
        <v>47</v>
      </c>
      <c r="D2363" t="s">
        <v>5331</v>
      </c>
      <c r="E2363" t="s">
        <v>5331</v>
      </c>
      <c r="F2363" t="s">
        <v>49</v>
      </c>
      <c r="G2363" t="s">
        <v>5332</v>
      </c>
      <c r="H2363" t="s">
        <v>5333</v>
      </c>
      <c r="J2363" t="str">
        <f>HYPERLINK("https://www.facebook.com/357267201017935/inbox/7059685254109396/","https://www.facebook.com/357267201017935/inbox/7059685254109396/")</f>
        <v>https://www.facebook.com/357267201017935/inbox/7059685254109396/</v>
      </c>
      <c r="O2363">
        <v>0</v>
      </c>
      <c r="P2363">
        <v>0</v>
      </c>
      <c r="Q2363">
        <v>0</v>
      </c>
      <c r="S2363">
        <v>0</v>
      </c>
      <c r="T2363">
        <v>0</v>
      </c>
      <c r="U2363">
        <v>0</v>
      </c>
      <c r="W2363" t="s">
        <v>52</v>
      </c>
      <c r="AP2363" t="s">
        <v>94</v>
      </c>
    </row>
    <row r="2364" spans="1:45" x14ac:dyDescent="0.35">
      <c r="A2364" t="s">
        <v>45</v>
      </c>
      <c r="B2364" t="s">
        <v>5316</v>
      </c>
      <c r="C2364" t="s">
        <v>47</v>
      </c>
      <c r="D2364" t="s">
        <v>5334</v>
      </c>
      <c r="E2364" t="s">
        <v>5334</v>
      </c>
      <c r="F2364" t="s">
        <v>49</v>
      </c>
      <c r="G2364" t="s">
        <v>5335</v>
      </c>
      <c r="H2364" t="s">
        <v>5336</v>
      </c>
      <c r="J2364" t="str">
        <f>HYPERLINK("https://www.facebook.com/357267201017935/posts/2156059497805354/?comment_id=457319299952337","https://www.facebook.com/357267201017935/posts/2156059497805354/?comment_id=457319299952337")</f>
        <v>https://www.facebook.com/357267201017935/posts/2156059497805354/?comment_id=457319299952337</v>
      </c>
      <c r="O2364">
        <v>0</v>
      </c>
      <c r="P2364">
        <v>0</v>
      </c>
      <c r="Q2364">
        <v>0</v>
      </c>
      <c r="S2364">
        <v>0</v>
      </c>
      <c r="T2364">
        <v>0</v>
      </c>
      <c r="U2364">
        <v>0</v>
      </c>
      <c r="W2364" t="s">
        <v>62</v>
      </c>
      <c r="AO2364" t="s">
        <v>119</v>
      </c>
      <c r="AP2364" t="s">
        <v>101</v>
      </c>
      <c r="AS2364" t="s">
        <v>375</v>
      </c>
    </row>
    <row r="2365" spans="1:45" x14ac:dyDescent="0.35">
      <c r="A2365" t="s">
        <v>45</v>
      </c>
      <c r="B2365" t="s">
        <v>5316</v>
      </c>
      <c r="C2365" t="s">
        <v>47</v>
      </c>
      <c r="D2365" t="s">
        <v>5337</v>
      </c>
      <c r="E2365" t="s">
        <v>5337</v>
      </c>
      <c r="F2365" t="s">
        <v>49</v>
      </c>
      <c r="G2365" t="s">
        <v>5338</v>
      </c>
      <c r="H2365" t="s">
        <v>5339</v>
      </c>
      <c r="J2365" t="str">
        <f>HYPERLINK("https://www.facebook.com/454965103328545/posts/773137881511264?comment_id=792898439346787","https://www.facebook.com/454965103328545/posts/773137881511264?comment_id=792898439346787")</f>
        <v>https://www.facebook.com/454965103328545/posts/773137881511264?comment_id=792898439346787</v>
      </c>
      <c r="O2365">
        <v>0</v>
      </c>
      <c r="P2365">
        <v>0</v>
      </c>
      <c r="Q2365">
        <v>0</v>
      </c>
      <c r="S2365">
        <v>0</v>
      </c>
      <c r="T2365">
        <v>0</v>
      </c>
      <c r="U2365">
        <v>0</v>
      </c>
      <c r="W2365" t="s">
        <v>62</v>
      </c>
    </row>
    <row r="2366" spans="1:45" x14ac:dyDescent="0.35">
      <c r="A2366" t="s">
        <v>45</v>
      </c>
      <c r="B2366" t="s">
        <v>5316</v>
      </c>
      <c r="C2366" t="s">
        <v>47</v>
      </c>
      <c r="D2366" t="s">
        <v>5033</v>
      </c>
      <c r="E2366" t="s">
        <v>5033</v>
      </c>
      <c r="F2366" t="s">
        <v>49</v>
      </c>
      <c r="G2366" t="s">
        <v>50</v>
      </c>
      <c r="H2366" t="s">
        <v>5340</v>
      </c>
      <c r="J2366" t="str">
        <f>HYPERLINK("https://www.facebook.com/357267201017935/inbox/7058761440868444/","https://www.facebook.com/357267201017935/inbox/7058761440868444/")</f>
        <v>https://www.facebook.com/357267201017935/inbox/7058761440868444/</v>
      </c>
      <c r="O2366">
        <v>0</v>
      </c>
      <c r="P2366">
        <v>0</v>
      </c>
      <c r="Q2366">
        <v>0</v>
      </c>
      <c r="S2366">
        <v>0</v>
      </c>
      <c r="T2366">
        <v>0</v>
      </c>
      <c r="U2366">
        <v>0</v>
      </c>
      <c r="W2366" t="s">
        <v>52</v>
      </c>
      <c r="AS2366" t="s">
        <v>375</v>
      </c>
    </row>
    <row r="2367" spans="1:45" x14ac:dyDescent="0.35">
      <c r="A2367" t="s">
        <v>45</v>
      </c>
      <c r="B2367" t="s">
        <v>5316</v>
      </c>
      <c r="C2367" t="s">
        <v>47</v>
      </c>
      <c r="D2367" t="s">
        <v>5028</v>
      </c>
      <c r="E2367" t="s">
        <v>5028</v>
      </c>
      <c r="F2367" t="s">
        <v>49</v>
      </c>
      <c r="G2367" t="s">
        <v>5341</v>
      </c>
      <c r="H2367" t="s">
        <v>5342</v>
      </c>
      <c r="J2367" t="str">
        <f>HYPERLINK("https://www.facebook.com/357267201017935/inbox/7058695294208392/","https://www.facebook.com/357267201017935/inbox/7058695294208392/")</f>
        <v>https://www.facebook.com/357267201017935/inbox/7058695294208392/</v>
      </c>
      <c r="O2367">
        <v>0</v>
      </c>
      <c r="P2367">
        <v>0</v>
      </c>
      <c r="Q2367">
        <v>0</v>
      </c>
      <c r="S2367">
        <v>0</v>
      </c>
      <c r="T2367">
        <v>0</v>
      </c>
      <c r="U2367">
        <v>0</v>
      </c>
      <c r="W2367" t="s">
        <v>52</v>
      </c>
      <c r="AS2367" t="s">
        <v>375</v>
      </c>
    </row>
    <row r="2368" spans="1:45" x14ac:dyDescent="0.35">
      <c r="A2368" t="s">
        <v>45</v>
      </c>
      <c r="B2368" t="s">
        <v>5316</v>
      </c>
      <c r="C2368" t="s">
        <v>47</v>
      </c>
      <c r="D2368" t="s">
        <v>5028</v>
      </c>
      <c r="E2368" t="s">
        <v>5028</v>
      </c>
      <c r="F2368" t="s">
        <v>49</v>
      </c>
      <c r="G2368" t="s">
        <v>5343</v>
      </c>
      <c r="H2368" t="s">
        <v>5344</v>
      </c>
      <c r="J2368" t="str">
        <f>HYPERLINK("https://www.facebook.com/357267201017935/inbox/7058695294208392/","https://www.facebook.com/357267201017935/inbox/7058695294208392/")</f>
        <v>https://www.facebook.com/357267201017935/inbox/7058695294208392/</v>
      </c>
      <c r="O2368">
        <v>0</v>
      </c>
      <c r="P2368">
        <v>0</v>
      </c>
      <c r="Q2368">
        <v>0</v>
      </c>
      <c r="S2368">
        <v>0</v>
      </c>
      <c r="T2368">
        <v>0</v>
      </c>
      <c r="U2368">
        <v>0</v>
      </c>
      <c r="W2368" t="s">
        <v>52</v>
      </c>
    </row>
    <row r="2369" spans="1:41" x14ac:dyDescent="0.35">
      <c r="A2369" t="s">
        <v>45</v>
      </c>
      <c r="B2369" t="s">
        <v>5316</v>
      </c>
      <c r="C2369" t="s">
        <v>47</v>
      </c>
      <c r="D2369" t="s">
        <v>5028</v>
      </c>
      <c r="E2369" t="s">
        <v>5028</v>
      </c>
      <c r="F2369" t="s">
        <v>49</v>
      </c>
      <c r="G2369" t="s">
        <v>5345</v>
      </c>
      <c r="H2369" t="s">
        <v>5346</v>
      </c>
      <c r="J2369" t="str">
        <f>HYPERLINK("https://www.facebook.com/357267201017935/inbox/7058695294208392/","https://www.facebook.com/357267201017935/inbox/7058695294208392/")</f>
        <v>https://www.facebook.com/357267201017935/inbox/7058695294208392/</v>
      </c>
      <c r="O2369">
        <v>0</v>
      </c>
      <c r="P2369">
        <v>0</v>
      </c>
      <c r="Q2369">
        <v>0</v>
      </c>
      <c r="S2369">
        <v>0</v>
      </c>
      <c r="T2369">
        <v>0</v>
      </c>
      <c r="U2369">
        <v>0</v>
      </c>
      <c r="W2369" t="s">
        <v>52</v>
      </c>
    </row>
    <row r="2370" spans="1:41" x14ac:dyDescent="0.35">
      <c r="A2370" t="s">
        <v>45</v>
      </c>
      <c r="B2370" t="s">
        <v>5316</v>
      </c>
      <c r="C2370" t="s">
        <v>47</v>
      </c>
      <c r="D2370" t="s">
        <v>5028</v>
      </c>
      <c r="E2370" t="s">
        <v>5028</v>
      </c>
      <c r="F2370" t="s">
        <v>49</v>
      </c>
      <c r="G2370" t="s">
        <v>50</v>
      </c>
      <c r="H2370" t="s">
        <v>5347</v>
      </c>
      <c r="J2370" t="str">
        <f>HYPERLINK("https://www.facebook.com/357267201017935/inbox/7058695294208392/","https://www.facebook.com/357267201017935/inbox/7058695294208392/")</f>
        <v>https://www.facebook.com/357267201017935/inbox/7058695294208392/</v>
      </c>
      <c r="O2370">
        <v>0</v>
      </c>
      <c r="P2370">
        <v>0</v>
      </c>
      <c r="Q2370">
        <v>0</v>
      </c>
      <c r="S2370">
        <v>0</v>
      </c>
      <c r="T2370">
        <v>0</v>
      </c>
      <c r="U2370">
        <v>0</v>
      </c>
      <c r="W2370" t="s">
        <v>52</v>
      </c>
    </row>
    <row r="2371" spans="1:41" x14ac:dyDescent="0.35">
      <c r="A2371" t="s">
        <v>45</v>
      </c>
      <c r="B2371" t="s">
        <v>5316</v>
      </c>
      <c r="C2371" t="s">
        <v>139</v>
      </c>
      <c r="D2371" t="s">
        <v>5348</v>
      </c>
      <c r="E2371" t="s">
        <v>5349</v>
      </c>
      <c r="F2371" t="s">
        <v>49</v>
      </c>
      <c r="G2371" t="s">
        <v>5350</v>
      </c>
      <c r="H2371" t="s">
        <v>5351</v>
      </c>
      <c r="J2371" t="str">
        <f>HYPERLINK("https://twitter.com/yogensachdev/status/1759461520268722656","https://twitter.com/yogensachdev/status/1759461520268722656")</f>
        <v>https://twitter.com/yogensachdev/status/1759461520268722656</v>
      </c>
      <c r="K2371" t="s">
        <v>145</v>
      </c>
      <c r="O2371">
        <v>0</v>
      </c>
      <c r="P2371">
        <v>0</v>
      </c>
      <c r="Q2371">
        <v>59</v>
      </c>
      <c r="R2371" t="s">
        <v>1247</v>
      </c>
      <c r="S2371">
        <v>0</v>
      </c>
      <c r="T2371">
        <v>0</v>
      </c>
      <c r="U2371">
        <v>0</v>
      </c>
      <c r="W2371" t="s">
        <v>146</v>
      </c>
    </row>
    <row r="2372" spans="1:41" x14ac:dyDescent="0.35">
      <c r="A2372" t="s">
        <v>45</v>
      </c>
      <c r="B2372" t="s">
        <v>5316</v>
      </c>
      <c r="C2372" t="s">
        <v>47</v>
      </c>
      <c r="D2372" t="s">
        <v>5352</v>
      </c>
      <c r="E2372" t="s">
        <v>5352</v>
      </c>
      <c r="F2372" t="s">
        <v>49</v>
      </c>
      <c r="G2372" t="s">
        <v>5353</v>
      </c>
      <c r="H2372" t="s">
        <v>5354</v>
      </c>
      <c r="J2372" t="str">
        <f>HYPERLINK("https://www.facebook.com/454965103328545/posts/773137881511264?comment_id=7581221108563450","https://www.facebook.com/454965103328545/posts/773137881511264?comment_id=7581221108563450")</f>
        <v>https://www.facebook.com/454965103328545/posts/773137881511264?comment_id=7581221108563450</v>
      </c>
      <c r="O2372">
        <v>0</v>
      </c>
      <c r="P2372">
        <v>0</v>
      </c>
      <c r="Q2372">
        <v>0</v>
      </c>
      <c r="S2372">
        <v>0</v>
      </c>
      <c r="T2372">
        <v>0</v>
      </c>
      <c r="U2372">
        <v>0</v>
      </c>
      <c r="W2372" t="s">
        <v>62</v>
      </c>
    </row>
    <row r="2373" spans="1:41" x14ac:dyDescent="0.35">
      <c r="A2373" t="s">
        <v>45</v>
      </c>
      <c r="B2373" t="s">
        <v>5316</v>
      </c>
      <c r="C2373" t="s">
        <v>102</v>
      </c>
      <c r="D2373" t="s">
        <v>5355</v>
      </c>
      <c r="E2373" t="s">
        <v>5355</v>
      </c>
      <c r="F2373" t="s">
        <v>49</v>
      </c>
      <c r="G2373" t="s">
        <v>5356</v>
      </c>
      <c r="H2373" t="s">
        <v>5357</v>
      </c>
      <c r="J2373" t="str">
        <f>HYPERLINK("https://www.linkedin.com/feed/update/urn:li:activity:7165170628348571648/?commentUrn=urn:li:comment:(urn:li:activity:7165170628348571648,7165217652485935105)","https://www.linkedin.com/feed/update/urn:li:activity:7165170628348571648/?commentUrn=urn:li:comment:(urn:li:activity:7165170628348571648,7165217652485935105)")</f>
        <v>https://www.linkedin.com/feed/update/urn:li:activity:7165170628348571648/?commentUrn=urn:li:comment:(urn:li:activity:7165170628348571648,7165217652485935105)</v>
      </c>
      <c r="O2373">
        <v>0</v>
      </c>
      <c r="P2373">
        <v>0</v>
      </c>
      <c r="Q2373">
        <v>0</v>
      </c>
      <c r="S2373">
        <v>0</v>
      </c>
      <c r="T2373">
        <v>0</v>
      </c>
      <c r="U2373">
        <v>0</v>
      </c>
      <c r="W2373" t="s">
        <v>62</v>
      </c>
      <c r="AO2373" t="s">
        <v>119</v>
      </c>
    </row>
    <row r="2374" spans="1:41" x14ac:dyDescent="0.35">
      <c r="A2374" t="s">
        <v>45</v>
      </c>
      <c r="B2374" t="s">
        <v>5316</v>
      </c>
      <c r="C2374" t="s">
        <v>102</v>
      </c>
      <c r="D2374" t="s">
        <v>5355</v>
      </c>
      <c r="E2374" t="s">
        <v>5355</v>
      </c>
      <c r="F2374" t="s">
        <v>49</v>
      </c>
      <c r="G2374" t="s">
        <v>5356</v>
      </c>
      <c r="H2374" t="s">
        <v>5358</v>
      </c>
      <c r="J2374" t="str">
        <f>HYPERLINK("https://www.linkedin.com/feed/update/urn:li:activity:7165170628348571648/?commentUrn=urn:li:comment:(urn:li:activity:7165170628348571648,7165217496193490944)","https://www.linkedin.com/feed/update/urn:li:activity:7165170628348571648/?commentUrn=urn:li:comment:(urn:li:activity:7165170628348571648,7165217496193490944)")</f>
        <v>https://www.linkedin.com/feed/update/urn:li:activity:7165170628348571648/?commentUrn=urn:li:comment:(urn:li:activity:7165170628348571648,7165217496193490944)</v>
      </c>
      <c r="O2374">
        <v>0</v>
      </c>
      <c r="P2374">
        <v>0</v>
      </c>
      <c r="Q2374">
        <v>0</v>
      </c>
      <c r="S2374">
        <v>0</v>
      </c>
      <c r="T2374">
        <v>0</v>
      </c>
      <c r="U2374">
        <v>0</v>
      </c>
      <c r="W2374" t="s">
        <v>62</v>
      </c>
      <c r="AO2374" t="s">
        <v>119</v>
      </c>
    </row>
    <row r="2375" spans="1:41" x14ac:dyDescent="0.35">
      <c r="A2375" t="s">
        <v>45</v>
      </c>
      <c r="B2375" t="s">
        <v>5316</v>
      </c>
      <c r="C2375" t="s">
        <v>102</v>
      </c>
      <c r="D2375" t="s">
        <v>5359</v>
      </c>
      <c r="E2375" t="s">
        <v>5359</v>
      </c>
      <c r="F2375" t="s">
        <v>49</v>
      </c>
      <c r="G2375" t="s">
        <v>5360</v>
      </c>
      <c r="H2375" t="s">
        <v>5361</v>
      </c>
      <c r="J2375" t="str">
        <f>HYPERLINK("https://www.linkedin.com/feed/update/urn:li:activity:7165206630861680641","https://www.linkedin.com/feed/update/urn:li:activity:7165206630861680641")</f>
        <v>https://www.linkedin.com/feed/update/urn:li:activity:7165206630861680641</v>
      </c>
      <c r="O2375">
        <v>0</v>
      </c>
      <c r="P2375">
        <v>0</v>
      </c>
      <c r="Q2375">
        <v>0</v>
      </c>
      <c r="S2375">
        <v>0</v>
      </c>
      <c r="T2375">
        <v>0</v>
      </c>
      <c r="U2375">
        <v>0</v>
      </c>
      <c r="W2375" t="s">
        <v>106</v>
      </c>
    </row>
    <row r="2376" spans="1:41" x14ac:dyDescent="0.35">
      <c r="A2376" t="s">
        <v>45</v>
      </c>
      <c r="B2376" t="s">
        <v>5316</v>
      </c>
      <c r="C2376" t="s">
        <v>58</v>
      </c>
      <c r="D2376" t="s">
        <v>5362</v>
      </c>
      <c r="E2376" t="s">
        <v>5362</v>
      </c>
      <c r="F2376" t="s">
        <v>49</v>
      </c>
      <c r="G2376" t="s">
        <v>5363</v>
      </c>
      <c r="H2376" t="s">
        <v>5364</v>
      </c>
      <c r="J2376" t="str">
        <f>HYPERLINK("https://www.youtube.com/watch?v=h0bepiiaMS8&amp;lc=UgxV0zuh98t9y5w0gTB4AaABAg","https://www.youtube.com/watch?v=h0bepiiaMS8&amp;lc=UgxV0zuh98t9y5w0gTB4AaABAg")</f>
        <v>https://www.youtube.com/watch?v=h0bepiiaMS8&amp;lc=UgxV0zuh98t9y5w0gTB4AaABAg</v>
      </c>
      <c r="O2376">
        <v>0</v>
      </c>
      <c r="P2376">
        <v>0</v>
      </c>
      <c r="Q2376">
        <v>0</v>
      </c>
      <c r="S2376">
        <v>0</v>
      </c>
      <c r="T2376">
        <v>0</v>
      </c>
      <c r="U2376">
        <v>0</v>
      </c>
      <c r="W2376" t="s">
        <v>62</v>
      </c>
    </row>
    <row r="2377" spans="1:41" x14ac:dyDescent="0.35">
      <c r="A2377" t="s">
        <v>45</v>
      </c>
      <c r="B2377" t="s">
        <v>5316</v>
      </c>
      <c r="C2377" t="s">
        <v>63</v>
      </c>
      <c r="D2377" t="s">
        <v>186</v>
      </c>
      <c r="E2377" t="s">
        <v>186</v>
      </c>
      <c r="F2377" t="s">
        <v>49</v>
      </c>
      <c r="G2377" t="s">
        <v>5365</v>
      </c>
      <c r="H2377" t="s">
        <v>5366</v>
      </c>
      <c r="J2377" t="str">
        <f>HYPERLINK("https://www.instagram.com/p/C3gyoG7roSJ/","https://www.instagram.com/p/C3gyoG7roSJ/")</f>
        <v>https://www.instagram.com/p/C3gyoG7roSJ/</v>
      </c>
      <c r="O2377">
        <v>0</v>
      </c>
      <c r="P2377">
        <v>0</v>
      </c>
      <c r="Q2377">
        <v>0</v>
      </c>
      <c r="S2377">
        <v>0</v>
      </c>
      <c r="T2377">
        <v>132</v>
      </c>
      <c r="U2377">
        <v>0</v>
      </c>
      <c r="W2377" t="s">
        <v>106</v>
      </c>
    </row>
    <row r="2378" spans="1:41" x14ac:dyDescent="0.35">
      <c r="A2378" t="s">
        <v>45</v>
      </c>
      <c r="B2378" t="s">
        <v>5316</v>
      </c>
      <c r="C2378" t="s">
        <v>47</v>
      </c>
      <c r="D2378" t="s">
        <v>45</v>
      </c>
      <c r="E2378" t="s">
        <v>45</v>
      </c>
      <c r="F2378" t="s">
        <v>49</v>
      </c>
      <c r="G2378" t="s">
        <v>5365</v>
      </c>
      <c r="H2378" t="s">
        <v>5367</v>
      </c>
      <c r="J2378" t="str">
        <f>HYPERLINK("https://www.facebook.com/357267201017935_773137881511264","https://www.facebook.com/357267201017935_773137881511264")</f>
        <v>https://www.facebook.com/357267201017935_773137881511264</v>
      </c>
      <c r="O2378">
        <v>0</v>
      </c>
      <c r="P2378">
        <v>0</v>
      </c>
      <c r="Q2378">
        <v>0</v>
      </c>
      <c r="S2378">
        <v>2</v>
      </c>
      <c r="T2378">
        <v>60</v>
      </c>
      <c r="U2378">
        <v>7</v>
      </c>
      <c r="W2378" t="s">
        <v>106</v>
      </c>
    </row>
    <row r="2379" spans="1:41" x14ac:dyDescent="0.35">
      <c r="A2379" t="s">
        <v>45</v>
      </c>
      <c r="B2379" t="s">
        <v>5316</v>
      </c>
      <c r="C2379" t="s">
        <v>139</v>
      </c>
      <c r="D2379" t="s">
        <v>190</v>
      </c>
      <c r="E2379" t="s">
        <v>45</v>
      </c>
      <c r="F2379" t="s">
        <v>49</v>
      </c>
      <c r="G2379" t="s">
        <v>4804</v>
      </c>
      <c r="H2379" t="s">
        <v>5368</v>
      </c>
      <c r="J2379" t="str">
        <f>HYPERLINK("https://twitter.com/FinoPaymntsBank/status/1759404939573674167","https://twitter.com/FinoPaymntsBank/status/1759404939573674167")</f>
        <v>https://twitter.com/FinoPaymntsBank/status/1759404939573674167</v>
      </c>
      <c r="K2379" t="s">
        <v>145</v>
      </c>
      <c r="O2379">
        <v>0</v>
      </c>
      <c r="P2379">
        <v>0</v>
      </c>
      <c r="Q2379">
        <v>8388</v>
      </c>
      <c r="R2379" t="s">
        <v>193</v>
      </c>
      <c r="S2379">
        <v>0</v>
      </c>
      <c r="T2379">
        <v>0</v>
      </c>
      <c r="U2379">
        <v>0</v>
      </c>
      <c r="W2379" t="s">
        <v>146</v>
      </c>
    </row>
    <row r="2380" spans="1:41" x14ac:dyDescent="0.35">
      <c r="A2380" t="s">
        <v>45</v>
      </c>
      <c r="B2380" t="s">
        <v>5316</v>
      </c>
      <c r="C2380" t="s">
        <v>58</v>
      </c>
      <c r="D2380" t="s">
        <v>5369</v>
      </c>
      <c r="E2380" t="s">
        <v>5369</v>
      </c>
      <c r="F2380" t="s">
        <v>49</v>
      </c>
      <c r="G2380" t="s">
        <v>5370</v>
      </c>
      <c r="H2380" t="s">
        <v>5371</v>
      </c>
      <c r="J2380" t="str">
        <f>HYPERLINK("https://www.youtube.com/watch?v=03GcWoJm9Nk","https://www.youtube.com/watch?v=03GcWoJm9Nk")</f>
        <v>https://www.youtube.com/watch?v=03GcWoJm9Nk</v>
      </c>
      <c r="O2380">
        <v>0</v>
      </c>
      <c r="P2380">
        <v>0</v>
      </c>
      <c r="Q2380">
        <v>0</v>
      </c>
      <c r="S2380">
        <v>0</v>
      </c>
      <c r="T2380">
        <v>0</v>
      </c>
      <c r="U2380">
        <v>0</v>
      </c>
      <c r="W2380" t="s">
        <v>106</v>
      </c>
    </row>
    <row r="2381" spans="1:41" x14ac:dyDescent="0.35">
      <c r="A2381" t="s">
        <v>45</v>
      </c>
      <c r="B2381" t="s">
        <v>5316</v>
      </c>
      <c r="C2381" t="s">
        <v>58</v>
      </c>
      <c r="D2381" t="s">
        <v>5372</v>
      </c>
      <c r="E2381" t="s">
        <v>5372</v>
      </c>
      <c r="F2381" t="s">
        <v>49</v>
      </c>
      <c r="G2381" t="s">
        <v>5373</v>
      </c>
      <c r="H2381" t="s">
        <v>5374</v>
      </c>
      <c r="J2381" t="str">
        <f>HYPERLINK("https://www.youtube.com/watch?v=4ud8pGk86MQ","https://www.youtube.com/watch?v=4ud8pGk86MQ")</f>
        <v>https://www.youtube.com/watch?v=4ud8pGk86MQ</v>
      </c>
      <c r="O2381">
        <v>0</v>
      </c>
      <c r="P2381">
        <v>0</v>
      </c>
      <c r="Q2381">
        <v>0</v>
      </c>
      <c r="S2381">
        <v>0</v>
      </c>
      <c r="T2381">
        <v>0</v>
      </c>
      <c r="U2381">
        <v>0</v>
      </c>
      <c r="W2381" t="s">
        <v>106</v>
      </c>
    </row>
    <row r="2382" spans="1:41" x14ac:dyDescent="0.35">
      <c r="A2382" t="s">
        <v>45</v>
      </c>
      <c r="B2382" t="s">
        <v>5316</v>
      </c>
      <c r="C2382" t="s">
        <v>139</v>
      </c>
      <c r="D2382" t="s">
        <v>5375</v>
      </c>
      <c r="E2382" t="s">
        <v>5376</v>
      </c>
      <c r="F2382" t="s">
        <v>49</v>
      </c>
      <c r="G2382" t="s">
        <v>5377</v>
      </c>
      <c r="H2382" t="s">
        <v>5378</v>
      </c>
      <c r="J2382" t="str">
        <f>HYPERLINK("https://twitter.com/OperatorMama/status/1759292363246359017","https://twitter.com/OperatorMama/status/1759292363246359017")</f>
        <v>https://twitter.com/OperatorMama/status/1759292363246359017</v>
      </c>
      <c r="O2382">
        <v>0</v>
      </c>
      <c r="P2382">
        <v>0</v>
      </c>
      <c r="Q2382">
        <v>619</v>
      </c>
      <c r="R2382" t="s">
        <v>5379</v>
      </c>
      <c r="S2382">
        <v>0</v>
      </c>
      <c r="T2382">
        <v>0</v>
      </c>
      <c r="U2382">
        <v>0</v>
      </c>
      <c r="W2382" t="s">
        <v>146</v>
      </c>
    </row>
    <row r="2383" spans="1:41" x14ac:dyDescent="0.35">
      <c r="A2383" t="s">
        <v>45</v>
      </c>
      <c r="B2383" t="s">
        <v>5380</v>
      </c>
      <c r="C2383" t="s">
        <v>47</v>
      </c>
      <c r="D2383" t="s">
        <v>5381</v>
      </c>
      <c r="E2383" t="s">
        <v>5381</v>
      </c>
      <c r="F2383" t="s">
        <v>49</v>
      </c>
      <c r="G2383" t="s">
        <v>5382</v>
      </c>
      <c r="H2383" t="s">
        <v>5383</v>
      </c>
      <c r="J2383" t="str">
        <f>HYPERLINK("https://www.facebook.com/357267201017935/inbox/7040456802698908/","https://www.facebook.com/357267201017935/inbox/7040456802698908/")</f>
        <v>https://www.facebook.com/357267201017935/inbox/7040456802698908/</v>
      </c>
      <c r="O2383">
        <v>0</v>
      </c>
      <c r="P2383">
        <v>0</v>
      </c>
      <c r="Q2383">
        <v>0</v>
      </c>
      <c r="S2383">
        <v>0</v>
      </c>
      <c r="T2383">
        <v>0</v>
      </c>
      <c r="U2383">
        <v>0</v>
      </c>
      <c r="W2383" t="s">
        <v>52</v>
      </c>
    </row>
    <row r="2384" spans="1:41" x14ac:dyDescent="0.35">
      <c r="A2384" t="s">
        <v>45</v>
      </c>
      <c r="B2384" t="s">
        <v>5380</v>
      </c>
      <c r="C2384" t="s">
        <v>47</v>
      </c>
      <c r="D2384" t="s">
        <v>5384</v>
      </c>
      <c r="E2384" t="s">
        <v>5384</v>
      </c>
      <c r="F2384" t="s">
        <v>49</v>
      </c>
      <c r="G2384" t="s">
        <v>50</v>
      </c>
      <c r="H2384" t="s">
        <v>5385</v>
      </c>
      <c r="J2384" t="str">
        <f>HYPERLINK("https://www.facebook.com/357267201017935/inbox/7056581371086451/","https://www.facebook.com/357267201017935/inbox/7056581371086451/")</f>
        <v>https://www.facebook.com/357267201017935/inbox/7056581371086451/</v>
      </c>
      <c r="O2384">
        <v>0</v>
      </c>
      <c r="P2384">
        <v>0</v>
      </c>
      <c r="Q2384">
        <v>0</v>
      </c>
      <c r="S2384">
        <v>0</v>
      </c>
      <c r="T2384">
        <v>0</v>
      </c>
      <c r="U2384">
        <v>0</v>
      </c>
      <c r="W2384" t="s">
        <v>52</v>
      </c>
    </row>
    <row r="2385" spans="1:42" x14ac:dyDescent="0.35">
      <c r="A2385" t="s">
        <v>45</v>
      </c>
      <c r="B2385" t="s">
        <v>5380</v>
      </c>
      <c r="C2385" t="s">
        <v>63</v>
      </c>
      <c r="D2385" t="s">
        <v>249</v>
      </c>
      <c r="E2385" t="s">
        <v>249</v>
      </c>
      <c r="F2385" t="s">
        <v>49</v>
      </c>
      <c r="G2385" t="s">
        <v>5386</v>
      </c>
      <c r="H2385" t="s">
        <v>5387</v>
      </c>
      <c r="J2385" t="str">
        <f>HYPERLINK("https://www.instagram.com/p/C3XdOqRvYPJ/","https://www.instagram.com/p/C3XdOqRvYPJ/")</f>
        <v>https://www.instagram.com/p/C3XdOqRvYPJ/</v>
      </c>
      <c r="O2385">
        <v>0</v>
      </c>
      <c r="P2385">
        <v>0</v>
      </c>
      <c r="Q2385">
        <v>0</v>
      </c>
      <c r="S2385">
        <v>0</v>
      </c>
      <c r="T2385">
        <v>0</v>
      </c>
      <c r="U2385">
        <v>0</v>
      </c>
      <c r="W2385" t="s">
        <v>62</v>
      </c>
    </row>
    <row r="2386" spans="1:42" x14ac:dyDescent="0.35">
      <c r="A2386" t="s">
        <v>45</v>
      </c>
      <c r="B2386" t="s">
        <v>5380</v>
      </c>
      <c r="C2386" t="s">
        <v>63</v>
      </c>
      <c r="D2386" t="s">
        <v>249</v>
      </c>
      <c r="E2386" t="s">
        <v>249</v>
      </c>
      <c r="F2386" t="s">
        <v>49</v>
      </c>
      <c r="G2386" t="s">
        <v>5388</v>
      </c>
      <c r="H2386" t="s">
        <v>5389</v>
      </c>
      <c r="J2386" t="str">
        <f>HYPERLINK("https://www.instagram.com/p/C3XdOqRvYPJ/","https://www.instagram.com/p/C3XdOqRvYPJ/")</f>
        <v>https://www.instagram.com/p/C3XdOqRvYPJ/</v>
      </c>
      <c r="O2386">
        <v>0</v>
      </c>
      <c r="P2386">
        <v>0</v>
      </c>
      <c r="Q2386">
        <v>0</v>
      </c>
      <c r="S2386">
        <v>0</v>
      </c>
      <c r="T2386">
        <v>0</v>
      </c>
      <c r="U2386">
        <v>0</v>
      </c>
      <c r="W2386" t="s">
        <v>62</v>
      </c>
    </row>
    <row r="2387" spans="1:42" x14ac:dyDescent="0.35">
      <c r="A2387" t="s">
        <v>45</v>
      </c>
      <c r="B2387" t="s">
        <v>5380</v>
      </c>
      <c r="C2387" t="s">
        <v>58</v>
      </c>
      <c r="D2387" t="s">
        <v>5390</v>
      </c>
      <c r="E2387" t="s">
        <v>5390</v>
      </c>
      <c r="F2387" t="s">
        <v>142</v>
      </c>
      <c r="G2387" t="s">
        <v>5391</v>
      </c>
      <c r="H2387" t="s">
        <v>5392</v>
      </c>
      <c r="J2387" t="str">
        <f>HYPERLINK("https://www.youtube.com/watch?v=Vnwtsuwl8RE","https://www.youtube.com/watch?v=Vnwtsuwl8RE")</f>
        <v>https://www.youtube.com/watch?v=Vnwtsuwl8RE</v>
      </c>
      <c r="O2387">
        <v>0</v>
      </c>
      <c r="P2387">
        <v>0</v>
      </c>
      <c r="Q2387">
        <v>0</v>
      </c>
      <c r="S2387">
        <v>0</v>
      </c>
      <c r="T2387">
        <v>0</v>
      </c>
      <c r="U2387">
        <v>0</v>
      </c>
      <c r="W2387" t="s">
        <v>106</v>
      </c>
    </row>
    <row r="2388" spans="1:42" x14ac:dyDescent="0.35">
      <c r="A2388" t="s">
        <v>45</v>
      </c>
      <c r="B2388" t="s">
        <v>5380</v>
      </c>
      <c r="C2388" t="s">
        <v>139</v>
      </c>
      <c r="D2388" t="s">
        <v>5393</v>
      </c>
      <c r="E2388" t="s">
        <v>5394</v>
      </c>
      <c r="F2388" t="s">
        <v>49</v>
      </c>
      <c r="G2388" t="s">
        <v>5395</v>
      </c>
      <c r="H2388" t="s">
        <v>5396</v>
      </c>
      <c r="J2388" t="str">
        <f>HYPERLINK("https://twitter.com/ImranAh87415675/status/1759249116121690233","https://twitter.com/ImranAh87415675/status/1759249116121690233")</f>
        <v>https://twitter.com/ImranAh87415675/status/1759249116121690233</v>
      </c>
      <c r="K2388" t="s">
        <v>145</v>
      </c>
      <c r="O2388">
        <v>0</v>
      </c>
      <c r="P2388">
        <v>0</v>
      </c>
      <c r="Q2388">
        <v>1</v>
      </c>
      <c r="S2388">
        <v>0</v>
      </c>
      <c r="T2388">
        <v>0</v>
      </c>
      <c r="U2388">
        <v>0</v>
      </c>
      <c r="W2388" t="s">
        <v>146</v>
      </c>
    </row>
    <row r="2389" spans="1:42" x14ac:dyDescent="0.35">
      <c r="A2389" t="s">
        <v>45</v>
      </c>
      <c r="B2389" t="s">
        <v>5380</v>
      </c>
      <c r="C2389" t="s">
        <v>58</v>
      </c>
      <c r="D2389" t="s">
        <v>5397</v>
      </c>
      <c r="E2389" t="s">
        <v>5397</v>
      </c>
      <c r="F2389" t="s">
        <v>49</v>
      </c>
      <c r="G2389" t="s">
        <v>5398</v>
      </c>
      <c r="H2389" t="s">
        <v>5399</v>
      </c>
      <c r="J2389" t="str">
        <f>HYPERLINK("https://www.youtube.com/watch?v=jndi_LE1Rw4","https://www.youtube.com/watch?v=jndi_LE1Rw4")</f>
        <v>https://www.youtube.com/watch?v=jndi_LE1Rw4</v>
      </c>
      <c r="O2389">
        <v>0</v>
      </c>
      <c r="P2389">
        <v>0</v>
      </c>
      <c r="Q2389">
        <v>0</v>
      </c>
      <c r="S2389">
        <v>0</v>
      </c>
      <c r="T2389">
        <v>0</v>
      </c>
      <c r="U2389">
        <v>0</v>
      </c>
      <c r="W2389" t="s">
        <v>106</v>
      </c>
    </row>
    <row r="2390" spans="1:42" x14ac:dyDescent="0.35">
      <c r="A2390" t="s">
        <v>45</v>
      </c>
      <c r="B2390" t="s">
        <v>5380</v>
      </c>
      <c r="C2390" t="s">
        <v>47</v>
      </c>
      <c r="D2390" t="s">
        <v>5400</v>
      </c>
      <c r="E2390" t="s">
        <v>5400</v>
      </c>
      <c r="F2390" t="s">
        <v>49</v>
      </c>
      <c r="G2390" t="s">
        <v>5401</v>
      </c>
      <c r="H2390" t="s">
        <v>5402</v>
      </c>
      <c r="J2390" t="str">
        <f>HYPERLINK("https://www.facebook.com/357267201017935/inbox/7056092851135303/","https://www.facebook.com/357267201017935/inbox/7056092851135303/")</f>
        <v>https://www.facebook.com/357267201017935/inbox/7056092851135303/</v>
      </c>
      <c r="O2390">
        <v>0</v>
      </c>
      <c r="P2390">
        <v>0</v>
      </c>
      <c r="Q2390">
        <v>0</v>
      </c>
      <c r="S2390">
        <v>0</v>
      </c>
      <c r="T2390">
        <v>0</v>
      </c>
      <c r="U2390">
        <v>0</v>
      </c>
      <c r="W2390" t="s">
        <v>52</v>
      </c>
    </row>
    <row r="2391" spans="1:42" x14ac:dyDescent="0.35">
      <c r="A2391" t="s">
        <v>45</v>
      </c>
      <c r="B2391" t="s">
        <v>5380</v>
      </c>
      <c r="C2391" t="s">
        <v>58</v>
      </c>
      <c r="D2391" t="s">
        <v>5403</v>
      </c>
      <c r="E2391" t="s">
        <v>5403</v>
      </c>
      <c r="F2391" t="s">
        <v>49</v>
      </c>
      <c r="G2391" t="s">
        <v>5404</v>
      </c>
      <c r="H2391" t="s">
        <v>5405</v>
      </c>
      <c r="J2391" t="str">
        <f>HYPERLINK("https://www.youtube.com/watch?v=TD8qs5MDtOw","https://www.youtube.com/watch?v=TD8qs5MDtOw")</f>
        <v>https://www.youtube.com/watch?v=TD8qs5MDtOw</v>
      </c>
      <c r="O2391">
        <v>0</v>
      </c>
      <c r="P2391">
        <v>0</v>
      </c>
      <c r="Q2391">
        <v>0</v>
      </c>
      <c r="S2391">
        <v>0</v>
      </c>
      <c r="T2391">
        <v>0</v>
      </c>
      <c r="U2391">
        <v>0</v>
      </c>
      <c r="W2391" t="s">
        <v>106</v>
      </c>
    </row>
    <row r="2392" spans="1:42" x14ac:dyDescent="0.35">
      <c r="A2392" t="s">
        <v>45</v>
      </c>
      <c r="B2392" t="s">
        <v>5380</v>
      </c>
      <c r="C2392" t="s">
        <v>58</v>
      </c>
      <c r="D2392" t="s">
        <v>5406</v>
      </c>
      <c r="E2392" t="s">
        <v>5406</v>
      </c>
      <c r="F2392" t="s">
        <v>142</v>
      </c>
      <c r="G2392" t="s">
        <v>5407</v>
      </c>
      <c r="H2392" t="s">
        <v>5408</v>
      </c>
      <c r="J2392" t="str">
        <f>HYPERLINK("https://www.youtube.com/watch?v=8BBdeVpeRC0","https://www.youtube.com/watch?v=8BBdeVpeRC0")</f>
        <v>https://www.youtube.com/watch?v=8BBdeVpeRC0</v>
      </c>
      <c r="O2392">
        <v>0</v>
      </c>
      <c r="P2392">
        <v>0</v>
      </c>
      <c r="Q2392">
        <v>0</v>
      </c>
      <c r="S2392">
        <v>0</v>
      </c>
      <c r="T2392">
        <v>0</v>
      </c>
      <c r="U2392">
        <v>0</v>
      </c>
      <c r="W2392" t="s">
        <v>106</v>
      </c>
    </row>
    <row r="2393" spans="1:42" x14ac:dyDescent="0.35">
      <c r="A2393" t="s">
        <v>45</v>
      </c>
      <c r="B2393" t="s">
        <v>5380</v>
      </c>
      <c r="C2393" t="s">
        <v>47</v>
      </c>
      <c r="D2393" t="s">
        <v>5409</v>
      </c>
      <c r="E2393" t="s">
        <v>5409</v>
      </c>
      <c r="F2393" t="s">
        <v>49</v>
      </c>
      <c r="G2393">
        <v>9049214535</v>
      </c>
      <c r="H2393" t="s">
        <v>5410</v>
      </c>
      <c r="J2393" t="str">
        <f>HYPERLINK("https://www.facebook.com/454965103328545/posts/771262205032165?comment_id=1197664881207757","https://www.facebook.com/454965103328545/posts/771262205032165?comment_id=1197664881207757")</f>
        <v>https://www.facebook.com/454965103328545/posts/771262205032165?comment_id=1197664881207757</v>
      </c>
      <c r="O2393">
        <v>0</v>
      </c>
      <c r="P2393">
        <v>0</v>
      </c>
      <c r="Q2393">
        <v>0</v>
      </c>
      <c r="S2393">
        <v>0</v>
      </c>
      <c r="T2393">
        <v>0</v>
      </c>
      <c r="U2393">
        <v>0</v>
      </c>
      <c r="W2393" t="s">
        <v>62</v>
      </c>
    </row>
    <row r="2394" spans="1:42" x14ac:dyDescent="0.35">
      <c r="A2394" t="s">
        <v>45</v>
      </c>
      <c r="B2394" t="s">
        <v>5380</v>
      </c>
      <c r="C2394" t="s">
        <v>47</v>
      </c>
      <c r="D2394" t="s">
        <v>5411</v>
      </c>
      <c r="E2394" t="s">
        <v>5411</v>
      </c>
      <c r="F2394" t="s">
        <v>49</v>
      </c>
      <c r="G2394" t="s">
        <v>253</v>
      </c>
      <c r="H2394" t="s">
        <v>5412</v>
      </c>
      <c r="J2394" t="str">
        <f>HYPERLINK("https://www.facebook.com/357267201017935/inbox/7055265134551408/","https://www.facebook.com/357267201017935/inbox/7055265134551408/")</f>
        <v>https://www.facebook.com/357267201017935/inbox/7055265134551408/</v>
      </c>
      <c r="O2394">
        <v>0</v>
      </c>
      <c r="P2394">
        <v>0</v>
      </c>
      <c r="Q2394">
        <v>0</v>
      </c>
      <c r="S2394">
        <v>0</v>
      </c>
      <c r="T2394">
        <v>0</v>
      </c>
      <c r="U2394">
        <v>0</v>
      </c>
      <c r="W2394" t="s">
        <v>52</v>
      </c>
    </row>
    <row r="2395" spans="1:42" x14ac:dyDescent="0.35">
      <c r="A2395" t="s">
        <v>45</v>
      </c>
      <c r="B2395" t="s">
        <v>5380</v>
      </c>
      <c r="C2395" t="s">
        <v>47</v>
      </c>
      <c r="D2395" t="s">
        <v>5413</v>
      </c>
      <c r="E2395" t="s">
        <v>5413</v>
      </c>
      <c r="F2395" t="s">
        <v>49</v>
      </c>
      <c r="G2395" t="s">
        <v>373</v>
      </c>
      <c r="H2395" t="s">
        <v>5414</v>
      </c>
      <c r="J2395" t="str">
        <f>HYPERLINK("https://www.facebook.com/357267201017935/inbox/7055210967890158/","https://www.facebook.com/357267201017935/inbox/7055210967890158/")</f>
        <v>https://www.facebook.com/357267201017935/inbox/7055210967890158/</v>
      </c>
      <c r="O2395">
        <v>0</v>
      </c>
      <c r="P2395">
        <v>0</v>
      </c>
      <c r="Q2395">
        <v>0</v>
      </c>
      <c r="S2395">
        <v>0</v>
      </c>
      <c r="T2395">
        <v>0</v>
      </c>
      <c r="U2395">
        <v>0</v>
      </c>
      <c r="W2395" t="s">
        <v>52</v>
      </c>
    </row>
    <row r="2396" spans="1:42" x14ac:dyDescent="0.35">
      <c r="A2396" t="s">
        <v>45</v>
      </c>
      <c r="B2396" t="s">
        <v>5380</v>
      </c>
      <c r="C2396" t="s">
        <v>58</v>
      </c>
      <c r="D2396" t="s">
        <v>4389</v>
      </c>
      <c r="E2396" t="s">
        <v>4389</v>
      </c>
      <c r="F2396" t="s">
        <v>49</v>
      </c>
      <c r="G2396" t="s">
        <v>5415</v>
      </c>
      <c r="H2396" t="s">
        <v>5416</v>
      </c>
      <c r="J2396" t="str">
        <f>HYPERLINK("https://www.youtube.com/watch?v=FjOURf3baGU","https://www.youtube.com/watch?v=FjOURf3baGU")</f>
        <v>https://www.youtube.com/watch?v=FjOURf3baGU</v>
      </c>
      <c r="O2396">
        <v>0</v>
      </c>
      <c r="P2396">
        <v>0</v>
      </c>
      <c r="Q2396">
        <v>0</v>
      </c>
      <c r="S2396">
        <v>0</v>
      </c>
      <c r="T2396">
        <v>0</v>
      </c>
      <c r="U2396">
        <v>0</v>
      </c>
      <c r="W2396" t="s">
        <v>106</v>
      </c>
    </row>
    <row r="2397" spans="1:42" x14ac:dyDescent="0.35">
      <c r="A2397" t="s">
        <v>45</v>
      </c>
      <c r="B2397" t="s">
        <v>5380</v>
      </c>
      <c r="C2397" t="s">
        <v>63</v>
      </c>
      <c r="D2397" t="s">
        <v>5417</v>
      </c>
      <c r="E2397" t="s">
        <v>5417</v>
      </c>
      <c r="F2397" t="s">
        <v>49</v>
      </c>
      <c r="G2397" t="s">
        <v>5418</v>
      </c>
      <c r="H2397" t="s">
        <v>5419</v>
      </c>
      <c r="J2397" t="str">
        <f>HYPERLINK("https://www.instagram.com/reel/C3aCHENO4-0/","https://www.instagram.com/reel/C3aCHENO4-0/")</f>
        <v>https://www.instagram.com/reel/C3aCHENO4-0/</v>
      </c>
      <c r="O2397">
        <v>0</v>
      </c>
      <c r="P2397">
        <v>0</v>
      </c>
      <c r="Q2397">
        <v>0</v>
      </c>
      <c r="S2397">
        <v>0</v>
      </c>
      <c r="T2397">
        <v>0</v>
      </c>
      <c r="U2397">
        <v>0</v>
      </c>
      <c r="W2397" t="s">
        <v>62</v>
      </c>
    </row>
    <row r="2398" spans="1:42" x14ac:dyDescent="0.35">
      <c r="A2398" t="s">
        <v>45</v>
      </c>
      <c r="B2398" t="s">
        <v>5380</v>
      </c>
      <c r="C2398" t="s">
        <v>63</v>
      </c>
      <c r="D2398" t="s">
        <v>5417</v>
      </c>
      <c r="E2398" t="s">
        <v>5417</v>
      </c>
      <c r="F2398" t="s">
        <v>49</v>
      </c>
      <c r="G2398" t="s">
        <v>5418</v>
      </c>
      <c r="H2398" t="s">
        <v>5420</v>
      </c>
      <c r="J2398" t="str">
        <f>HYPERLINK("https://www.instagram.com/reel/C3aCHENO4-0/","https://www.instagram.com/reel/C3aCHENO4-0/")</f>
        <v>https://www.instagram.com/reel/C3aCHENO4-0/</v>
      </c>
      <c r="O2398">
        <v>0</v>
      </c>
      <c r="P2398">
        <v>0</v>
      </c>
      <c r="Q2398">
        <v>0</v>
      </c>
      <c r="S2398">
        <v>0</v>
      </c>
      <c r="T2398">
        <v>0</v>
      </c>
      <c r="U2398">
        <v>0</v>
      </c>
      <c r="W2398" t="s">
        <v>62</v>
      </c>
    </row>
    <row r="2399" spans="1:42" x14ac:dyDescent="0.35">
      <c r="A2399" t="s">
        <v>45</v>
      </c>
      <c r="B2399" t="s">
        <v>5380</v>
      </c>
      <c r="C2399" t="s">
        <v>58</v>
      </c>
      <c r="D2399" t="s">
        <v>5421</v>
      </c>
      <c r="E2399" t="s">
        <v>5421</v>
      </c>
      <c r="F2399" t="s">
        <v>49</v>
      </c>
      <c r="G2399" t="s">
        <v>5418</v>
      </c>
      <c r="H2399" t="s">
        <v>5422</v>
      </c>
      <c r="J2399" t="str">
        <f>HYPERLINK("https://www.youtube.com/watch?v=1mn3dk7wuRI&amp;lc=Ugz5f9XE2A-XJwJ7eed4AaABAg","https://www.youtube.com/watch?v=1mn3dk7wuRI&amp;lc=Ugz5f9XE2A-XJwJ7eed4AaABAg")</f>
        <v>https://www.youtube.com/watch?v=1mn3dk7wuRI&amp;lc=Ugz5f9XE2A-XJwJ7eed4AaABAg</v>
      </c>
      <c r="O2399">
        <v>0</v>
      </c>
      <c r="P2399">
        <v>0</v>
      </c>
      <c r="Q2399">
        <v>0</v>
      </c>
      <c r="S2399">
        <v>0</v>
      </c>
      <c r="T2399">
        <v>0</v>
      </c>
      <c r="U2399">
        <v>0</v>
      </c>
      <c r="W2399" t="s">
        <v>62</v>
      </c>
    </row>
    <row r="2400" spans="1:42" x14ac:dyDescent="0.35">
      <c r="A2400" t="s">
        <v>45</v>
      </c>
      <c r="B2400" t="s">
        <v>5380</v>
      </c>
      <c r="C2400" t="s">
        <v>139</v>
      </c>
      <c r="D2400" t="s">
        <v>5094</v>
      </c>
      <c r="E2400" t="s">
        <v>5095</v>
      </c>
      <c r="F2400" t="s">
        <v>142</v>
      </c>
      <c r="G2400" t="s">
        <v>5423</v>
      </c>
      <c r="H2400" t="s">
        <v>5424</v>
      </c>
      <c r="J2400" t="str">
        <f>HYPERLINK("https://twitter.com/Sanjay__Ahirwar/status/1759082057941078040","https://twitter.com/Sanjay__Ahirwar/status/1759082057941078040")</f>
        <v>https://twitter.com/Sanjay__Ahirwar/status/1759082057941078040</v>
      </c>
      <c r="K2400" t="s">
        <v>145</v>
      </c>
      <c r="O2400">
        <v>0</v>
      </c>
      <c r="P2400">
        <v>0</v>
      </c>
      <c r="Q2400">
        <v>53</v>
      </c>
      <c r="R2400" t="s">
        <v>3319</v>
      </c>
      <c r="S2400">
        <v>0</v>
      </c>
      <c r="T2400">
        <v>0</v>
      </c>
      <c r="U2400">
        <v>0</v>
      </c>
      <c r="W2400" t="s">
        <v>146</v>
      </c>
      <c r="AP2400" t="s">
        <v>147</v>
      </c>
    </row>
    <row r="2401" spans="1:42" x14ac:dyDescent="0.35">
      <c r="A2401" t="s">
        <v>45</v>
      </c>
      <c r="B2401" t="s">
        <v>5380</v>
      </c>
      <c r="C2401" t="s">
        <v>102</v>
      </c>
      <c r="D2401" t="s">
        <v>5425</v>
      </c>
      <c r="E2401" t="s">
        <v>5425</v>
      </c>
      <c r="F2401" t="s">
        <v>76</v>
      </c>
      <c r="G2401" t="s">
        <v>5426</v>
      </c>
      <c r="H2401" t="s">
        <v>5427</v>
      </c>
      <c r="J2401" t="str">
        <f>HYPERLINK("https://www.linkedin.com/feed/update/urn:li:activity:7164840995447152640","https://www.linkedin.com/feed/update/urn:li:activity:7164840995447152640")</f>
        <v>https://www.linkedin.com/feed/update/urn:li:activity:7164840995447152640</v>
      </c>
      <c r="O2401">
        <v>0</v>
      </c>
      <c r="P2401">
        <v>0</v>
      </c>
      <c r="Q2401">
        <v>0</v>
      </c>
      <c r="S2401">
        <v>0</v>
      </c>
      <c r="T2401">
        <v>0</v>
      </c>
      <c r="U2401">
        <v>0</v>
      </c>
      <c r="W2401" t="s">
        <v>106</v>
      </c>
    </row>
    <row r="2402" spans="1:42" x14ac:dyDescent="0.35">
      <c r="A2402" t="s">
        <v>45</v>
      </c>
      <c r="B2402" t="s">
        <v>5380</v>
      </c>
      <c r="C2402" t="s">
        <v>47</v>
      </c>
      <c r="D2402" t="s">
        <v>5428</v>
      </c>
      <c r="E2402" t="s">
        <v>5428</v>
      </c>
      <c r="F2402" t="s">
        <v>49</v>
      </c>
      <c r="G2402" t="s">
        <v>5429</v>
      </c>
      <c r="H2402" t="s">
        <v>5430</v>
      </c>
      <c r="J2402" t="str">
        <f>HYPERLINK("https://www.facebook.com/454965103328545/posts/771158271709225?comment_id=3925531771066598","https://www.facebook.com/454965103328545/posts/771158271709225?comment_id=3925531771066598")</f>
        <v>https://www.facebook.com/454965103328545/posts/771158271709225?comment_id=3925531771066598</v>
      </c>
      <c r="O2402">
        <v>0</v>
      </c>
      <c r="P2402">
        <v>0</v>
      </c>
      <c r="Q2402">
        <v>0</v>
      </c>
      <c r="S2402">
        <v>0</v>
      </c>
      <c r="T2402">
        <v>0</v>
      </c>
      <c r="U2402">
        <v>0</v>
      </c>
      <c r="W2402" t="s">
        <v>62</v>
      </c>
      <c r="AP2402" t="s">
        <v>101</v>
      </c>
    </row>
    <row r="2403" spans="1:42" x14ac:dyDescent="0.35">
      <c r="A2403" t="s">
        <v>45</v>
      </c>
      <c r="B2403" t="s">
        <v>5380</v>
      </c>
      <c r="C2403" t="s">
        <v>102</v>
      </c>
      <c r="D2403" t="s">
        <v>5431</v>
      </c>
      <c r="E2403" t="s">
        <v>5431</v>
      </c>
      <c r="F2403" t="s">
        <v>76</v>
      </c>
      <c r="G2403" t="s">
        <v>5432</v>
      </c>
      <c r="H2403" t="s">
        <v>5433</v>
      </c>
      <c r="J2403" t="str">
        <f>HYPERLINK("https://www.linkedin.com/feed/update/urn:li:ugcPost:7164818312848195585","https://www.linkedin.com/feed/update/urn:li:ugcPost:7164818312848195585")</f>
        <v>https://www.linkedin.com/feed/update/urn:li:ugcPost:7164818312848195585</v>
      </c>
      <c r="O2403">
        <v>0</v>
      </c>
      <c r="P2403">
        <v>0</v>
      </c>
      <c r="Q2403">
        <v>0</v>
      </c>
      <c r="S2403">
        <v>0</v>
      </c>
      <c r="T2403">
        <v>0</v>
      </c>
      <c r="U2403">
        <v>0</v>
      </c>
      <c r="W2403" t="s">
        <v>106</v>
      </c>
    </row>
    <row r="2404" spans="1:42" x14ac:dyDescent="0.35">
      <c r="A2404" t="s">
        <v>45</v>
      </c>
      <c r="B2404" t="s">
        <v>5380</v>
      </c>
      <c r="C2404" t="s">
        <v>139</v>
      </c>
      <c r="D2404" t="s">
        <v>5434</v>
      </c>
      <c r="E2404" t="s">
        <v>5435</v>
      </c>
      <c r="F2404" t="s">
        <v>76</v>
      </c>
      <c r="G2404" t="s">
        <v>5436</v>
      </c>
      <c r="H2404" t="s">
        <v>5437</v>
      </c>
      <c r="J2404" t="str">
        <f>HYPERLINK("https://twitter.com/JantaNews628012/status/1759037458719883731","https://twitter.com/JantaNews628012/status/1759037458719883731")</f>
        <v>https://twitter.com/JantaNews628012/status/1759037458719883731</v>
      </c>
      <c r="K2404" t="s">
        <v>145</v>
      </c>
      <c r="O2404">
        <v>0</v>
      </c>
      <c r="P2404">
        <v>0</v>
      </c>
      <c r="Q2404">
        <v>3</v>
      </c>
      <c r="R2404" t="s">
        <v>5438</v>
      </c>
      <c r="S2404">
        <v>0</v>
      </c>
      <c r="T2404">
        <v>0</v>
      </c>
      <c r="U2404">
        <v>0</v>
      </c>
      <c r="W2404" t="s">
        <v>146</v>
      </c>
    </row>
    <row r="2405" spans="1:42" x14ac:dyDescent="0.35">
      <c r="A2405" t="s">
        <v>45</v>
      </c>
      <c r="B2405" t="s">
        <v>5380</v>
      </c>
      <c r="C2405" t="s">
        <v>47</v>
      </c>
      <c r="F2405" t="s">
        <v>142</v>
      </c>
      <c r="G2405" t="s">
        <v>5439</v>
      </c>
      <c r="H2405" t="s">
        <v>5440</v>
      </c>
      <c r="J2405" t="str">
        <f>HYPERLINK("https://www.facebook.com/6820763411346178_10233216836833533","https://www.facebook.com/6820763411346178_10233216836833533")</f>
        <v>https://www.facebook.com/6820763411346178_10233216836833533</v>
      </c>
      <c r="O2405">
        <v>0</v>
      </c>
      <c r="P2405">
        <v>0</v>
      </c>
      <c r="Q2405">
        <v>0</v>
      </c>
      <c r="S2405">
        <v>0</v>
      </c>
      <c r="T2405">
        <v>0</v>
      </c>
      <c r="U2405">
        <v>0</v>
      </c>
      <c r="W2405" t="s">
        <v>106</v>
      </c>
    </row>
    <row r="2406" spans="1:42" x14ac:dyDescent="0.35">
      <c r="A2406" t="s">
        <v>45</v>
      </c>
      <c r="B2406" t="s">
        <v>5380</v>
      </c>
      <c r="C2406" t="s">
        <v>58</v>
      </c>
      <c r="D2406" t="s">
        <v>5441</v>
      </c>
      <c r="E2406" t="s">
        <v>5441</v>
      </c>
      <c r="F2406" t="s">
        <v>76</v>
      </c>
      <c r="G2406" t="s">
        <v>5442</v>
      </c>
      <c r="H2406" t="s">
        <v>5443</v>
      </c>
      <c r="J2406" t="str">
        <f>HYPERLINK("https://www.youtube.com/watch?v=abbPXkZL4Bk","https://www.youtube.com/watch?v=abbPXkZL4Bk")</f>
        <v>https://www.youtube.com/watch?v=abbPXkZL4Bk</v>
      </c>
      <c r="O2406">
        <v>0</v>
      </c>
      <c r="P2406">
        <v>0</v>
      </c>
      <c r="Q2406">
        <v>0</v>
      </c>
      <c r="S2406">
        <v>0</v>
      </c>
      <c r="T2406">
        <v>0</v>
      </c>
      <c r="U2406">
        <v>0</v>
      </c>
      <c r="W2406" t="s">
        <v>106</v>
      </c>
    </row>
    <row r="2407" spans="1:42" x14ac:dyDescent="0.35">
      <c r="A2407" t="s">
        <v>45</v>
      </c>
      <c r="B2407" t="s">
        <v>5444</v>
      </c>
      <c r="C2407" t="s">
        <v>47</v>
      </c>
      <c r="D2407" t="s">
        <v>4907</v>
      </c>
      <c r="E2407" t="s">
        <v>4907</v>
      </c>
      <c r="F2407" t="s">
        <v>49</v>
      </c>
      <c r="G2407" t="s">
        <v>5445</v>
      </c>
      <c r="H2407" t="s">
        <v>5446</v>
      </c>
      <c r="J2407" t="str">
        <f>HYPERLINK("https://www.facebook.com/454965103328545/posts/773103518181367?comment_id=788702406492638","https://www.facebook.com/454965103328545/posts/773103518181367?comment_id=788702406492638")</f>
        <v>https://www.facebook.com/454965103328545/posts/773103518181367?comment_id=788702406492638</v>
      </c>
      <c r="O2407">
        <v>0</v>
      </c>
      <c r="P2407">
        <v>0</v>
      </c>
      <c r="Q2407">
        <v>0</v>
      </c>
      <c r="S2407">
        <v>0</v>
      </c>
      <c r="T2407">
        <v>0</v>
      </c>
      <c r="U2407">
        <v>0</v>
      </c>
      <c r="W2407" t="s">
        <v>62</v>
      </c>
    </row>
    <row r="2408" spans="1:42" x14ac:dyDescent="0.35">
      <c r="A2408" t="s">
        <v>45</v>
      </c>
      <c r="B2408" t="s">
        <v>5444</v>
      </c>
      <c r="C2408" t="s">
        <v>47</v>
      </c>
      <c r="D2408" t="s">
        <v>3899</v>
      </c>
      <c r="E2408" t="s">
        <v>3899</v>
      </c>
      <c r="F2408" t="s">
        <v>49</v>
      </c>
      <c r="G2408" t="s">
        <v>5447</v>
      </c>
      <c r="H2408" t="s">
        <v>5448</v>
      </c>
      <c r="J2408" t="str">
        <f>HYPERLINK("https://www.facebook.com/454965103328545/posts/773103518181367?comment_id=3415591585398622&amp;reply_comment_id=900079268225625","https://www.facebook.com/454965103328545/posts/773103518181367?comment_id=3415591585398622&amp;reply_comment_id=900079268225625")</f>
        <v>https://www.facebook.com/454965103328545/posts/773103518181367?comment_id=3415591585398622&amp;reply_comment_id=900079268225625</v>
      </c>
      <c r="O2408">
        <v>0</v>
      </c>
      <c r="P2408">
        <v>0</v>
      </c>
      <c r="Q2408">
        <v>0</v>
      </c>
      <c r="S2408">
        <v>0</v>
      </c>
      <c r="T2408">
        <v>0</v>
      </c>
      <c r="U2408">
        <v>0</v>
      </c>
      <c r="W2408" t="s">
        <v>62</v>
      </c>
    </row>
    <row r="2409" spans="1:42" x14ac:dyDescent="0.35">
      <c r="A2409" t="s">
        <v>45</v>
      </c>
      <c r="B2409" t="s">
        <v>5444</v>
      </c>
      <c r="C2409" t="s">
        <v>47</v>
      </c>
      <c r="D2409" t="s">
        <v>3899</v>
      </c>
      <c r="E2409" t="s">
        <v>3899</v>
      </c>
      <c r="F2409" t="s">
        <v>49</v>
      </c>
      <c r="G2409" t="s">
        <v>5449</v>
      </c>
      <c r="H2409" t="s">
        <v>5450</v>
      </c>
      <c r="J2409" t="str">
        <f>HYPERLINK("https://www.facebook.com/454965103328545/posts/773103518181367?comment_id=3823201194628146&amp;reply_comment_id=1039227337144515","https://www.facebook.com/454965103328545/posts/773103518181367?comment_id=3823201194628146&amp;reply_comment_id=1039227337144515")</f>
        <v>https://www.facebook.com/454965103328545/posts/773103518181367?comment_id=3823201194628146&amp;reply_comment_id=1039227337144515</v>
      </c>
      <c r="O2409">
        <v>0</v>
      </c>
      <c r="P2409">
        <v>0</v>
      </c>
      <c r="Q2409">
        <v>0</v>
      </c>
      <c r="S2409">
        <v>0</v>
      </c>
      <c r="T2409">
        <v>0</v>
      </c>
      <c r="U2409">
        <v>0</v>
      </c>
      <c r="W2409" t="s">
        <v>62</v>
      </c>
    </row>
    <row r="2410" spans="1:42" x14ac:dyDescent="0.35">
      <c r="A2410" t="s">
        <v>45</v>
      </c>
      <c r="B2410" t="s">
        <v>5444</v>
      </c>
      <c r="C2410" t="s">
        <v>47</v>
      </c>
      <c r="D2410" t="s">
        <v>5451</v>
      </c>
      <c r="E2410" t="s">
        <v>5451</v>
      </c>
      <c r="F2410" t="s">
        <v>76</v>
      </c>
      <c r="G2410" t="s">
        <v>5452</v>
      </c>
      <c r="H2410" t="s">
        <v>5453</v>
      </c>
      <c r="J2410" t="str">
        <f>HYPERLINK("https://www.facebook.com/203173952279211/posts/428139266449344","https://www.facebook.com/203173952279211/posts/428139266449344")</f>
        <v>https://www.facebook.com/203173952279211/posts/428139266449344</v>
      </c>
      <c r="O2410">
        <v>0</v>
      </c>
      <c r="P2410">
        <v>0</v>
      </c>
      <c r="Q2410">
        <v>0</v>
      </c>
      <c r="S2410">
        <v>0</v>
      </c>
      <c r="T2410">
        <v>3</v>
      </c>
      <c r="U2410">
        <v>6</v>
      </c>
      <c r="W2410" t="s">
        <v>106</v>
      </c>
    </row>
    <row r="2411" spans="1:42" x14ac:dyDescent="0.35">
      <c r="A2411" t="s">
        <v>45</v>
      </c>
      <c r="B2411" t="s">
        <v>5444</v>
      </c>
      <c r="C2411" t="s">
        <v>47</v>
      </c>
      <c r="D2411" t="s">
        <v>5454</v>
      </c>
      <c r="E2411" t="s">
        <v>5454</v>
      </c>
      <c r="F2411" t="s">
        <v>49</v>
      </c>
      <c r="G2411" t="s">
        <v>373</v>
      </c>
      <c r="H2411" t="s">
        <v>5455</v>
      </c>
      <c r="J2411" t="str">
        <f>HYPERLINK("https://www.facebook.com/357267201017935/inbox/7052488634829058/","https://www.facebook.com/357267201017935/inbox/7052488634829058/")</f>
        <v>https://www.facebook.com/357267201017935/inbox/7052488634829058/</v>
      </c>
      <c r="O2411">
        <v>0</v>
      </c>
      <c r="P2411">
        <v>0</v>
      </c>
      <c r="Q2411">
        <v>0</v>
      </c>
      <c r="S2411">
        <v>0</v>
      </c>
      <c r="T2411">
        <v>0</v>
      </c>
      <c r="U2411">
        <v>0</v>
      </c>
      <c r="W2411" t="s">
        <v>52</v>
      </c>
    </row>
    <row r="2412" spans="1:42" x14ac:dyDescent="0.35">
      <c r="A2412" t="s">
        <v>45</v>
      </c>
      <c r="B2412" t="s">
        <v>5444</v>
      </c>
      <c r="C2412" t="s">
        <v>58</v>
      </c>
      <c r="D2412" t="s">
        <v>5456</v>
      </c>
      <c r="E2412" t="s">
        <v>5456</v>
      </c>
      <c r="F2412" t="s">
        <v>49</v>
      </c>
      <c r="G2412" t="s">
        <v>5457</v>
      </c>
      <c r="H2412" t="s">
        <v>5458</v>
      </c>
      <c r="J2412" t="str">
        <f>HYPERLINK("https://www.youtube.com/watch?v=HvLhhbDP22I","https://www.youtube.com/watch?v=HvLhhbDP22I")</f>
        <v>https://www.youtube.com/watch?v=HvLhhbDP22I</v>
      </c>
      <c r="O2412">
        <v>0</v>
      </c>
      <c r="P2412">
        <v>0</v>
      </c>
      <c r="Q2412">
        <v>0</v>
      </c>
      <c r="S2412">
        <v>0</v>
      </c>
      <c r="T2412">
        <v>0</v>
      </c>
      <c r="U2412">
        <v>0</v>
      </c>
      <c r="W2412" t="s">
        <v>106</v>
      </c>
      <c r="AP2412" t="s">
        <v>101</v>
      </c>
    </row>
    <row r="2413" spans="1:42" x14ac:dyDescent="0.35">
      <c r="A2413" t="s">
        <v>45</v>
      </c>
      <c r="B2413" t="s">
        <v>5444</v>
      </c>
      <c r="C2413" t="s">
        <v>139</v>
      </c>
      <c r="D2413" t="s">
        <v>5459</v>
      </c>
      <c r="E2413" t="s">
        <v>5460</v>
      </c>
      <c r="F2413" t="s">
        <v>142</v>
      </c>
      <c r="G2413" t="s">
        <v>5461</v>
      </c>
      <c r="H2413" t="s">
        <v>5462</v>
      </c>
      <c r="J2413" t="str">
        <f>HYPERLINK("https://twitter.com/IshuRan88190335/status/1758860459225080249","https://twitter.com/IshuRan88190335/status/1758860459225080249")</f>
        <v>https://twitter.com/IshuRan88190335/status/1758860459225080249</v>
      </c>
      <c r="K2413" t="s">
        <v>145</v>
      </c>
      <c r="O2413">
        <v>0</v>
      </c>
      <c r="P2413">
        <v>0</v>
      </c>
      <c r="Q2413">
        <v>22</v>
      </c>
      <c r="S2413">
        <v>0</v>
      </c>
      <c r="T2413">
        <v>0</v>
      </c>
      <c r="U2413">
        <v>0</v>
      </c>
      <c r="W2413" t="s">
        <v>146</v>
      </c>
      <c r="AP2413" t="s">
        <v>147</v>
      </c>
    </row>
    <row r="2414" spans="1:42" x14ac:dyDescent="0.35">
      <c r="A2414" t="s">
        <v>45</v>
      </c>
      <c r="B2414" t="s">
        <v>5444</v>
      </c>
      <c r="C2414" t="s">
        <v>58</v>
      </c>
      <c r="D2414" t="s">
        <v>5463</v>
      </c>
      <c r="E2414" t="s">
        <v>5463</v>
      </c>
      <c r="F2414" t="s">
        <v>49</v>
      </c>
      <c r="G2414" t="s">
        <v>5464</v>
      </c>
      <c r="H2414" t="s">
        <v>5465</v>
      </c>
      <c r="J2414" t="str">
        <f>HYPERLINK("https://www.youtube.com/watch?v=c6hqDV8YDQ0","https://www.youtube.com/watch?v=c6hqDV8YDQ0")</f>
        <v>https://www.youtube.com/watch?v=c6hqDV8YDQ0</v>
      </c>
      <c r="O2414">
        <v>0</v>
      </c>
      <c r="P2414">
        <v>0</v>
      </c>
      <c r="Q2414">
        <v>0</v>
      </c>
      <c r="S2414">
        <v>0</v>
      </c>
      <c r="T2414">
        <v>0</v>
      </c>
      <c r="U2414">
        <v>0</v>
      </c>
      <c r="W2414" t="s">
        <v>106</v>
      </c>
    </row>
    <row r="2415" spans="1:42" x14ac:dyDescent="0.35">
      <c r="A2415" t="s">
        <v>45</v>
      </c>
      <c r="B2415" t="s">
        <v>5444</v>
      </c>
      <c r="C2415" t="s">
        <v>47</v>
      </c>
      <c r="D2415" t="s">
        <v>3754</v>
      </c>
      <c r="E2415" t="s">
        <v>3754</v>
      </c>
      <c r="F2415" t="s">
        <v>49</v>
      </c>
      <c r="G2415" t="s">
        <v>5466</v>
      </c>
      <c r="H2415" t="s">
        <v>5467</v>
      </c>
      <c r="J2415" t="str">
        <f>HYPERLINK("https://www.facebook.com/357267201017935/inbox/7052149564862965/","https://www.facebook.com/357267201017935/inbox/7052149564862965/")</f>
        <v>https://www.facebook.com/357267201017935/inbox/7052149564862965/</v>
      </c>
      <c r="O2415">
        <v>0</v>
      </c>
      <c r="P2415">
        <v>0</v>
      </c>
      <c r="Q2415">
        <v>0</v>
      </c>
      <c r="S2415">
        <v>0</v>
      </c>
      <c r="T2415">
        <v>0</v>
      </c>
      <c r="U2415">
        <v>0</v>
      </c>
      <c r="W2415" t="s">
        <v>52</v>
      </c>
    </row>
    <row r="2416" spans="1:42" x14ac:dyDescent="0.35">
      <c r="A2416" t="s">
        <v>45</v>
      </c>
      <c r="B2416" t="s">
        <v>5444</v>
      </c>
      <c r="C2416" t="s">
        <v>47</v>
      </c>
      <c r="D2416" t="s">
        <v>3754</v>
      </c>
      <c r="E2416" t="s">
        <v>3754</v>
      </c>
      <c r="F2416" t="s">
        <v>49</v>
      </c>
      <c r="G2416" t="s">
        <v>5468</v>
      </c>
      <c r="H2416" t="s">
        <v>5469</v>
      </c>
      <c r="J2416" t="str">
        <f>HYPERLINK("https://www.facebook.com/454965103328545/posts/768116778680041?comment_id=338640359164973","https://www.facebook.com/454965103328545/posts/768116778680041?comment_id=338640359164973")</f>
        <v>https://www.facebook.com/454965103328545/posts/768116778680041?comment_id=338640359164973</v>
      </c>
      <c r="O2416">
        <v>0</v>
      </c>
      <c r="P2416">
        <v>0</v>
      </c>
      <c r="Q2416">
        <v>0</v>
      </c>
      <c r="S2416">
        <v>0</v>
      </c>
      <c r="T2416">
        <v>0</v>
      </c>
      <c r="U2416">
        <v>0</v>
      </c>
      <c r="W2416" t="s">
        <v>62</v>
      </c>
    </row>
    <row r="2417" spans="1:45" x14ac:dyDescent="0.35">
      <c r="A2417" t="s">
        <v>45</v>
      </c>
      <c r="B2417" t="s">
        <v>5444</v>
      </c>
      <c r="C2417" t="s">
        <v>47</v>
      </c>
      <c r="D2417" t="s">
        <v>3754</v>
      </c>
      <c r="E2417" t="s">
        <v>3754</v>
      </c>
      <c r="F2417" t="s">
        <v>49</v>
      </c>
      <c r="G2417">
        <v>9548003188</v>
      </c>
      <c r="H2417" t="s">
        <v>5470</v>
      </c>
      <c r="J2417" t="str">
        <f>HYPERLINK("https://www.facebook.com/454965103328545/posts/768116778680041?comment_id=1350316936366668&amp;reply_comment_id=901381711685752","https://www.facebook.com/454965103328545/posts/768116778680041?comment_id=1350316936366668&amp;reply_comment_id=901381711685752")</f>
        <v>https://www.facebook.com/454965103328545/posts/768116778680041?comment_id=1350316936366668&amp;reply_comment_id=901381711685752</v>
      </c>
      <c r="O2417">
        <v>0</v>
      </c>
      <c r="P2417">
        <v>0</v>
      </c>
      <c r="Q2417">
        <v>0</v>
      </c>
      <c r="S2417">
        <v>0</v>
      </c>
      <c r="T2417">
        <v>0</v>
      </c>
      <c r="U2417">
        <v>0</v>
      </c>
      <c r="W2417" t="s">
        <v>62</v>
      </c>
    </row>
    <row r="2418" spans="1:45" x14ac:dyDescent="0.35">
      <c r="A2418" t="s">
        <v>45</v>
      </c>
      <c r="B2418" t="s">
        <v>5444</v>
      </c>
      <c r="C2418" t="s">
        <v>58</v>
      </c>
      <c r="D2418" t="s">
        <v>5471</v>
      </c>
      <c r="E2418" t="s">
        <v>5471</v>
      </c>
      <c r="F2418" t="s">
        <v>49</v>
      </c>
      <c r="G2418" t="s">
        <v>5472</v>
      </c>
      <c r="H2418" t="s">
        <v>5473</v>
      </c>
      <c r="J2418" t="str">
        <f>HYPERLINK("https://www.youtube.com/watch?v=H4p3WTQmDM8","https://www.youtube.com/watch?v=H4p3WTQmDM8")</f>
        <v>https://www.youtube.com/watch?v=H4p3WTQmDM8</v>
      </c>
      <c r="O2418">
        <v>0</v>
      </c>
      <c r="P2418">
        <v>0</v>
      </c>
      <c r="Q2418">
        <v>0</v>
      </c>
      <c r="S2418">
        <v>0</v>
      </c>
      <c r="T2418">
        <v>0</v>
      </c>
      <c r="U2418">
        <v>0</v>
      </c>
      <c r="W2418" t="s">
        <v>106</v>
      </c>
    </row>
    <row r="2419" spans="1:45" x14ac:dyDescent="0.35">
      <c r="A2419" t="s">
        <v>45</v>
      </c>
      <c r="B2419" t="s">
        <v>5444</v>
      </c>
      <c r="C2419" t="s">
        <v>58</v>
      </c>
      <c r="D2419" t="s">
        <v>5474</v>
      </c>
      <c r="E2419" t="s">
        <v>5474</v>
      </c>
      <c r="F2419" t="s">
        <v>49</v>
      </c>
      <c r="G2419" t="s">
        <v>5475</v>
      </c>
      <c r="H2419" t="s">
        <v>5476</v>
      </c>
      <c r="J2419" t="str">
        <f>HYPERLINK("https://www.youtube.com/watch?v=jdd0zj9steU","https://www.youtube.com/watch?v=jdd0zj9steU")</f>
        <v>https://www.youtube.com/watch?v=jdd0zj9steU</v>
      </c>
      <c r="O2419">
        <v>0</v>
      </c>
      <c r="P2419">
        <v>0</v>
      </c>
      <c r="Q2419">
        <v>0</v>
      </c>
      <c r="S2419">
        <v>0</v>
      </c>
      <c r="T2419">
        <v>0</v>
      </c>
      <c r="U2419">
        <v>0</v>
      </c>
      <c r="W2419" t="s">
        <v>106</v>
      </c>
    </row>
    <row r="2420" spans="1:45" x14ac:dyDescent="0.35">
      <c r="A2420" t="s">
        <v>45</v>
      </c>
      <c r="B2420" t="s">
        <v>5444</v>
      </c>
      <c r="C2420" t="s">
        <v>47</v>
      </c>
      <c r="D2420" t="s">
        <v>5477</v>
      </c>
      <c r="E2420" t="s">
        <v>5477</v>
      </c>
      <c r="F2420" t="s">
        <v>49</v>
      </c>
      <c r="G2420" t="s">
        <v>5478</v>
      </c>
      <c r="H2420" t="s">
        <v>5479</v>
      </c>
      <c r="J2420" t="str">
        <f>HYPERLINK("https://www.facebook.com/627359856058709/posts/910068404454518","https://www.facebook.com/627359856058709/posts/910068404454518")</f>
        <v>https://www.facebook.com/627359856058709/posts/910068404454518</v>
      </c>
      <c r="O2420">
        <v>0</v>
      </c>
      <c r="P2420">
        <v>0</v>
      </c>
      <c r="Q2420">
        <v>0</v>
      </c>
      <c r="S2420">
        <v>2</v>
      </c>
      <c r="T2420">
        <v>3</v>
      </c>
      <c r="U2420">
        <v>26</v>
      </c>
      <c r="W2420" t="s">
        <v>106</v>
      </c>
    </row>
    <row r="2421" spans="1:45" x14ac:dyDescent="0.35">
      <c r="A2421" t="s">
        <v>45</v>
      </c>
      <c r="B2421" t="s">
        <v>5444</v>
      </c>
      <c r="C2421" t="s">
        <v>58</v>
      </c>
      <c r="D2421" t="s">
        <v>5287</v>
      </c>
      <c r="E2421" t="s">
        <v>5287</v>
      </c>
      <c r="F2421" t="s">
        <v>49</v>
      </c>
      <c r="G2421" t="s">
        <v>5480</v>
      </c>
      <c r="H2421" t="s">
        <v>5481</v>
      </c>
      <c r="J2421" t="str">
        <f>HYPERLINK("https://www.youtube.com/watch?v=URxh-aONqx0","https://www.youtube.com/watch?v=URxh-aONqx0")</f>
        <v>https://www.youtube.com/watch?v=URxh-aONqx0</v>
      </c>
      <c r="O2421">
        <v>0</v>
      </c>
      <c r="P2421">
        <v>0</v>
      </c>
      <c r="Q2421">
        <v>0</v>
      </c>
      <c r="S2421">
        <v>0</v>
      </c>
      <c r="T2421">
        <v>0</v>
      </c>
      <c r="U2421">
        <v>0</v>
      </c>
      <c r="W2421" t="s">
        <v>106</v>
      </c>
    </row>
    <row r="2422" spans="1:45" x14ac:dyDescent="0.35">
      <c r="A2422" t="s">
        <v>45</v>
      </c>
      <c r="B2422" t="s">
        <v>5444</v>
      </c>
      <c r="C2422" t="s">
        <v>47</v>
      </c>
      <c r="D2422" t="s">
        <v>246</v>
      </c>
      <c r="E2422" t="s">
        <v>246</v>
      </c>
      <c r="F2422" t="s">
        <v>49</v>
      </c>
      <c r="G2422" t="s">
        <v>247</v>
      </c>
      <c r="H2422" t="s">
        <v>5482</v>
      </c>
      <c r="J2422" t="str">
        <f>HYPERLINK("https://www.facebook.com/454965103328545/posts/773103518181367?comment_id=3823201194628146&amp;reply_comment_id=1850603102019470","https://www.facebook.com/454965103328545/posts/773103518181367?comment_id=3823201194628146&amp;reply_comment_id=1850603102019470")</f>
        <v>https://www.facebook.com/454965103328545/posts/773103518181367?comment_id=3823201194628146&amp;reply_comment_id=1850603102019470</v>
      </c>
      <c r="O2422">
        <v>0</v>
      </c>
      <c r="P2422">
        <v>0</v>
      </c>
      <c r="Q2422">
        <v>0</v>
      </c>
      <c r="S2422">
        <v>0</v>
      </c>
      <c r="T2422">
        <v>0</v>
      </c>
      <c r="U2422">
        <v>0</v>
      </c>
      <c r="W2422" t="s">
        <v>62</v>
      </c>
    </row>
    <row r="2423" spans="1:45" x14ac:dyDescent="0.35">
      <c r="A2423" t="s">
        <v>45</v>
      </c>
      <c r="B2423" t="s">
        <v>5444</v>
      </c>
      <c r="C2423" t="s">
        <v>47</v>
      </c>
      <c r="D2423" t="s">
        <v>4907</v>
      </c>
      <c r="E2423" t="s">
        <v>4907</v>
      </c>
      <c r="F2423" t="s">
        <v>76</v>
      </c>
      <c r="G2423" t="s">
        <v>5483</v>
      </c>
      <c r="H2423" t="s">
        <v>5484</v>
      </c>
      <c r="J2423" t="str">
        <f>HYPERLINK("https://www.facebook.com/454965103328545/posts/773103518181367?comment_id=3415591585398622","https://www.facebook.com/454965103328545/posts/773103518181367?comment_id=3415591585398622")</f>
        <v>https://www.facebook.com/454965103328545/posts/773103518181367?comment_id=3415591585398622</v>
      </c>
      <c r="O2423">
        <v>0</v>
      </c>
      <c r="P2423">
        <v>0</v>
      </c>
      <c r="Q2423">
        <v>0</v>
      </c>
      <c r="S2423">
        <v>0</v>
      </c>
      <c r="T2423">
        <v>0</v>
      </c>
      <c r="U2423">
        <v>0</v>
      </c>
      <c r="W2423" t="s">
        <v>62</v>
      </c>
    </row>
    <row r="2424" spans="1:45" x14ac:dyDescent="0.35">
      <c r="A2424" t="s">
        <v>45</v>
      </c>
      <c r="B2424" t="s">
        <v>5444</v>
      </c>
      <c r="C2424" t="s">
        <v>58</v>
      </c>
      <c r="D2424" t="s">
        <v>5485</v>
      </c>
      <c r="E2424" t="s">
        <v>5485</v>
      </c>
      <c r="F2424" t="s">
        <v>76</v>
      </c>
      <c r="G2424" t="s">
        <v>5486</v>
      </c>
      <c r="H2424" t="s">
        <v>5487</v>
      </c>
      <c r="J2424" t="str">
        <f>HYPERLINK("https://www.youtube.com/watch?v=4jgy_0smluE","https://www.youtube.com/watch?v=4jgy_0smluE")</f>
        <v>https://www.youtube.com/watch?v=4jgy_0smluE</v>
      </c>
      <c r="O2424">
        <v>0</v>
      </c>
      <c r="P2424">
        <v>0</v>
      </c>
      <c r="Q2424">
        <v>0</v>
      </c>
      <c r="S2424">
        <v>0</v>
      </c>
      <c r="T2424">
        <v>0</v>
      </c>
      <c r="U2424">
        <v>0</v>
      </c>
      <c r="W2424" t="s">
        <v>106</v>
      </c>
      <c r="AP2424" t="s">
        <v>101</v>
      </c>
    </row>
    <row r="2425" spans="1:45" x14ac:dyDescent="0.35">
      <c r="A2425" t="s">
        <v>45</v>
      </c>
      <c r="B2425" t="s">
        <v>5444</v>
      </c>
      <c r="C2425" t="s">
        <v>139</v>
      </c>
      <c r="D2425" t="s">
        <v>5488</v>
      </c>
      <c r="E2425" t="s">
        <v>5489</v>
      </c>
      <c r="F2425" t="s">
        <v>49</v>
      </c>
      <c r="G2425" t="s">
        <v>5490</v>
      </c>
      <c r="H2425" t="s">
        <v>5491</v>
      </c>
      <c r="J2425" t="str">
        <f>HYPERLINK("https://twitter.com/firozshekh99458/status/1758794448878911812","https://twitter.com/firozshekh99458/status/1758794448878911812")</f>
        <v>https://twitter.com/firozshekh99458/status/1758794448878911812</v>
      </c>
      <c r="K2425" t="s">
        <v>145</v>
      </c>
      <c r="O2425">
        <v>0</v>
      </c>
      <c r="P2425">
        <v>0</v>
      </c>
      <c r="Q2425">
        <v>0</v>
      </c>
      <c r="S2425">
        <v>0</v>
      </c>
      <c r="T2425">
        <v>0</v>
      </c>
      <c r="U2425">
        <v>0</v>
      </c>
      <c r="W2425" t="s">
        <v>146</v>
      </c>
    </row>
    <row r="2426" spans="1:45" x14ac:dyDescent="0.35">
      <c r="A2426" t="s">
        <v>45</v>
      </c>
      <c r="B2426" t="s">
        <v>5444</v>
      </c>
      <c r="C2426" t="s">
        <v>139</v>
      </c>
      <c r="D2426" t="s">
        <v>5488</v>
      </c>
      <c r="E2426" t="s">
        <v>5489</v>
      </c>
      <c r="F2426" t="s">
        <v>142</v>
      </c>
      <c r="G2426" t="s">
        <v>5492</v>
      </c>
      <c r="H2426" t="s">
        <v>5493</v>
      </c>
      <c r="J2426" t="str">
        <f>HYPERLINK("https://twitter.com/firozshekh99458/status/1758794141411250671","https://twitter.com/firozshekh99458/status/1758794141411250671")</f>
        <v>https://twitter.com/firozshekh99458/status/1758794141411250671</v>
      </c>
      <c r="K2426" t="s">
        <v>145</v>
      </c>
      <c r="O2426">
        <v>0</v>
      </c>
      <c r="P2426">
        <v>0</v>
      </c>
      <c r="Q2426">
        <v>0</v>
      </c>
      <c r="S2426">
        <v>0</v>
      </c>
      <c r="T2426">
        <v>0</v>
      </c>
      <c r="U2426">
        <v>0</v>
      </c>
      <c r="W2426" t="s">
        <v>146</v>
      </c>
      <c r="AP2426" t="s">
        <v>147</v>
      </c>
    </row>
    <row r="2427" spans="1:45" x14ac:dyDescent="0.35">
      <c r="A2427" t="s">
        <v>45</v>
      </c>
      <c r="B2427" t="s">
        <v>5444</v>
      </c>
      <c r="C2427" t="s">
        <v>47</v>
      </c>
      <c r="D2427" t="s">
        <v>45</v>
      </c>
      <c r="E2427" t="s">
        <v>45</v>
      </c>
      <c r="F2427" t="s">
        <v>49</v>
      </c>
      <c r="G2427" t="s">
        <v>5494</v>
      </c>
      <c r="H2427" t="s">
        <v>5495</v>
      </c>
      <c r="J2427" t="str">
        <f>HYPERLINK("https://www.facebook.com/454965103328545/posts/773103518181367?comment_id=3823201194628146&amp;reply_comment_id=960716085645219","https://www.facebook.com/454965103328545/posts/773103518181367?comment_id=3823201194628146&amp;reply_comment_id=960716085645219")</f>
        <v>https://www.facebook.com/454965103328545/posts/773103518181367?comment_id=3823201194628146&amp;reply_comment_id=960716085645219</v>
      </c>
      <c r="O2427">
        <v>0</v>
      </c>
      <c r="P2427">
        <v>0</v>
      </c>
      <c r="Q2427">
        <v>0</v>
      </c>
      <c r="S2427">
        <v>0</v>
      </c>
      <c r="T2427">
        <v>0</v>
      </c>
      <c r="U2427">
        <v>0</v>
      </c>
      <c r="W2427" t="s">
        <v>62</v>
      </c>
    </row>
    <row r="2428" spans="1:45" x14ac:dyDescent="0.35">
      <c r="A2428" t="s">
        <v>45</v>
      </c>
      <c r="B2428" t="s">
        <v>5444</v>
      </c>
      <c r="C2428" t="s">
        <v>58</v>
      </c>
      <c r="D2428" t="s">
        <v>5496</v>
      </c>
      <c r="E2428" t="s">
        <v>5496</v>
      </c>
      <c r="F2428" t="s">
        <v>49</v>
      </c>
      <c r="G2428" t="s">
        <v>5497</v>
      </c>
      <c r="H2428" t="s">
        <v>5498</v>
      </c>
      <c r="J2428" t="str">
        <f>HYPERLINK("https://www.youtube.com/watch?v=5XM6tgMT3W0","https://www.youtube.com/watch?v=5XM6tgMT3W0")</f>
        <v>https://www.youtube.com/watch?v=5XM6tgMT3W0</v>
      </c>
      <c r="O2428">
        <v>0</v>
      </c>
      <c r="P2428">
        <v>0</v>
      </c>
      <c r="Q2428">
        <v>0</v>
      </c>
      <c r="S2428">
        <v>0</v>
      </c>
      <c r="T2428">
        <v>0</v>
      </c>
      <c r="U2428">
        <v>0</v>
      </c>
      <c r="W2428" t="s">
        <v>106</v>
      </c>
    </row>
    <row r="2429" spans="1:45" x14ac:dyDescent="0.35">
      <c r="A2429" t="s">
        <v>45</v>
      </c>
      <c r="B2429" t="s">
        <v>5444</v>
      </c>
      <c r="C2429" t="s">
        <v>139</v>
      </c>
      <c r="D2429" t="s">
        <v>5499</v>
      </c>
      <c r="E2429" t="s">
        <v>5500</v>
      </c>
      <c r="F2429" t="s">
        <v>49</v>
      </c>
      <c r="G2429" t="s">
        <v>5501</v>
      </c>
      <c r="H2429" t="s">
        <v>5502</v>
      </c>
      <c r="J2429" t="str">
        <f>HYPERLINK("https://twitter.com/imankyvrmarlbaj/status/1758765357450285516","https://twitter.com/imankyvrmarlbaj/status/1758765357450285516")</f>
        <v>https://twitter.com/imankyvrmarlbaj/status/1758765357450285516</v>
      </c>
      <c r="K2429" t="s">
        <v>145</v>
      </c>
      <c r="O2429">
        <v>0</v>
      </c>
      <c r="P2429">
        <v>0</v>
      </c>
      <c r="Q2429">
        <v>440</v>
      </c>
      <c r="R2429" t="s">
        <v>5503</v>
      </c>
      <c r="S2429">
        <v>0</v>
      </c>
      <c r="T2429">
        <v>0</v>
      </c>
      <c r="U2429">
        <v>0</v>
      </c>
      <c r="W2429" t="s">
        <v>552</v>
      </c>
    </row>
    <row r="2430" spans="1:45" x14ac:dyDescent="0.35">
      <c r="A2430" t="s">
        <v>45</v>
      </c>
      <c r="B2430" t="s">
        <v>5444</v>
      </c>
      <c r="C2430" t="s">
        <v>63</v>
      </c>
      <c r="D2430" t="s">
        <v>5504</v>
      </c>
      <c r="E2430" t="s">
        <v>5504</v>
      </c>
      <c r="F2430" t="s">
        <v>142</v>
      </c>
      <c r="G2430" t="s">
        <v>5505</v>
      </c>
      <c r="H2430" t="s">
        <v>5506</v>
      </c>
      <c r="J2430" t="str">
        <f>HYPERLINK("https://www.instagram.com/p/C3U7TX_AUmg/","https://www.instagram.com/p/C3U7TX_AUmg/")</f>
        <v>https://www.instagram.com/p/C3U7TX_AUmg/</v>
      </c>
      <c r="O2430">
        <v>0</v>
      </c>
      <c r="P2430">
        <v>0</v>
      </c>
      <c r="Q2430">
        <v>0</v>
      </c>
      <c r="S2430">
        <v>0</v>
      </c>
      <c r="T2430">
        <v>0</v>
      </c>
      <c r="U2430">
        <v>0</v>
      </c>
      <c r="W2430" t="s">
        <v>62</v>
      </c>
      <c r="AP2430" t="s">
        <v>147</v>
      </c>
    </row>
    <row r="2431" spans="1:45" x14ac:dyDescent="0.35">
      <c r="A2431" t="s">
        <v>45</v>
      </c>
      <c r="B2431" t="s">
        <v>5444</v>
      </c>
      <c r="C2431" t="s">
        <v>139</v>
      </c>
      <c r="D2431" t="s">
        <v>5507</v>
      </c>
      <c r="E2431" t="s">
        <v>5508</v>
      </c>
      <c r="F2431" t="s">
        <v>49</v>
      </c>
      <c r="G2431" t="s">
        <v>5501</v>
      </c>
      <c r="H2431" t="s">
        <v>5509</v>
      </c>
      <c r="J2431" t="str">
        <f>HYPERLINK("https://twitter.com/VijayGopalBhat2/status/1758745960128356637","https://twitter.com/VijayGopalBhat2/status/1758745960128356637")</f>
        <v>https://twitter.com/VijayGopalBhat2/status/1758745960128356637</v>
      </c>
      <c r="K2431" t="s">
        <v>145</v>
      </c>
      <c r="O2431">
        <v>0</v>
      </c>
      <c r="P2431">
        <v>0</v>
      </c>
      <c r="Q2431">
        <v>24</v>
      </c>
      <c r="S2431">
        <v>0</v>
      </c>
      <c r="T2431">
        <v>0</v>
      </c>
      <c r="U2431">
        <v>0</v>
      </c>
      <c r="W2431" t="s">
        <v>552</v>
      </c>
    </row>
    <row r="2432" spans="1:45" x14ac:dyDescent="0.35">
      <c r="A2432" t="s">
        <v>45</v>
      </c>
      <c r="B2432" t="s">
        <v>5444</v>
      </c>
      <c r="C2432" t="s">
        <v>47</v>
      </c>
      <c r="D2432" t="s">
        <v>5510</v>
      </c>
      <c r="E2432" t="s">
        <v>5510</v>
      </c>
      <c r="F2432" t="s">
        <v>49</v>
      </c>
      <c r="G2432" t="s">
        <v>5511</v>
      </c>
      <c r="H2432" t="s">
        <v>5512</v>
      </c>
      <c r="J2432" t="str">
        <f>HYPERLINK("https://www.facebook.com/454965103328545/posts/773103518181367?comment_id=3823201194628146","https://www.facebook.com/454965103328545/posts/773103518181367?comment_id=3823201194628146")</f>
        <v>https://www.facebook.com/454965103328545/posts/773103518181367?comment_id=3823201194628146</v>
      </c>
      <c r="O2432">
        <v>0</v>
      </c>
      <c r="P2432">
        <v>0</v>
      </c>
      <c r="Q2432">
        <v>0</v>
      </c>
      <c r="S2432">
        <v>0</v>
      </c>
      <c r="T2432">
        <v>0</v>
      </c>
      <c r="U2432">
        <v>0</v>
      </c>
      <c r="W2432" t="s">
        <v>62</v>
      </c>
      <c r="AS2432" t="s">
        <v>375</v>
      </c>
    </row>
    <row r="2433" spans="1:42" x14ac:dyDescent="0.35">
      <c r="A2433" t="s">
        <v>45</v>
      </c>
      <c r="B2433" t="s">
        <v>5444</v>
      </c>
      <c r="C2433" t="s">
        <v>47</v>
      </c>
      <c r="D2433" t="s">
        <v>1954</v>
      </c>
      <c r="E2433" t="s">
        <v>1954</v>
      </c>
      <c r="F2433" t="s">
        <v>49</v>
      </c>
      <c r="G2433" t="s">
        <v>5513</v>
      </c>
      <c r="H2433" t="s">
        <v>5514</v>
      </c>
      <c r="J2433" t="str">
        <f>HYPERLINK("https://www.facebook.com/454965103328545/posts/773103518181367?comment_id=266100729845533&amp;reply_comment_id=365425766263442","https://www.facebook.com/454965103328545/posts/773103518181367?comment_id=266100729845533&amp;reply_comment_id=365425766263442")</f>
        <v>https://www.facebook.com/454965103328545/posts/773103518181367?comment_id=266100729845533&amp;reply_comment_id=365425766263442</v>
      </c>
      <c r="O2433">
        <v>0</v>
      </c>
      <c r="P2433">
        <v>0</v>
      </c>
      <c r="Q2433">
        <v>0</v>
      </c>
      <c r="S2433">
        <v>0</v>
      </c>
      <c r="T2433">
        <v>0</v>
      </c>
      <c r="U2433">
        <v>0</v>
      </c>
      <c r="W2433" t="s">
        <v>62</v>
      </c>
      <c r="AP2433" t="s">
        <v>101</v>
      </c>
    </row>
    <row r="2434" spans="1:42" x14ac:dyDescent="0.35">
      <c r="A2434" t="s">
        <v>45</v>
      </c>
      <c r="B2434" t="s">
        <v>5444</v>
      </c>
      <c r="C2434" t="s">
        <v>47</v>
      </c>
      <c r="D2434" t="s">
        <v>1954</v>
      </c>
      <c r="E2434" t="s">
        <v>1954</v>
      </c>
      <c r="F2434" t="s">
        <v>49</v>
      </c>
      <c r="G2434" t="s">
        <v>5515</v>
      </c>
      <c r="H2434" t="s">
        <v>5516</v>
      </c>
      <c r="J2434" t="str">
        <f>HYPERLINK("https://www.facebook.com/454965103328545/posts/773103518181367?comment_id=266100729845533&amp;reply_comment_id=916983823256795","https://www.facebook.com/454965103328545/posts/773103518181367?comment_id=266100729845533&amp;reply_comment_id=916983823256795")</f>
        <v>https://www.facebook.com/454965103328545/posts/773103518181367?comment_id=266100729845533&amp;reply_comment_id=916983823256795</v>
      </c>
      <c r="O2434">
        <v>0</v>
      </c>
      <c r="P2434">
        <v>0</v>
      </c>
      <c r="Q2434">
        <v>0</v>
      </c>
      <c r="S2434">
        <v>0</v>
      </c>
      <c r="T2434">
        <v>0</v>
      </c>
      <c r="U2434">
        <v>0</v>
      </c>
      <c r="W2434" t="s">
        <v>62</v>
      </c>
      <c r="AP2434" t="s">
        <v>101</v>
      </c>
    </row>
    <row r="2435" spans="1:42" x14ac:dyDescent="0.35">
      <c r="A2435" t="s">
        <v>45</v>
      </c>
      <c r="B2435" t="s">
        <v>5444</v>
      </c>
      <c r="C2435" t="s">
        <v>139</v>
      </c>
      <c r="D2435" t="s">
        <v>5517</v>
      </c>
      <c r="E2435" t="s">
        <v>5518</v>
      </c>
      <c r="F2435" t="s">
        <v>49</v>
      </c>
      <c r="G2435" t="s">
        <v>5519</v>
      </c>
      <c r="H2435" t="s">
        <v>5520</v>
      </c>
      <c r="J2435" t="str">
        <f>HYPERLINK("https://twitter.com/karan0473/status/1758723213352472577","https://twitter.com/karan0473/status/1758723213352472577")</f>
        <v>https://twitter.com/karan0473/status/1758723213352472577</v>
      </c>
      <c r="K2435" t="s">
        <v>145</v>
      </c>
      <c r="O2435">
        <v>0</v>
      </c>
      <c r="P2435">
        <v>0</v>
      </c>
      <c r="Q2435">
        <v>51</v>
      </c>
      <c r="R2435" t="s">
        <v>5521</v>
      </c>
      <c r="S2435">
        <v>0</v>
      </c>
      <c r="T2435">
        <v>0</v>
      </c>
      <c r="U2435">
        <v>0</v>
      </c>
      <c r="W2435" t="s">
        <v>146</v>
      </c>
    </row>
    <row r="2436" spans="1:42" x14ac:dyDescent="0.35">
      <c r="A2436" t="s">
        <v>45</v>
      </c>
      <c r="B2436" t="s">
        <v>5444</v>
      </c>
      <c r="C2436" t="s">
        <v>139</v>
      </c>
      <c r="D2436" t="s">
        <v>5517</v>
      </c>
      <c r="E2436" t="s">
        <v>5518</v>
      </c>
      <c r="F2436" t="s">
        <v>49</v>
      </c>
      <c r="G2436" t="s">
        <v>5522</v>
      </c>
      <c r="H2436" t="s">
        <v>5523</v>
      </c>
      <c r="J2436" t="str">
        <f>HYPERLINK("https://twitter.com/karan0473/status/1758723140333789302","https://twitter.com/karan0473/status/1758723140333789302")</f>
        <v>https://twitter.com/karan0473/status/1758723140333789302</v>
      </c>
      <c r="K2436" t="s">
        <v>145</v>
      </c>
      <c r="O2436">
        <v>0</v>
      </c>
      <c r="P2436">
        <v>0</v>
      </c>
      <c r="Q2436">
        <v>51</v>
      </c>
      <c r="R2436" t="s">
        <v>5521</v>
      </c>
      <c r="S2436">
        <v>0</v>
      </c>
      <c r="T2436">
        <v>0</v>
      </c>
      <c r="U2436">
        <v>0</v>
      </c>
      <c r="W2436" t="s">
        <v>146</v>
      </c>
      <c r="AP2436" t="s">
        <v>101</v>
      </c>
    </row>
    <row r="2437" spans="1:42" x14ac:dyDescent="0.35">
      <c r="A2437" t="s">
        <v>45</v>
      </c>
      <c r="B2437" t="s">
        <v>5444</v>
      </c>
      <c r="C2437" t="s">
        <v>47</v>
      </c>
      <c r="D2437" t="s">
        <v>5524</v>
      </c>
      <c r="E2437" t="s">
        <v>5524</v>
      </c>
      <c r="F2437" t="s">
        <v>49</v>
      </c>
      <c r="G2437" t="s">
        <v>5525</v>
      </c>
      <c r="H2437" t="s">
        <v>5526</v>
      </c>
      <c r="J2437" t="str">
        <f>HYPERLINK("https://www.facebook.com/454965103328545/posts/768116778680041?comment_id=742968817766691&amp;reply_comment_id=1513365422556183","https://www.facebook.com/454965103328545/posts/768116778680041?comment_id=742968817766691&amp;reply_comment_id=1513365422556183")</f>
        <v>https://www.facebook.com/454965103328545/posts/768116778680041?comment_id=742968817766691&amp;reply_comment_id=1513365422556183</v>
      </c>
      <c r="O2437">
        <v>0</v>
      </c>
      <c r="P2437">
        <v>0</v>
      </c>
      <c r="Q2437">
        <v>0</v>
      </c>
      <c r="S2437">
        <v>0</v>
      </c>
      <c r="T2437">
        <v>0</v>
      </c>
      <c r="U2437">
        <v>0</v>
      </c>
      <c r="W2437" t="s">
        <v>62</v>
      </c>
    </row>
    <row r="2438" spans="1:42" x14ac:dyDescent="0.35">
      <c r="A2438" t="s">
        <v>45</v>
      </c>
      <c r="B2438" t="s">
        <v>5444</v>
      </c>
      <c r="C2438" t="s">
        <v>47</v>
      </c>
      <c r="D2438" t="s">
        <v>5524</v>
      </c>
      <c r="E2438" t="s">
        <v>5524</v>
      </c>
      <c r="F2438" t="s">
        <v>49</v>
      </c>
      <c r="G2438" t="s">
        <v>5527</v>
      </c>
      <c r="H2438" t="s">
        <v>5528</v>
      </c>
      <c r="J2438" t="str">
        <f>HYPERLINK("https://www.facebook.com/454965103328545/posts/768116778680041?comment_id=742968817766691&amp;reply_comment_id=309224515483474","https://www.facebook.com/454965103328545/posts/768116778680041?comment_id=742968817766691&amp;reply_comment_id=309224515483474")</f>
        <v>https://www.facebook.com/454965103328545/posts/768116778680041?comment_id=742968817766691&amp;reply_comment_id=309224515483474</v>
      </c>
      <c r="O2438">
        <v>0</v>
      </c>
      <c r="P2438">
        <v>0</v>
      </c>
      <c r="Q2438">
        <v>0</v>
      </c>
      <c r="S2438">
        <v>0</v>
      </c>
      <c r="T2438">
        <v>0</v>
      </c>
      <c r="U2438">
        <v>0</v>
      </c>
      <c r="W2438" t="s">
        <v>62</v>
      </c>
    </row>
    <row r="2439" spans="1:42" x14ac:dyDescent="0.35">
      <c r="A2439" t="s">
        <v>45</v>
      </c>
      <c r="B2439" t="s">
        <v>5444</v>
      </c>
      <c r="C2439" t="s">
        <v>58</v>
      </c>
      <c r="D2439" t="s">
        <v>277</v>
      </c>
      <c r="E2439" t="s">
        <v>277</v>
      </c>
      <c r="F2439" t="s">
        <v>49</v>
      </c>
      <c r="G2439" t="s">
        <v>5529</v>
      </c>
      <c r="H2439" t="s">
        <v>5530</v>
      </c>
      <c r="J2439" t="str">
        <f>HYPERLINK("https://www.youtube.com/watch?v=kbdGnx74Oy8&amp;lc=Ugx86LVjIVtPf0vZjk54AaABAg.A-ph1pn40bbA-uQrUHNSSx","https://www.youtube.com/watch?v=kbdGnx74Oy8&amp;lc=Ugx86LVjIVtPf0vZjk54AaABAg.A-ph1pn40bbA-uQrUHNSSx")</f>
        <v>https://www.youtube.com/watch?v=kbdGnx74Oy8&amp;lc=Ugx86LVjIVtPf0vZjk54AaABAg.A-ph1pn40bbA-uQrUHNSSx</v>
      </c>
      <c r="O2439">
        <v>0</v>
      </c>
      <c r="P2439">
        <v>0</v>
      </c>
      <c r="Q2439">
        <v>0</v>
      </c>
      <c r="S2439">
        <v>0</v>
      </c>
      <c r="T2439">
        <v>0</v>
      </c>
      <c r="U2439">
        <v>0</v>
      </c>
      <c r="W2439" t="s">
        <v>62</v>
      </c>
    </row>
    <row r="2440" spans="1:42" x14ac:dyDescent="0.35">
      <c r="A2440" t="s">
        <v>45</v>
      </c>
      <c r="B2440" t="s">
        <v>5444</v>
      </c>
      <c r="C2440" t="s">
        <v>47</v>
      </c>
      <c r="D2440" t="s">
        <v>45</v>
      </c>
      <c r="E2440" t="s">
        <v>45</v>
      </c>
      <c r="F2440" t="s">
        <v>49</v>
      </c>
      <c r="G2440" t="s">
        <v>5531</v>
      </c>
      <c r="H2440" t="s">
        <v>5532</v>
      </c>
      <c r="J2440" t="str">
        <f>HYPERLINK("https://www.facebook.com/454965103328545/posts/768116778680041?comment_id=947657473604249&amp;reply_comment_id=372261562307099","https://www.facebook.com/454965103328545/posts/768116778680041?comment_id=947657473604249&amp;reply_comment_id=372261562307099")</f>
        <v>https://www.facebook.com/454965103328545/posts/768116778680041?comment_id=947657473604249&amp;reply_comment_id=372261562307099</v>
      </c>
      <c r="O2440">
        <v>0</v>
      </c>
      <c r="P2440">
        <v>0</v>
      </c>
      <c r="Q2440">
        <v>0</v>
      </c>
      <c r="S2440">
        <v>0</v>
      </c>
      <c r="T2440">
        <v>0</v>
      </c>
      <c r="U2440">
        <v>0</v>
      </c>
      <c r="W2440" t="s">
        <v>62</v>
      </c>
    </row>
    <row r="2441" spans="1:42" x14ac:dyDescent="0.35">
      <c r="A2441" t="s">
        <v>45</v>
      </c>
      <c r="B2441" t="s">
        <v>5444</v>
      </c>
      <c r="C2441" t="s">
        <v>47</v>
      </c>
      <c r="D2441" t="s">
        <v>45</v>
      </c>
      <c r="E2441" t="s">
        <v>45</v>
      </c>
      <c r="F2441" t="s">
        <v>49</v>
      </c>
      <c r="G2441" t="s">
        <v>5533</v>
      </c>
      <c r="H2441" t="s">
        <v>5534</v>
      </c>
      <c r="J2441" t="str">
        <f>HYPERLINK("https://www.facebook.com/357267201017935/inbox/7043403679070887/","https://www.facebook.com/357267201017935/inbox/7043403679070887/")</f>
        <v>https://www.facebook.com/357267201017935/inbox/7043403679070887/</v>
      </c>
      <c r="O2441">
        <v>0</v>
      </c>
      <c r="P2441">
        <v>0</v>
      </c>
      <c r="Q2441">
        <v>0</v>
      </c>
      <c r="S2441">
        <v>0</v>
      </c>
      <c r="T2441">
        <v>0</v>
      </c>
      <c r="U2441">
        <v>0</v>
      </c>
      <c r="W2441" t="s">
        <v>52</v>
      </c>
    </row>
    <row r="2442" spans="1:42" x14ac:dyDescent="0.35">
      <c r="A2442" t="s">
        <v>45</v>
      </c>
      <c r="B2442" t="s">
        <v>5444</v>
      </c>
      <c r="C2442" t="s">
        <v>47</v>
      </c>
      <c r="D2442" t="s">
        <v>45</v>
      </c>
      <c r="E2442" t="s">
        <v>45</v>
      </c>
      <c r="F2442" t="s">
        <v>49</v>
      </c>
      <c r="G2442" t="s">
        <v>5535</v>
      </c>
      <c r="H2442" t="s">
        <v>5536</v>
      </c>
      <c r="J2442" t="str">
        <f>HYPERLINK("https://www.facebook.com/454965103328545/posts/768116778680041?comment_id=1350316936366668&amp;reply_comment_id=966474485073799","https://www.facebook.com/454965103328545/posts/768116778680041?comment_id=1350316936366668&amp;reply_comment_id=966474485073799")</f>
        <v>https://www.facebook.com/454965103328545/posts/768116778680041?comment_id=1350316936366668&amp;reply_comment_id=966474485073799</v>
      </c>
      <c r="O2442">
        <v>0</v>
      </c>
      <c r="P2442">
        <v>0</v>
      </c>
      <c r="Q2442">
        <v>0</v>
      </c>
      <c r="S2442">
        <v>0</v>
      </c>
      <c r="T2442">
        <v>0</v>
      </c>
      <c r="U2442">
        <v>0</v>
      </c>
      <c r="W2442" t="s">
        <v>62</v>
      </c>
    </row>
    <row r="2443" spans="1:42" x14ac:dyDescent="0.35">
      <c r="A2443" t="s">
        <v>45</v>
      </c>
      <c r="B2443" t="s">
        <v>5444</v>
      </c>
      <c r="C2443" t="s">
        <v>47</v>
      </c>
      <c r="D2443" t="s">
        <v>45</v>
      </c>
      <c r="E2443" t="s">
        <v>45</v>
      </c>
      <c r="F2443" t="s">
        <v>49</v>
      </c>
      <c r="G2443" t="s">
        <v>5537</v>
      </c>
      <c r="H2443" t="s">
        <v>5538</v>
      </c>
      <c r="J2443" t="str">
        <f>HYPERLINK("https://www.facebook.com/357267201017935/inbox/7046404782104110/","https://www.facebook.com/357267201017935/inbox/7046404782104110/")</f>
        <v>https://www.facebook.com/357267201017935/inbox/7046404782104110/</v>
      </c>
      <c r="O2443">
        <v>0</v>
      </c>
      <c r="P2443">
        <v>0</v>
      </c>
      <c r="Q2443">
        <v>0</v>
      </c>
      <c r="S2443">
        <v>0</v>
      </c>
      <c r="T2443">
        <v>0</v>
      </c>
      <c r="U2443">
        <v>0</v>
      </c>
      <c r="W2443" t="s">
        <v>52</v>
      </c>
    </row>
    <row r="2444" spans="1:42" x14ac:dyDescent="0.35">
      <c r="A2444" t="s">
        <v>45</v>
      </c>
      <c r="B2444" t="s">
        <v>5444</v>
      </c>
      <c r="C2444" t="s">
        <v>139</v>
      </c>
      <c r="D2444" t="s">
        <v>190</v>
      </c>
      <c r="E2444" t="s">
        <v>45</v>
      </c>
      <c r="F2444" t="s">
        <v>49</v>
      </c>
      <c r="G2444" t="s">
        <v>5539</v>
      </c>
      <c r="H2444" t="s">
        <v>5540</v>
      </c>
      <c r="J2444" t="str">
        <f>HYPERLINK("https://twitter.com/FinoPaymntsBank/status/1758715896045199799","https://twitter.com/FinoPaymntsBank/status/1758715896045199799")</f>
        <v>https://twitter.com/FinoPaymntsBank/status/1758715896045199799</v>
      </c>
      <c r="K2444" t="s">
        <v>145</v>
      </c>
      <c r="O2444">
        <v>0</v>
      </c>
      <c r="P2444">
        <v>0</v>
      </c>
      <c r="Q2444">
        <v>8389</v>
      </c>
      <c r="R2444" t="s">
        <v>193</v>
      </c>
      <c r="S2444">
        <v>0</v>
      </c>
      <c r="T2444">
        <v>0</v>
      </c>
      <c r="U2444">
        <v>0</v>
      </c>
      <c r="W2444" t="s">
        <v>146</v>
      </c>
    </row>
    <row r="2445" spans="1:42" x14ac:dyDescent="0.35">
      <c r="A2445" t="s">
        <v>45</v>
      </c>
      <c r="B2445" t="s">
        <v>5444</v>
      </c>
      <c r="C2445" t="s">
        <v>139</v>
      </c>
      <c r="D2445" t="s">
        <v>190</v>
      </c>
      <c r="E2445" t="s">
        <v>45</v>
      </c>
      <c r="F2445" t="s">
        <v>49</v>
      </c>
      <c r="G2445" t="s">
        <v>5541</v>
      </c>
      <c r="H2445" t="s">
        <v>5542</v>
      </c>
      <c r="J2445" t="str">
        <f>HYPERLINK("https://twitter.com/FinoPaymntsBank/status/1758715707507015968","https://twitter.com/FinoPaymntsBank/status/1758715707507015968")</f>
        <v>https://twitter.com/FinoPaymntsBank/status/1758715707507015968</v>
      </c>
      <c r="K2445" t="s">
        <v>145</v>
      </c>
      <c r="O2445">
        <v>0</v>
      </c>
      <c r="P2445">
        <v>0</v>
      </c>
      <c r="Q2445">
        <v>8389</v>
      </c>
      <c r="R2445" t="s">
        <v>193</v>
      </c>
      <c r="S2445">
        <v>0</v>
      </c>
      <c r="T2445">
        <v>0</v>
      </c>
      <c r="U2445">
        <v>0</v>
      </c>
      <c r="W2445" t="s">
        <v>146</v>
      </c>
    </row>
    <row r="2446" spans="1:42" x14ac:dyDescent="0.35">
      <c r="A2446" t="s">
        <v>45</v>
      </c>
      <c r="B2446" t="s">
        <v>5444</v>
      </c>
      <c r="C2446" t="s">
        <v>63</v>
      </c>
      <c r="D2446" t="s">
        <v>186</v>
      </c>
      <c r="E2446" t="s">
        <v>186</v>
      </c>
      <c r="F2446" t="s">
        <v>49</v>
      </c>
      <c r="G2446" t="s">
        <v>5543</v>
      </c>
      <c r="H2446" t="s">
        <v>5544</v>
      </c>
      <c r="J2446" t="str">
        <f>HYPERLINK("https://www.instagram.com/p/C3U7TX_AUmg/","https://www.instagram.com/p/C3U7TX_AUmg/")</f>
        <v>https://www.instagram.com/p/C3U7TX_AUmg/</v>
      </c>
      <c r="O2446">
        <v>0</v>
      </c>
      <c r="P2446">
        <v>0</v>
      </c>
      <c r="Q2446">
        <v>0</v>
      </c>
      <c r="S2446">
        <v>0</v>
      </c>
      <c r="T2446">
        <v>0</v>
      </c>
      <c r="U2446">
        <v>0</v>
      </c>
      <c r="W2446" t="s">
        <v>62</v>
      </c>
    </row>
    <row r="2447" spans="1:42" x14ac:dyDescent="0.35">
      <c r="A2447" t="s">
        <v>45</v>
      </c>
      <c r="B2447" t="s">
        <v>5444</v>
      </c>
      <c r="C2447" t="s">
        <v>102</v>
      </c>
      <c r="D2447" t="s">
        <v>965</v>
      </c>
      <c r="E2447" t="s">
        <v>965</v>
      </c>
      <c r="F2447" t="s">
        <v>49</v>
      </c>
      <c r="G2447" t="s">
        <v>5545</v>
      </c>
      <c r="H2447" t="s">
        <v>5546</v>
      </c>
      <c r="J2447" t="str">
        <f>HYPERLINK("https://www.linkedin.com/feed/update/urn:li:ugcPost:7163068889285824512?commentUrn=urn:li:comment:(ugcPost:7163068889285824512,7164257565885890560)&amp;replyUrn=urn:li:comment:(ugcPost:7163068889285824512,7164478622550933504)","https://www.linkedin.com/feed/update/urn:li:ugcPost:7163068889285824512?commentUrn=urn:li:comment:(ugcPost:7163068889285824512,7164257565885890560)&amp;replyUrn=urn:li:comment:(ugcPost:7163068889285824512,7164478622550933504)")</f>
        <v>https://www.linkedin.com/feed/update/urn:li:ugcPost:7163068889285824512?commentUrn=urn:li:comment:(ugcPost:7163068889285824512,7164257565885890560)&amp;replyUrn=urn:li:comment:(ugcPost:7163068889285824512,7164478622550933504)</v>
      </c>
      <c r="O2447">
        <v>0</v>
      </c>
      <c r="P2447">
        <v>0</v>
      </c>
      <c r="Q2447">
        <v>0</v>
      </c>
      <c r="S2447">
        <v>0</v>
      </c>
      <c r="T2447">
        <v>0</v>
      </c>
      <c r="U2447">
        <v>0</v>
      </c>
      <c r="W2447" t="s">
        <v>62</v>
      </c>
    </row>
    <row r="2448" spans="1:42" x14ac:dyDescent="0.35">
      <c r="A2448" t="s">
        <v>45</v>
      </c>
      <c r="B2448" t="s">
        <v>5444</v>
      </c>
      <c r="C2448" t="s">
        <v>47</v>
      </c>
      <c r="D2448" t="s">
        <v>45</v>
      </c>
      <c r="E2448" t="s">
        <v>45</v>
      </c>
      <c r="F2448" t="s">
        <v>49</v>
      </c>
      <c r="G2448" t="s">
        <v>5547</v>
      </c>
      <c r="H2448" t="s">
        <v>5548</v>
      </c>
      <c r="J2448" t="str">
        <f>HYPERLINK("https://www.facebook.com/454965103328545/posts/773103518181367?comment_id=266100729845533&amp;reply_comment_id=787587123393324","https://www.facebook.com/454965103328545/posts/773103518181367?comment_id=266100729845533&amp;reply_comment_id=787587123393324")</f>
        <v>https://www.facebook.com/454965103328545/posts/773103518181367?comment_id=266100729845533&amp;reply_comment_id=787587123393324</v>
      </c>
      <c r="O2448">
        <v>0</v>
      </c>
      <c r="P2448">
        <v>0</v>
      </c>
      <c r="Q2448">
        <v>0</v>
      </c>
      <c r="S2448">
        <v>0</v>
      </c>
      <c r="T2448">
        <v>0</v>
      </c>
      <c r="U2448">
        <v>0</v>
      </c>
      <c r="W2448" t="s">
        <v>62</v>
      </c>
    </row>
    <row r="2449" spans="1:45" x14ac:dyDescent="0.35">
      <c r="A2449" t="s">
        <v>45</v>
      </c>
      <c r="B2449" t="s">
        <v>5444</v>
      </c>
      <c r="C2449" t="s">
        <v>58</v>
      </c>
      <c r="D2449" t="s">
        <v>3340</v>
      </c>
      <c r="E2449" t="s">
        <v>3340</v>
      </c>
      <c r="F2449" t="s">
        <v>142</v>
      </c>
      <c r="G2449" t="s">
        <v>5549</v>
      </c>
      <c r="H2449" t="s">
        <v>5550</v>
      </c>
      <c r="J2449" t="str">
        <f>HYPERLINK("https://www.youtube.com/watch?v=0uyJXoMbQhg","https://www.youtube.com/watch?v=0uyJXoMbQhg")</f>
        <v>https://www.youtube.com/watch?v=0uyJXoMbQhg</v>
      </c>
      <c r="O2449">
        <v>0</v>
      </c>
      <c r="P2449">
        <v>0</v>
      </c>
      <c r="Q2449">
        <v>0</v>
      </c>
      <c r="S2449">
        <v>0</v>
      </c>
      <c r="T2449">
        <v>0</v>
      </c>
      <c r="U2449">
        <v>0</v>
      </c>
      <c r="W2449" t="s">
        <v>106</v>
      </c>
    </row>
    <row r="2450" spans="1:45" x14ac:dyDescent="0.35">
      <c r="A2450" t="s">
        <v>45</v>
      </c>
      <c r="B2450" t="s">
        <v>5444</v>
      </c>
      <c r="C2450" t="s">
        <v>47</v>
      </c>
      <c r="D2450" t="s">
        <v>1954</v>
      </c>
      <c r="E2450" t="s">
        <v>1954</v>
      </c>
      <c r="F2450" t="s">
        <v>49</v>
      </c>
      <c r="G2450" t="s">
        <v>56</v>
      </c>
      <c r="H2450" t="s">
        <v>5551</v>
      </c>
      <c r="J2450" t="str">
        <f>HYPERLINK("https://www.facebook.com/357267201017935/inbox/4992761974135078/","https://www.facebook.com/357267201017935/inbox/4992761974135078/")</f>
        <v>https://www.facebook.com/357267201017935/inbox/4992761974135078/</v>
      </c>
      <c r="O2450">
        <v>0</v>
      </c>
      <c r="P2450">
        <v>0</v>
      </c>
      <c r="Q2450">
        <v>0</v>
      </c>
      <c r="S2450">
        <v>0</v>
      </c>
      <c r="T2450">
        <v>0</v>
      </c>
      <c r="U2450">
        <v>0</v>
      </c>
      <c r="W2450" t="s">
        <v>52</v>
      </c>
    </row>
    <row r="2451" spans="1:45" x14ac:dyDescent="0.35">
      <c r="A2451" t="s">
        <v>45</v>
      </c>
      <c r="B2451" t="s">
        <v>5444</v>
      </c>
      <c r="C2451" t="s">
        <v>47</v>
      </c>
      <c r="D2451" t="s">
        <v>1954</v>
      </c>
      <c r="E2451" t="s">
        <v>1954</v>
      </c>
      <c r="F2451" t="s">
        <v>142</v>
      </c>
      <c r="G2451" t="s">
        <v>5552</v>
      </c>
      <c r="H2451" t="s">
        <v>5553</v>
      </c>
      <c r="J2451" t="str">
        <f>HYPERLINK("https://www.facebook.com/454965103328545/posts/773103518181367?comment_id=266100729845533","https://www.facebook.com/454965103328545/posts/773103518181367?comment_id=266100729845533")</f>
        <v>https://www.facebook.com/454965103328545/posts/773103518181367?comment_id=266100729845533</v>
      </c>
      <c r="O2451">
        <v>0</v>
      </c>
      <c r="P2451">
        <v>0</v>
      </c>
      <c r="Q2451">
        <v>0</v>
      </c>
      <c r="S2451">
        <v>0</v>
      </c>
      <c r="T2451">
        <v>0</v>
      </c>
      <c r="U2451">
        <v>0</v>
      </c>
      <c r="W2451" t="s">
        <v>62</v>
      </c>
      <c r="AP2451" t="s">
        <v>147</v>
      </c>
      <c r="AS2451" t="s">
        <v>375</v>
      </c>
    </row>
    <row r="2452" spans="1:45" x14ac:dyDescent="0.35">
      <c r="A2452" t="s">
        <v>45</v>
      </c>
      <c r="B2452" t="s">
        <v>5444</v>
      </c>
      <c r="C2452" t="s">
        <v>139</v>
      </c>
      <c r="D2452" t="s">
        <v>5554</v>
      </c>
      <c r="E2452" t="s">
        <v>5555</v>
      </c>
      <c r="F2452" t="s">
        <v>49</v>
      </c>
      <c r="G2452" t="s">
        <v>5556</v>
      </c>
      <c r="H2452" t="s">
        <v>5557</v>
      </c>
      <c r="J2452" t="str">
        <f>HYPERLINK("https://twitter.com/monty_chadha/status/1758685034796511441","https://twitter.com/monty_chadha/status/1758685034796511441")</f>
        <v>https://twitter.com/monty_chadha/status/1758685034796511441</v>
      </c>
      <c r="K2452" t="s">
        <v>145</v>
      </c>
      <c r="O2452">
        <v>0</v>
      </c>
      <c r="P2452">
        <v>0</v>
      </c>
      <c r="Q2452">
        <v>2037</v>
      </c>
      <c r="R2452" t="s">
        <v>5558</v>
      </c>
      <c r="S2452">
        <v>0</v>
      </c>
      <c r="T2452">
        <v>0</v>
      </c>
      <c r="U2452">
        <v>0</v>
      </c>
      <c r="W2452" t="s">
        <v>552</v>
      </c>
    </row>
    <row r="2453" spans="1:45" x14ac:dyDescent="0.35">
      <c r="A2453" t="s">
        <v>45</v>
      </c>
      <c r="B2453" t="s">
        <v>5444</v>
      </c>
      <c r="C2453" t="s">
        <v>139</v>
      </c>
      <c r="D2453" t="s">
        <v>5559</v>
      </c>
      <c r="E2453" t="s">
        <v>5560</v>
      </c>
      <c r="F2453" t="s">
        <v>49</v>
      </c>
      <c r="G2453" t="s">
        <v>5501</v>
      </c>
      <c r="H2453" t="s">
        <v>5561</v>
      </c>
      <c r="J2453" t="str">
        <f>HYPERLINK("https://twitter.com/DivyanshRajUP95/status/1758682964513501187","https://twitter.com/DivyanshRajUP95/status/1758682964513501187")</f>
        <v>https://twitter.com/DivyanshRajUP95/status/1758682964513501187</v>
      </c>
      <c r="K2453" t="s">
        <v>145</v>
      </c>
      <c r="O2453">
        <v>0</v>
      </c>
      <c r="P2453">
        <v>0</v>
      </c>
      <c r="Q2453">
        <v>26</v>
      </c>
      <c r="R2453" t="s">
        <v>5562</v>
      </c>
      <c r="S2453">
        <v>0</v>
      </c>
      <c r="T2453">
        <v>0</v>
      </c>
      <c r="U2453">
        <v>0</v>
      </c>
      <c r="W2453" t="s">
        <v>552</v>
      </c>
    </row>
    <row r="2454" spans="1:45" x14ac:dyDescent="0.35">
      <c r="A2454" t="s">
        <v>45</v>
      </c>
      <c r="B2454" t="s">
        <v>5444</v>
      </c>
      <c r="C2454" t="s">
        <v>47</v>
      </c>
      <c r="D2454" t="s">
        <v>5187</v>
      </c>
      <c r="E2454" t="s">
        <v>5187</v>
      </c>
      <c r="F2454" t="s">
        <v>49</v>
      </c>
      <c r="G2454" t="s">
        <v>5563</v>
      </c>
      <c r="H2454" t="s">
        <v>5564</v>
      </c>
      <c r="J2454" t="str">
        <f>HYPERLINK("https://www.facebook.com/454965103328545/posts/771262205032165?comment_id=1553382998818590","https://www.facebook.com/454965103328545/posts/771262205032165?comment_id=1553382998818590")</f>
        <v>https://www.facebook.com/454965103328545/posts/771262205032165?comment_id=1553382998818590</v>
      </c>
      <c r="O2454">
        <v>0</v>
      </c>
      <c r="P2454">
        <v>0</v>
      </c>
      <c r="Q2454">
        <v>0</v>
      </c>
      <c r="S2454">
        <v>0</v>
      </c>
      <c r="T2454">
        <v>0</v>
      </c>
      <c r="U2454">
        <v>0</v>
      </c>
      <c r="W2454" t="s">
        <v>62</v>
      </c>
    </row>
    <row r="2455" spans="1:45" x14ac:dyDescent="0.35">
      <c r="A2455" t="s">
        <v>45</v>
      </c>
      <c r="B2455" t="s">
        <v>5444</v>
      </c>
      <c r="C2455" t="s">
        <v>139</v>
      </c>
      <c r="D2455" t="s">
        <v>5565</v>
      </c>
      <c r="E2455" t="s">
        <v>5566</v>
      </c>
      <c r="F2455" t="s">
        <v>49</v>
      </c>
      <c r="G2455" t="s">
        <v>5567</v>
      </c>
      <c r="H2455" t="s">
        <v>5568</v>
      </c>
      <c r="J2455" t="str">
        <f>HYPERLINK("https://twitter.com/victortangodkm/status/1758577142156472352","https://twitter.com/victortangodkm/status/1758577142156472352")</f>
        <v>https://twitter.com/victortangodkm/status/1758577142156472352</v>
      </c>
      <c r="K2455" t="s">
        <v>145</v>
      </c>
      <c r="O2455">
        <v>0</v>
      </c>
      <c r="P2455">
        <v>0</v>
      </c>
      <c r="Q2455">
        <v>6</v>
      </c>
      <c r="S2455">
        <v>0</v>
      </c>
      <c r="T2455">
        <v>0</v>
      </c>
      <c r="U2455">
        <v>0</v>
      </c>
      <c r="W2455" t="s">
        <v>146</v>
      </c>
    </row>
    <row r="2456" spans="1:45" x14ac:dyDescent="0.35">
      <c r="A2456" t="s">
        <v>45</v>
      </c>
      <c r="B2456" t="s">
        <v>5444</v>
      </c>
      <c r="C2456" t="s">
        <v>139</v>
      </c>
      <c r="D2456" t="s">
        <v>5565</v>
      </c>
      <c r="E2456" t="s">
        <v>5566</v>
      </c>
      <c r="F2456" t="s">
        <v>49</v>
      </c>
      <c r="G2456" t="s">
        <v>5569</v>
      </c>
      <c r="H2456" t="s">
        <v>5570</v>
      </c>
      <c r="J2456" t="str">
        <f>HYPERLINK("https://twitter.com/victortangodkm/status/1758576242771792292","https://twitter.com/victortangodkm/status/1758576242771792292")</f>
        <v>https://twitter.com/victortangodkm/status/1758576242771792292</v>
      </c>
      <c r="K2456" t="s">
        <v>145</v>
      </c>
      <c r="O2456">
        <v>0</v>
      </c>
      <c r="P2456">
        <v>0</v>
      </c>
      <c r="Q2456">
        <v>6</v>
      </c>
      <c r="S2456">
        <v>0</v>
      </c>
      <c r="T2456">
        <v>0</v>
      </c>
      <c r="U2456">
        <v>0</v>
      </c>
      <c r="W2456" t="s">
        <v>146</v>
      </c>
    </row>
    <row r="2457" spans="1:45" x14ac:dyDescent="0.35">
      <c r="A2457" t="s">
        <v>45</v>
      </c>
      <c r="B2457" t="s">
        <v>5571</v>
      </c>
      <c r="C2457" t="s">
        <v>58</v>
      </c>
      <c r="D2457" t="s">
        <v>5572</v>
      </c>
      <c r="E2457" t="s">
        <v>5572</v>
      </c>
      <c r="F2457" t="s">
        <v>49</v>
      </c>
      <c r="G2457" t="s">
        <v>5573</v>
      </c>
      <c r="H2457" t="s">
        <v>5574</v>
      </c>
      <c r="J2457" t="str">
        <f>HYPERLINK("https://www.youtube.com/watch?v=CQwyRLAmJN8","https://www.youtube.com/watch?v=CQwyRLAmJN8")</f>
        <v>https://www.youtube.com/watch?v=CQwyRLAmJN8</v>
      </c>
      <c r="O2457">
        <v>0</v>
      </c>
      <c r="P2457">
        <v>0</v>
      </c>
      <c r="Q2457">
        <v>0</v>
      </c>
      <c r="S2457">
        <v>0</v>
      </c>
      <c r="T2457">
        <v>0</v>
      </c>
      <c r="U2457">
        <v>0</v>
      </c>
      <c r="W2457" t="s">
        <v>106</v>
      </c>
    </row>
    <row r="2458" spans="1:45" x14ac:dyDescent="0.35">
      <c r="A2458" t="s">
        <v>45</v>
      </c>
      <c r="B2458" t="s">
        <v>5571</v>
      </c>
      <c r="C2458" t="s">
        <v>102</v>
      </c>
      <c r="D2458" t="s">
        <v>5575</v>
      </c>
      <c r="E2458" t="s">
        <v>5575</v>
      </c>
      <c r="F2458" t="s">
        <v>49</v>
      </c>
      <c r="G2458" t="s">
        <v>5576</v>
      </c>
      <c r="H2458" t="s">
        <v>5577</v>
      </c>
      <c r="J2458" t="str">
        <f>HYPERLINK("https://www.linkedin.com/feed/update/urn:li:ugcPost:7164309796161011712","https://www.linkedin.com/feed/update/urn:li:ugcPost:7164309796161011712")</f>
        <v>https://www.linkedin.com/feed/update/urn:li:ugcPost:7164309796161011712</v>
      </c>
      <c r="O2458">
        <v>0</v>
      </c>
      <c r="P2458">
        <v>0</v>
      </c>
      <c r="Q2458">
        <v>0</v>
      </c>
      <c r="S2458">
        <v>0</v>
      </c>
      <c r="T2458">
        <v>0</v>
      </c>
      <c r="U2458">
        <v>0</v>
      </c>
      <c r="W2458" t="s">
        <v>106</v>
      </c>
      <c r="AS2458" t="s">
        <v>375</v>
      </c>
    </row>
    <row r="2459" spans="1:45" x14ac:dyDescent="0.35">
      <c r="A2459" t="s">
        <v>45</v>
      </c>
      <c r="B2459" t="s">
        <v>5571</v>
      </c>
      <c r="C2459" t="s">
        <v>139</v>
      </c>
      <c r="D2459" t="s">
        <v>5578</v>
      </c>
      <c r="E2459" t="s">
        <v>5579</v>
      </c>
      <c r="F2459" t="s">
        <v>49</v>
      </c>
      <c r="G2459" t="s">
        <v>5501</v>
      </c>
      <c r="H2459" t="s">
        <v>5580</v>
      </c>
      <c r="J2459" t="str">
        <f>HYPERLINK("https://twitter.com/AmitShu28448963/status/1758530646111351013","https://twitter.com/AmitShu28448963/status/1758530646111351013")</f>
        <v>https://twitter.com/AmitShu28448963/status/1758530646111351013</v>
      </c>
      <c r="K2459" t="s">
        <v>145</v>
      </c>
      <c r="O2459">
        <v>0</v>
      </c>
      <c r="P2459">
        <v>0</v>
      </c>
      <c r="Q2459">
        <v>460</v>
      </c>
      <c r="R2459" t="s">
        <v>5581</v>
      </c>
      <c r="S2459">
        <v>0</v>
      </c>
      <c r="T2459">
        <v>0</v>
      </c>
      <c r="U2459">
        <v>0</v>
      </c>
      <c r="W2459" t="s">
        <v>552</v>
      </c>
    </row>
    <row r="2460" spans="1:45" x14ac:dyDescent="0.35">
      <c r="A2460" t="s">
        <v>45</v>
      </c>
      <c r="B2460" t="s">
        <v>5571</v>
      </c>
      <c r="C2460" t="s">
        <v>47</v>
      </c>
      <c r="D2460" t="s">
        <v>5582</v>
      </c>
      <c r="E2460" t="s">
        <v>5582</v>
      </c>
      <c r="F2460" t="s">
        <v>49</v>
      </c>
      <c r="G2460" t="s">
        <v>5583</v>
      </c>
      <c r="H2460" t="s">
        <v>5584</v>
      </c>
      <c r="J2460" t="str">
        <f>HYPERLINK("https://www.facebook.com/454965103328545/posts/755944923230560?comment_id=1760767614408849","https://www.facebook.com/454965103328545/posts/755944923230560?comment_id=1760767614408849")</f>
        <v>https://www.facebook.com/454965103328545/posts/755944923230560?comment_id=1760767614408849</v>
      </c>
      <c r="O2460">
        <v>0</v>
      </c>
      <c r="P2460">
        <v>0</v>
      </c>
      <c r="Q2460">
        <v>0</v>
      </c>
      <c r="S2460">
        <v>0</v>
      </c>
      <c r="T2460">
        <v>0</v>
      </c>
      <c r="U2460">
        <v>0</v>
      </c>
      <c r="W2460" t="s">
        <v>62</v>
      </c>
    </row>
    <row r="2461" spans="1:45" x14ac:dyDescent="0.35">
      <c r="A2461" t="s">
        <v>45</v>
      </c>
      <c r="B2461" t="s">
        <v>5571</v>
      </c>
      <c r="C2461" t="s">
        <v>58</v>
      </c>
      <c r="D2461" t="s">
        <v>5585</v>
      </c>
      <c r="E2461" t="s">
        <v>5585</v>
      </c>
      <c r="F2461" t="s">
        <v>49</v>
      </c>
      <c r="G2461" t="s">
        <v>5586</v>
      </c>
      <c r="H2461" t="s">
        <v>5587</v>
      </c>
      <c r="J2461" t="str">
        <f>HYPERLINK("https://www.youtube.com/watch?v=fG6amw4y_nY","https://www.youtube.com/watch?v=fG6amw4y_nY")</f>
        <v>https://www.youtube.com/watch?v=fG6amw4y_nY</v>
      </c>
      <c r="O2461">
        <v>0</v>
      </c>
      <c r="P2461">
        <v>0</v>
      </c>
      <c r="Q2461">
        <v>0</v>
      </c>
      <c r="S2461">
        <v>0</v>
      </c>
      <c r="T2461">
        <v>0</v>
      </c>
      <c r="U2461">
        <v>0</v>
      </c>
      <c r="W2461" t="s">
        <v>106</v>
      </c>
    </row>
    <row r="2462" spans="1:45" x14ac:dyDescent="0.35">
      <c r="A2462" t="s">
        <v>45</v>
      </c>
      <c r="B2462" t="s">
        <v>5571</v>
      </c>
      <c r="C2462" t="s">
        <v>139</v>
      </c>
      <c r="D2462" t="s">
        <v>5588</v>
      </c>
      <c r="E2462" t="s">
        <v>5589</v>
      </c>
      <c r="F2462" t="s">
        <v>49</v>
      </c>
      <c r="G2462" t="s">
        <v>5501</v>
      </c>
      <c r="H2462" t="s">
        <v>5590</v>
      </c>
      <c r="J2462" t="str">
        <f>HYPERLINK("https://twitter.com/rhade_krishna_1/status/1758503143522849073","https://twitter.com/rhade_krishna_1/status/1758503143522849073")</f>
        <v>https://twitter.com/rhade_krishna_1/status/1758503143522849073</v>
      </c>
      <c r="O2462">
        <v>0</v>
      </c>
      <c r="P2462">
        <v>0</v>
      </c>
      <c r="Q2462">
        <v>277</v>
      </c>
      <c r="R2462" t="s">
        <v>5591</v>
      </c>
      <c r="S2462">
        <v>0</v>
      </c>
      <c r="T2462">
        <v>0</v>
      </c>
      <c r="U2462">
        <v>0</v>
      </c>
      <c r="W2462" t="s">
        <v>552</v>
      </c>
    </row>
    <row r="2463" spans="1:45" x14ac:dyDescent="0.35">
      <c r="A2463" t="s">
        <v>45</v>
      </c>
      <c r="B2463" t="s">
        <v>5571</v>
      </c>
      <c r="C2463" t="s">
        <v>139</v>
      </c>
      <c r="D2463" t="s">
        <v>5592</v>
      </c>
      <c r="E2463" t="s">
        <v>3745</v>
      </c>
      <c r="F2463" t="s">
        <v>49</v>
      </c>
      <c r="G2463" t="s">
        <v>5501</v>
      </c>
      <c r="H2463" t="s">
        <v>5593</v>
      </c>
      <c r="J2463" t="str">
        <f>HYPERLINK("https://twitter.com/ry7404517/status/1758492143050477605","https://twitter.com/ry7404517/status/1758492143050477605")</f>
        <v>https://twitter.com/ry7404517/status/1758492143050477605</v>
      </c>
      <c r="K2463" t="s">
        <v>145</v>
      </c>
      <c r="O2463">
        <v>0</v>
      </c>
      <c r="P2463">
        <v>0</v>
      </c>
      <c r="Q2463">
        <v>33</v>
      </c>
      <c r="S2463">
        <v>0</v>
      </c>
      <c r="T2463">
        <v>0</v>
      </c>
      <c r="U2463">
        <v>0</v>
      </c>
      <c r="W2463" t="s">
        <v>552</v>
      </c>
    </row>
    <row r="2464" spans="1:45" x14ac:dyDescent="0.35">
      <c r="A2464" t="s">
        <v>45</v>
      </c>
      <c r="B2464" t="s">
        <v>5571</v>
      </c>
      <c r="C2464" t="s">
        <v>102</v>
      </c>
      <c r="D2464" t="s">
        <v>5594</v>
      </c>
      <c r="E2464" t="s">
        <v>5594</v>
      </c>
      <c r="F2464" t="s">
        <v>49</v>
      </c>
      <c r="G2464" t="s">
        <v>131</v>
      </c>
      <c r="H2464" t="s">
        <v>5595</v>
      </c>
      <c r="J2464" t="str">
        <f>HYPERLINK("https://www.linkedin.com/feed/update/urn:li:ugcPost:7163068889285824512/?commentUrn=urn:li:comment:(urn:li:ugcPost:7163068889285824512,7164257565885890560)","https://www.linkedin.com/feed/update/urn:li:ugcPost:7163068889285824512/?commentUrn=urn:li:comment:(urn:li:ugcPost:7163068889285824512,7164257565885890560)")</f>
        <v>https://www.linkedin.com/feed/update/urn:li:ugcPost:7163068889285824512/?commentUrn=urn:li:comment:(urn:li:ugcPost:7163068889285824512,7164257565885890560)</v>
      </c>
      <c r="O2464">
        <v>0</v>
      </c>
      <c r="P2464">
        <v>0</v>
      </c>
      <c r="Q2464">
        <v>0</v>
      </c>
      <c r="S2464">
        <v>0</v>
      </c>
      <c r="T2464">
        <v>0</v>
      </c>
      <c r="U2464">
        <v>0</v>
      </c>
      <c r="W2464" t="s">
        <v>62</v>
      </c>
      <c r="AS2464" t="s">
        <v>375</v>
      </c>
    </row>
    <row r="2465" spans="1:42" x14ac:dyDescent="0.35">
      <c r="A2465" t="s">
        <v>45</v>
      </c>
      <c r="B2465" t="s">
        <v>5571</v>
      </c>
      <c r="C2465" t="s">
        <v>58</v>
      </c>
      <c r="D2465" t="s">
        <v>5596</v>
      </c>
      <c r="E2465" t="s">
        <v>5596</v>
      </c>
      <c r="F2465" t="s">
        <v>49</v>
      </c>
      <c r="G2465" t="s">
        <v>5597</v>
      </c>
      <c r="H2465" t="s">
        <v>5598</v>
      </c>
      <c r="J2465" t="str">
        <f>HYPERLINK("https://www.youtube.com/watch?v=TImWpdwbYCw","https://www.youtube.com/watch?v=TImWpdwbYCw")</f>
        <v>https://www.youtube.com/watch?v=TImWpdwbYCw</v>
      </c>
      <c r="O2465">
        <v>0</v>
      </c>
      <c r="P2465">
        <v>0</v>
      </c>
      <c r="Q2465">
        <v>0</v>
      </c>
      <c r="S2465">
        <v>0</v>
      </c>
      <c r="T2465">
        <v>0</v>
      </c>
      <c r="U2465">
        <v>0</v>
      </c>
      <c r="W2465" t="s">
        <v>106</v>
      </c>
    </row>
    <row r="2466" spans="1:42" x14ac:dyDescent="0.35">
      <c r="A2466" t="s">
        <v>45</v>
      </c>
      <c r="B2466" t="s">
        <v>5571</v>
      </c>
      <c r="C2466" t="s">
        <v>139</v>
      </c>
      <c r="D2466" t="s">
        <v>5599</v>
      </c>
      <c r="E2466" t="s">
        <v>5600</v>
      </c>
      <c r="F2466" t="s">
        <v>142</v>
      </c>
      <c r="G2466" t="s">
        <v>5601</v>
      </c>
      <c r="H2466" t="s">
        <v>5602</v>
      </c>
      <c r="J2466" t="str">
        <f>HYPERLINK("https://twitter.com/Ram64298170/status/1758484715412369763","https://twitter.com/Ram64298170/status/1758484715412369763")</f>
        <v>https://twitter.com/Ram64298170/status/1758484715412369763</v>
      </c>
      <c r="K2466" t="s">
        <v>145</v>
      </c>
      <c r="O2466">
        <v>0</v>
      </c>
      <c r="P2466">
        <v>0</v>
      </c>
      <c r="Q2466">
        <v>9</v>
      </c>
      <c r="S2466">
        <v>0</v>
      </c>
      <c r="T2466">
        <v>0</v>
      </c>
      <c r="U2466">
        <v>0</v>
      </c>
      <c r="W2466" t="s">
        <v>552</v>
      </c>
    </row>
    <row r="2467" spans="1:42" x14ac:dyDescent="0.35">
      <c r="A2467" t="s">
        <v>45</v>
      </c>
      <c r="B2467" t="s">
        <v>5571</v>
      </c>
      <c r="C2467" t="s">
        <v>102</v>
      </c>
      <c r="D2467" t="s">
        <v>965</v>
      </c>
      <c r="E2467" t="s">
        <v>965</v>
      </c>
      <c r="F2467" t="s">
        <v>49</v>
      </c>
      <c r="G2467" t="s">
        <v>5603</v>
      </c>
      <c r="H2467" t="s">
        <v>5604</v>
      </c>
      <c r="J2467" t="str">
        <f>HYPERLINK("https://www.linkedin.com/feed/update/urn:li:share:7164249730493890560","https://www.linkedin.com/feed/update/urn:li:share:7164249730493890560")</f>
        <v>https://www.linkedin.com/feed/update/urn:li:share:7164249730493890560</v>
      </c>
      <c r="O2467">
        <v>0</v>
      </c>
      <c r="P2467">
        <v>0</v>
      </c>
      <c r="Q2467">
        <v>0</v>
      </c>
      <c r="S2467">
        <v>0</v>
      </c>
      <c r="T2467">
        <v>48</v>
      </c>
      <c r="U2467">
        <v>0</v>
      </c>
      <c r="W2467" t="s">
        <v>106</v>
      </c>
      <c r="AO2467" t="s">
        <v>119</v>
      </c>
    </row>
    <row r="2468" spans="1:42" x14ac:dyDescent="0.35">
      <c r="A2468" t="s">
        <v>45</v>
      </c>
      <c r="B2468" t="s">
        <v>5571</v>
      </c>
      <c r="C2468" t="s">
        <v>102</v>
      </c>
      <c r="D2468" t="s">
        <v>965</v>
      </c>
      <c r="E2468" t="s">
        <v>965</v>
      </c>
      <c r="F2468" t="s">
        <v>49</v>
      </c>
      <c r="G2468" t="s">
        <v>5605</v>
      </c>
      <c r="H2468" t="s">
        <v>5606</v>
      </c>
      <c r="J2468" t="str">
        <f>HYPERLINK("https://www.linkedin.com/feed/update/urn:li:share:7164248289758887936","https://www.linkedin.com/feed/update/urn:li:share:7164248289758887936")</f>
        <v>https://www.linkedin.com/feed/update/urn:li:share:7164248289758887936</v>
      </c>
      <c r="O2468">
        <v>0</v>
      </c>
      <c r="P2468">
        <v>0</v>
      </c>
      <c r="Q2468">
        <v>0</v>
      </c>
      <c r="S2468">
        <v>0</v>
      </c>
      <c r="T2468">
        <v>43</v>
      </c>
      <c r="U2468">
        <v>0</v>
      </c>
      <c r="W2468" t="s">
        <v>106</v>
      </c>
    </row>
    <row r="2469" spans="1:42" x14ac:dyDescent="0.35">
      <c r="A2469" t="s">
        <v>45</v>
      </c>
      <c r="B2469" t="s">
        <v>5571</v>
      </c>
      <c r="C2469" t="s">
        <v>102</v>
      </c>
      <c r="D2469" t="s">
        <v>965</v>
      </c>
      <c r="E2469" t="s">
        <v>965</v>
      </c>
      <c r="F2469" t="s">
        <v>49</v>
      </c>
      <c r="G2469" t="s">
        <v>5607</v>
      </c>
      <c r="H2469" t="s">
        <v>5608</v>
      </c>
      <c r="J2469" t="str">
        <f>HYPERLINK("https://www.linkedin.com/feed/update/urn:li:share:7164245587926757376","https://www.linkedin.com/feed/update/urn:li:share:7164245587926757376")</f>
        <v>https://www.linkedin.com/feed/update/urn:li:share:7164245587926757376</v>
      </c>
      <c r="O2469">
        <v>0</v>
      </c>
      <c r="P2469">
        <v>0</v>
      </c>
      <c r="Q2469">
        <v>0</v>
      </c>
      <c r="S2469">
        <v>0</v>
      </c>
      <c r="T2469">
        <v>75</v>
      </c>
      <c r="U2469">
        <v>0</v>
      </c>
      <c r="W2469" t="s">
        <v>106</v>
      </c>
    </row>
    <row r="2470" spans="1:42" x14ac:dyDescent="0.35">
      <c r="A2470" t="s">
        <v>45</v>
      </c>
      <c r="B2470" t="s">
        <v>5571</v>
      </c>
      <c r="C2470" t="s">
        <v>102</v>
      </c>
      <c r="D2470" t="s">
        <v>965</v>
      </c>
      <c r="E2470" t="s">
        <v>965</v>
      </c>
      <c r="F2470" t="s">
        <v>49</v>
      </c>
      <c r="G2470" t="s">
        <v>5609</v>
      </c>
      <c r="H2470" t="s">
        <v>5610</v>
      </c>
      <c r="J2470" t="str">
        <f>HYPERLINK("https://www.linkedin.com/feed/update/urn:li:share:7164244197892460547","https://www.linkedin.com/feed/update/urn:li:share:7164244197892460547")</f>
        <v>https://www.linkedin.com/feed/update/urn:li:share:7164244197892460547</v>
      </c>
      <c r="O2470">
        <v>0</v>
      </c>
      <c r="P2470">
        <v>0</v>
      </c>
      <c r="Q2470">
        <v>0</v>
      </c>
      <c r="S2470">
        <v>2</v>
      </c>
      <c r="T2470">
        <v>59</v>
      </c>
      <c r="U2470">
        <v>0</v>
      </c>
      <c r="W2470" t="s">
        <v>106</v>
      </c>
    </row>
    <row r="2471" spans="1:42" x14ac:dyDescent="0.35">
      <c r="A2471" t="s">
        <v>45</v>
      </c>
      <c r="B2471" t="s">
        <v>5571</v>
      </c>
      <c r="C2471" t="s">
        <v>102</v>
      </c>
      <c r="D2471" t="s">
        <v>965</v>
      </c>
      <c r="E2471" t="s">
        <v>965</v>
      </c>
      <c r="F2471" t="s">
        <v>49</v>
      </c>
      <c r="G2471" t="s">
        <v>5611</v>
      </c>
      <c r="H2471" t="s">
        <v>5612</v>
      </c>
      <c r="J2471" t="str">
        <f>HYPERLINK("https://www.linkedin.com/feed/update/urn:li:share:7164241384328028160","https://www.linkedin.com/feed/update/urn:li:share:7164241384328028160")</f>
        <v>https://www.linkedin.com/feed/update/urn:li:share:7164241384328028160</v>
      </c>
      <c r="O2471">
        <v>0</v>
      </c>
      <c r="P2471">
        <v>0</v>
      </c>
      <c r="Q2471">
        <v>0</v>
      </c>
      <c r="S2471">
        <v>5</v>
      </c>
      <c r="T2471">
        <v>119</v>
      </c>
      <c r="U2471">
        <v>0</v>
      </c>
      <c r="W2471" t="s">
        <v>106</v>
      </c>
    </row>
    <row r="2472" spans="1:42" x14ac:dyDescent="0.35">
      <c r="A2472" t="s">
        <v>45</v>
      </c>
      <c r="B2472" t="s">
        <v>5571</v>
      </c>
      <c r="C2472" t="s">
        <v>63</v>
      </c>
      <c r="D2472" t="s">
        <v>5613</v>
      </c>
      <c r="E2472" t="s">
        <v>5613</v>
      </c>
      <c r="F2472" t="s">
        <v>49</v>
      </c>
      <c r="G2472" t="s">
        <v>5614</v>
      </c>
      <c r="H2472" t="s">
        <v>5615</v>
      </c>
      <c r="J2472" t="str">
        <f>HYPERLINK("https://www.instagram.com/reel/C3aCHENO4-0/","https://www.instagram.com/reel/C3aCHENO4-0/")</f>
        <v>https://www.instagram.com/reel/C3aCHENO4-0/</v>
      </c>
      <c r="O2472">
        <v>0</v>
      </c>
      <c r="P2472">
        <v>0</v>
      </c>
      <c r="Q2472">
        <v>0</v>
      </c>
      <c r="S2472">
        <v>0</v>
      </c>
      <c r="T2472">
        <v>0</v>
      </c>
      <c r="U2472">
        <v>0</v>
      </c>
      <c r="W2472" t="s">
        <v>62</v>
      </c>
    </row>
    <row r="2473" spans="1:42" x14ac:dyDescent="0.35">
      <c r="A2473" t="s">
        <v>45</v>
      </c>
      <c r="B2473" t="s">
        <v>5571</v>
      </c>
      <c r="C2473" t="s">
        <v>63</v>
      </c>
      <c r="D2473" t="s">
        <v>5613</v>
      </c>
      <c r="E2473" t="s">
        <v>5613</v>
      </c>
      <c r="F2473" t="s">
        <v>49</v>
      </c>
      <c r="G2473" t="s">
        <v>5616</v>
      </c>
      <c r="H2473" t="s">
        <v>5617</v>
      </c>
      <c r="J2473" t="str">
        <f>HYPERLINK("https://www.instagram.com/reel/C3aCHENO4-0/","https://www.instagram.com/reel/C3aCHENO4-0/")</f>
        <v>https://www.instagram.com/reel/C3aCHENO4-0/</v>
      </c>
      <c r="O2473">
        <v>0</v>
      </c>
      <c r="P2473">
        <v>0</v>
      </c>
      <c r="Q2473">
        <v>0</v>
      </c>
      <c r="S2473">
        <v>0</v>
      </c>
      <c r="T2473">
        <v>0</v>
      </c>
      <c r="U2473">
        <v>0</v>
      </c>
      <c r="W2473" t="s">
        <v>62</v>
      </c>
    </row>
    <row r="2474" spans="1:42" x14ac:dyDescent="0.35">
      <c r="A2474" t="s">
        <v>45</v>
      </c>
      <c r="B2474" t="s">
        <v>5571</v>
      </c>
      <c r="C2474" t="s">
        <v>139</v>
      </c>
      <c r="D2474" t="s">
        <v>4103</v>
      </c>
      <c r="E2474" t="s">
        <v>4104</v>
      </c>
      <c r="F2474" t="s">
        <v>49</v>
      </c>
      <c r="G2474" t="s">
        <v>5618</v>
      </c>
      <c r="H2474" t="s">
        <v>5619</v>
      </c>
      <c r="J2474" t="str">
        <f>HYPERLINK("https://twitter.com/fiaks4knowledge/status/1758473420445036889","https://twitter.com/fiaks4knowledge/status/1758473420445036889")</f>
        <v>https://twitter.com/fiaks4knowledge/status/1758473420445036889</v>
      </c>
      <c r="O2474">
        <v>0</v>
      </c>
      <c r="P2474">
        <v>0</v>
      </c>
      <c r="Q2474">
        <v>154</v>
      </c>
      <c r="R2474" t="s">
        <v>1247</v>
      </c>
      <c r="S2474">
        <v>0</v>
      </c>
      <c r="T2474">
        <v>0</v>
      </c>
      <c r="U2474">
        <v>0</v>
      </c>
      <c r="W2474" t="s">
        <v>146</v>
      </c>
    </row>
    <row r="2475" spans="1:42" x14ac:dyDescent="0.35">
      <c r="A2475" t="s">
        <v>45</v>
      </c>
      <c r="B2475" t="s">
        <v>5571</v>
      </c>
      <c r="C2475" t="s">
        <v>139</v>
      </c>
      <c r="D2475" t="s">
        <v>5620</v>
      </c>
      <c r="E2475" t="s">
        <v>5621</v>
      </c>
      <c r="F2475" t="s">
        <v>49</v>
      </c>
      <c r="G2475" t="s">
        <v>5622</v>
      </c>
      <c r="H2475" t="s">
        <v>5623</v>
      </c>
      <c r="J2475" t="str">
        <f>HYPERLINK("https://twitter.com/patel__07/status/1758473323862720574","https://twitter.com/patel__07/status/1758473323862720574")</f>
        <v>https://twitter.com/patel__07/status/1758473323862720574</v>
      </c>
      <c r="O2475">
        <v>0</v>
      </c>
      <c r="P2475">
        <v>0</v>
      </c>
      <c r="Q2475">
        <v>1102</v>
      </c>
      <c r="R2475" t="s">
        <v>1946</v>
      </c>
      <c r="S2475">
        <v>0</v>
      </c>
      <c r="T2475">
        <v>0</v>
      </c>
      <c r="U2475">
        <v>0</v>
      </c>
      <c r="W2475" t="s">
        <v>552</v>
      </c>
    </row>
    <row r="2476" spans="1:42" x14ac:dyDescent="0.35">
      <c r="A2476" t="s">
        <v>45</v>
      </c>
      <c r="B2476" t="s">
        <v>5571</v>
      </c>
      <c r="C2476" t="s">
        <v>139</v>
      </c>
      <c r="D2476" t="s">
        <v>5620</v>
      </c>
      <c r="E2476" t="s">
        <v>5621</v>
      </c>
      <c r="F2476" t="s">
        <v>49</v>
      </c>
      <c r="G2476" t="s">
        <v>5622</v>
      </c>
      <c r="H2476" t="s">
        <v>5624</v>
      </c>
      <c r="J2476" t="str">
        <f>HYPERLINK("https://twitter.com/patel__07/status/1758473088973377562","https://twitter.com/patel__07/status/1758473088973377562")</f>
        <v>https://twitter.com/patel__07/status/1758473088973377562</v>
      </c>
      <c r="O2476">
        <v>0</v>
      </c>
      <c r="P2476">
        <v>0</v>
      </c>
      <c r="Q2476">
        <v>1102</v>
      </c>
      <c r="R2476" t="s">
        <v>1946</v>
      </c>
      <c r="S2476">
        <v>0</v>
      </c>
      <c r="T2476">
        <v>0</v>
      </c>
      <c r="U2476">
        <v>0</v>
      </c>
      <c r="W2476" t="s">
        <v>146</v>
      </c>
    </row>
    <row r="2477" spans="1:42" x14ac:dyDescent="0.35">
      <c r="A2477" t="s">
        <v>45</v>
      </c>
      <c r="B2477" t="s">
        <v>5571</v>
      </c>
      <c r="C2477" t="s">
        <v>139</v>
      </c>
      <c r="D2477" t="s">
        <v>5625</v>
      </c>
      <c r="E2477" t="s">
        <v>5626</v>
      </c>
      <c r="F2477" t="s">
        <v>49</v>
      </c>
      <c r="G2477" t="s">
        <v>5556</v>
      </c>
      <c r="H2477" t="s">
        <v>5627</v>
      </c>
      <c r="J2477" t="str">
        <f>HYPERLINK("https://twitter.com/imAbhirajsinha/status/1758473080890945626","https://twitter.com/imAbhirajsinha/status/1758473080890945626")</f>
        <v>https://twitter.com/imAbhirajsinha/status/1758473080890945626</v>
      </c>
      <c r="K2477" t="s">
        <v>145</v>
      </c>
      <c r="O2477">
        <v>0</v>
      </c>
      <c r="P2477">
        <v>0</v>
      </c>
      <c r="Q2477">
        <v>379</v>
      </c>
      <c r="R2477" t="s">
        <v>582</v>
      </c>
      <c r="S2477">
        <v>0</v>
      </c>
      <c r="T2477">
        <v>0</v>
      </c>
      <c r="U2477">
        <v>0</v>
      </c>
      <c r="W2477" t="s">
        <v>552</v>
      </c>
    </row>
    <row r="2478" spans="1:42" x14ac:dyDescent="0.35">
      <c r="A2478" t="s">
        <v>45</v>
      </c>
      <c r="B2478" t="s">
        <v>5571</v>
      </c>
      <c r="C2478" t="s">
        <v>58</v>
      </c>
      <c r="D2478" t="s">
        <v>5628</v>
      </c>
      <c r="E2478" t="s">
        <v>5628</v>
      </c>
      <c r="F2478" t="s">
        <v>49</v>
      </c>
      <c r="G2478" t="s">
        <v>5629</v>
      </c>
      <c r="H2478" t="s">
        <v>5630</v>
      </c>
      <c r="J2478" t="str">
        <f>HYPERLINK("https://www.youtube.com/watch?v=UkK1Yhcb8wY","https://www.youtube.com/watch?v=UkK1Yhcb8wY")</f>
        <v>https://www.youtube.com/watch?v=UkK1Yhcb8wY</v>
      </c>
      <c r="O2478">
        <v>0</v>
      </c>
      <c r="P2478">
        <v>0</v>
      </c>
      <c r="Q2478">
        <v>0</v>
      </c>
      <c r="S2478">
        <v>0</v>
      </c>
      <c r="T2478">
        <v>0</v>
      </c>
      <c r="U2478">
        <v>0</v>
      </c>
      <c r="W2478" t="s">
        <v>106</v>
      </c>
      <c r="AP2478" t="s">
        <v>101</v>
      </c>
    </row>
    <row r="2479" spans="1:42" x14ac:dyDescent="0.35">
      <c r="A2479" t="s">
        <v>45</v>
      </c>
      <c r="B2479" t="s">
        <v>5571</v>
      </c>
      <c r="C2479" t="s">
        <v>102</v>
      </c>
      <c r="D2479" t="s">
        <v>5631</v>
      </c>
      <c r="E2479" t="s">
        <v>5631</v>
      </c>
      <c r="F2479" t="s">
        <v>76</v>
      </c>
      <c r="G2479" t="s">
        <v>5632</v>
      </c>
      <c r="H2479" t="s">
        <v>5633</v>
      </c>
      <c r="J2479" t="str">
        <f>HYPERLINK("https://www.linkedin.com/feed/update/urn:li:activity:7164231712024072195","https://www.linkedin.com/feed/update/urn:li:activity:7164231712024072195")</f>
        <v>https://www.linkedin.com/feed/update/urn:li:activity:7164231712024072195</v>
      </c>
      <c r="O2479">
        <v>0</v>
      </c>
      <c r="P2479">
        <v>0</v>
      </c>
      <c r="Q2479">
        <v>0</v>
      </c>
      <c r="S2479">
        <v>0</v>
      </c>
      <c r="T2479">
        <v>0</v>
      </c>
      <c r="U2479">
        <v>0</v>
      </c>
      <c r="W2479" t="s">
        <v>106</v>
      </c>
    </row>
    <row r="2480" spans="1:42" x14ac:dyDescent="0.35">
      <c r="A2480" t="s">
        <v>45</v>
      </c>
      <c r="B2480" t="s">
        <v>5571</v>
      </c>
      <c r="C2480" t="s">
        <v>139</v>
      </c>
      <c r="D2480" t="s">
        <v>5634</v>
      </c>
      <c r="E2480" t="s">
        <v>5635</v>
      </c>
      <c r="F2480" t="s">
        <v>49</v>
      </c>
      <c r="G2480" t="s">
        <v>5556</v>
      </c>
      <c r="H2480" t="s">
        <v>5636</v>
      </c>
      <c r="J2480" t="str">
        <f>HYPERLINK("https://twitter.com/RajivTi04537150/status/1758462958827622682","https://twitter.com/RajivTi04537150/status/1758462958827622682")</f>
        <v>https://twitter.com/RajivTi04537150/status/1758462958827622682</v>
      </c>
      <c r="K2480" t="s">
        <v>145</v>
      </c>
      <c r="O2480">
        <v>0</v>
      </c>
      <c r="P2480">
        <v>0</v>
      </c>
      <c r="Q2480">
        <v>174</v>
      </c>
      <c r="R2480" t="s">
        <v>5637</v>
      </c>
      <c r="S2480">
        <v>0</v>
      </c>
      <c r="T2480">
        <v>0</v>
      </c>
      <c r="U2480">
        <v>0</v>
      </c>
      <c r="W2480" t="s">
        <v>552</v>
      </c>
    </row>
    <row r="2481" spans="1:45" x14ac:dyDescent="0.35">
      <c r="A2481" t="s">
        <v>45</v>
      </c>
      <c r="B2481" t="s">
        <v>5571</v>
      </c>
      <c r="C2481" t="s">
        <v>63</v>
      </c>
      <c r="D2481" t="s">
        <v>5504</v>
      </c>
      <c r="E2481" t="s">
        <v>5504</v>
      </c>
      <c r="F2481" t="s">
        <v>49</v>
      </c>
      <c r="G2481" t="s">
        <v>5638</v>
      </c>
      <c r="H2481" t="s">
        <v>5639</v>
      </c>
      <c r="J2481" t="str">
        <f>HYPERLINK("https://www.instagram.com/p/C3U7TX_AUmg/","https://www.instagram.com/p/C3U7TX_AUmg/")</f>
        <v>https://www.instagram.com/p/C3U7TX_AUmg/</v>
      </c>
      <c r="O2481">
        <v>0</v>
      </c>
      <c r="P2481">
        <v>0</v>
      </c>
      <c r="Q2481">
        <v>0</v>
      </c>
      <c r="S2481">
        <v>0</v>
      </c>
      <c r="T2481">
        <v>0</v>
      </c>
      <c r="U2481">
        <v>0</v>
      </c>
      <c r="W2481" t="s">
        <v>62</v>
      </c>
      <c r="AS2481" t="s">
        <v>375</v>
      </c>
    </row>
    <row r="2482" spans="1:45" x14ac:dyDescent="0.35">
      <c r="A2482" t="s">
        <v>45</v>
      </c>
      <c r="B2482" t="s">
        <v>5571</v>
      </c>
      <c r="C2482" t="s">
        <v>139</v>
      </c>
      <c r="D2482" t="s">
        <v>5640</v>
      </c>
      <c r="E2482" t="s">
        <v>5641</v>
      </c>
      <c r="F2482" t="s">
        <v>49</v>
      </c>
      <c r="G2482" t="s">
        <v>5501</v>
      </c>
      <c r="H2482" t="s">
        <v>5642</v>
      </c>
      <c r="J2482" t="str">
        <f>HYPERLINK("https://twitter.com/SShuklaabvp/status/1758456289884021065","https://twitter.com/SShuklaabvp/status/1758456289884021065")</f>
        <v>https://twitter.com/SShuklaabvp/status/1758456289884021065</v>
      </c>
      <c r="K2482" t="s">
        <v>145</v>
      </c>
      <c r="O2482">
        <v>0</v>
      </c>
      <c r="P2482">
        <v>0</v>
      </c>
      <c r="Q2482">
        <v>237</v>
      </c>
      <c r="S2482">
        <v>0</v>
      </c>
      <c r="T2482">
        <v>0</v>
      </c>
      <c r="U2482">
        <v>0</v>
      </c>
      <c r="W2482" t="s">
        <v>552</v>
      </c>
    </row>
    <row r="2483" spans="1:45" x14ac:dyDescent="0.35">
      <c r="A2483" t="s">
        <v>45</v>
      </c>
      <c r="B2483" t="s">
        <v>5571</v>
      </c>
      <c r="C2483" t="s">
        <v>63</v>
      </c>
      <c r="D2483" t="s">
        <v>186</v>
      </c>
      <c r="E2483" t="s">
        <v>186</v>
      </c>
      <c r="F2483" t="s">
        <v>49</v>
      </c>
      <c r="G2483" t="s">
        <v>5643</v>
      </c>
      <c r="H2483" t="s">
        <v>5644</v>
      </c>
      <c r="J2483" t="str">
        <f>HYPERLINK("https://www.instagram.com/reel/C3aCHENO4-0/","https://www.instagram.com/reel/C3aCHENO4-0/")</f>
        <v>https://www.instagram.com/reel/C3aCHENO4-0/</v>
      </c>
      <c r="O2483">
        <v>0</v>
      </c>
      <c r="P2483">
        <v>0</v>
      </c>
      <c r="Q2483">
        <v>0</v>
      </c>
      <c r="S2483">
        <v>10</v>
      </c>
      <c r="T2483">
        <v>87</v>
      </c>
      <c r="U2483">
        <v>0</v>
      </c>
      <c r="W2483" t="s">
        <v>106</v>
      </c>
    </row>
    <row r="2484" spans="1:45" x14ac:dyDescent="0.35">
      <c r="A2484" t="s">
        <v>45</v>
      </c>
      <c r="B2484" t="s">
        <v>5571</v>
      </c>
      <c r="C2484" t="s">
        <v>47</v>
      </c>
      <c r="D2484" t="s">
        <v>45</v>
      </c>
      <c r="E2484" t="s">
        <v>45</v>
      </c>
      <c r="F2484" t="s">
        <v>49</v>
      </c>
      <c r="G2484" t="s">
        <v>5643</v>
      </c>
      <c r="H2484" t="s">
        <v>5645</v>
      </c>
      <c r="J2484" t="str">
        <f>HYPERLINK("https://www.facebook.com/454965103328545/posts/773103518181367","https://www.facebook.com/454965103328545/posts/773103518181367")</f>
        <v>https://www.facebook.com/454965103328545/posts/773103518181367</v>
      </c>
      <c r="O2484">
        <v>0</v>
      </c>
      <c r="P2484">
        <v>0</v>
      </c>
      <c r="Q2484">
        <v>0</v>
      </c>
      <c r="S2484">
        <v>4</v>
      </c>
      <c r="T2484">
        <v>67</v>
      </c>
      <c r="U2484">
        <v>8</v>
      </c>
      <c r="W2484" t="s">
        <v>106</v>
      </c>
    </row>
    <row r="2485" spans="1:45" x14ac:dyDescent="0.35">
      <c r="A2485" t="s">
        <v>45</v>
      </c>
      <c r="B2485" t="s">
        <v>5571</v>
      </c>
      <c r="C2485" t="s">
        <v>139</v>
      </c>
      <c r="D2485" t="s">
        <v>190</v>
      </c>
      <c r="E2485" t="s">
        <v>45</v>
      </c>
      <c r="F2485" t="s">
        <v>49</v>
      </c>
      <c r="G2485" t="s">
        <v>5646</v>
      </c>
      <c r="H2485" t="s">
        <v>5647</v>
      </c>
      <c r="J2485" t="str">
        <f>HYPERLINK("https://twitter.com/FinoPaymntsBank/status/1758453846018290040","https://twitter.com/FinoPaymntsBank/status/1758453846018290040")</f>
        <v>https://twitter.com/FinoPaymntsBank/status/1758453846018290040</v>
      </c>
      <c r="K2485" t="s">
        <v>145</v>
      </c>
      <c r="O2485">
        <v>0</v>
      </c>
      <c r="P2485">
        <v>0</v>
      </c>
      <c r="Q2485">
        <v>8383</v>
      </c>
      <c r="R2485" t="s">
        <v>193</v>
      </c>
      <c r="S2485">
        <v>0</v>
      </c>
      <c r="T2485">
        <v>0</v>
      </c>
      <c r="U2485">
        <v>0</v>
      </c>
      <c r="W2485" t="s">
        <v>146</v>
      </c>
    </row>
    <row r="2486" spans="1:45" x14ac:dyDescent="0.35">
      <c r="A2486" t="s">
        <v>45</v>
      </c>
      <c r="B2486" t="s">
        <v>5571</v>
      </c>
      <c r="C2486" t="s">
        <v>139</v>
      </c>
      <c r="D2486" t="s">
        <v>5648</v>
      </c>
      <c r="E2486" t="s">
        <v>5649</v>
      </c>
      <c r="F2486" t="s">
        <v>49</v>
      </c>
      <c r="G2486" t="s">
        <v>5501</v>
      </c>
      <c r="H2486" t="s">
        <v>5650</v>
      </c>
      <c r="J2486" t="str">
        <f>HYPERLINK("https://twitter.com/AnuragV08533729/status/1758450528726741436","https://twitter.com/AnuragV08533729/status/1758450528726741436")</f>
        <v>https://twitter.com/AnuragV08533729/status/1758450528726741436</v>
      </c>
      <c r="K2486" t="s">
        <v>145</v>
      </c>
      <c r="O2486">
        <v>0</v>
      </c>
      <c r="P2486">
        <v>0</v>
      </c>
      <c r="Q2486">
        <v>47</v>
      </c>
      <c r="R2486" t="s">
        <v>582</v>
      </c>
      <c r="S2486">
        <v>0</v>
      </c>
      <c r="T2486">
        <v>0</v>
      </c>
      <c r="U2486">
        <v>0</v>
      </c>
      <c r="W2486" t="s">
        <v>552</v>
      </c>
    </row>
    <row r="2487" spans="1:45" x14ac:dyDescent="0.35">
      <c r="A2487" t="s">
        <v>45</v>
      </c>
      <c r="B2487" t="s">
        <v>5571</v>
      </c>
      <c r="C2487" t="s">
        <v>139</v>
      </c>
      <c r="D2487" t="s">
        <v>5651</v>
      </c>
      <c r="E2487" t="s">
        <v>5652</v>
      </c>
      <c r="F2487" t="s">
        <v>49</v>
      </c>
      <c r="G2487" t="s">
        <v>5501</v>
      </c>
      <c r="H2487" t="s">
        <v>5653</v>
      </c>
      <c r="J2487" t="str">
        <f>HYPERLINK("https://twitter.com/ShanuKumarVerm2/status/1758449859391295903","https://twitter.com/ShanuKumarVerm2/status/1758449859391295903")</f>
        <v>https://twitter.com/ShanuKumarVerm2/status/1758449859391295903</v>
      </c>
      <c r="K2487" t="s">
        <v>145</v>
      </c>
      <c r="O2487">
        <v>0</v>
      </c>
      <c r="P2487">
        <v>0</v>
      </c>
      <c r="Q2487">
        <v>1472</v>
      </c>
      <c r="R2487" t="s">
        <v>5654</v>
      </c>
      <c r="S2487">
        <v>0</v>
      </c>
      <c r="T2487">
        <v>0</v>
      </c>
      <c r="U2487">
        <v>0</v>
      </c>
      <c r="W2487" t="s">
        <v>552</v>
      </c>
    </row>
    <row r="2488" spans="1:45" x14ac:dyDescent="0.35">
      <c r="A2488" t="s">
        <v>45</v>
      </c>
      <c r="B2488" t="s">
        <v>5571</v>
      </c>
      <c r="C2488" t="s">
        <v>139</v>
      </c>
      <c r="D2488" t="s">
        <v>5517</v>
      </c>
      <c r="E2488" t="s">
        <v>5518</v>
      </c>
      <c r="F2488" t="s">
        <v>49</v>
      </c>
      <c r="G2488" t="s">
        <v>5655</v>
      </c>
      <c r="H2488" t="s">
        <v>5656</v>
      </c>
      <c r="J2488" t="str">
        <f>HYPERLINK("https://twitter.com/karan0473/status/1758448351761322109","https://twitter.com/karan0473/status/1758448351761322109")</f>
        <v>https://twitter.com/karan0473/status/1758448351761322109</v>
      </c>
      <c r="K2488" t="s">
        <v>145</v>
      </c>
      <c r="O2488">
        <v>0</v>
      </c>
      <c r="P2488">
        <v>0</v>
      </c>
      <c r="Q2488">
        <v>51</v>
      </c>
      <c r="R2488" t="s">
        <v>5521</v>
      </c>
      <c r="S2488">
        <v>0</v>
      </c>
      <c r="T2488">
        <v>0</v>
      </c>
      <c r="U2488">
        <v>0</v>
      </c>
      <c r="W2488" t="s">
        <v>146</v>
      </c>
      <c r="AP2488" t="s">
        <v>101</v>
      </c>
      <c r="AS2488" t="s">
        <v>375</v>
      </c>
    </row>
    <row r="2489" spans="1:45" x14ac:dyDescent="0.35">
      <c r="A2489" t="s">
        <v>45</v>
      </c>
      <c r="B2489" t="s">
        <v>5571</v>
      </c>
      <c r="C2489" t="s">
        <v>139</v>
      </c>
      <c r="D2489" t="s">
        <v>5657</v>
      </c>
      <c r="E2489" t="s">
        <v>5658</v>
      </c>
      <c r="F2489" t="s">
        <v>49</v>
      </c>
      <c r="G2489" t="s">
        <v>5501</v>
      </c>
      <c r="H2489" t="s">
        <v>5659</v>
      </c>
      <c r="J2489" t="str">
        <f>HYPERLINK("https://twitter.com/BBKNews/status/1758446619471880293","https://twitter.com/BBKNews/status/1758446619471880293")</f>
        <v>https://twitter.com/BBKNews/status/1758446619471880293</v>
      </c>
      <c r="O2489">
        <v>0</v>
      </c>
      <c r="P2489">
        <v>0</v>
      </c>
      <c r="Q2489">
        <v>49847</v>
      </c>
      <c r="R2489" t="s">
        <v>5660</v>
      </c>
      <c r="S2489">
        <v>0</v>
      </c>
      <c r="T2489">
        <v>0</v>
      </c>
      <c r="U2489">
        <v>0</v>
      </c>
      <c r="V2489" t="s">
        <v>642</v>
      </c>
      <c r="W2489" t="s">
        <v>146</v>
      </c>
    </row>
    <row r="2490" spans="1:45" x14ac:dyDescent="0.35">
      <c r="A2490" t="s">
        <v>45</v>
      </c>
      <c r="B2490" t="s">
        <v>5571</v>
      </c>
      <c r="C2490" t="s">
        <v>139</v>
      </c>
      <c r="D2490" t="s">
        <v>5661</v>
      </c>
      <c r="E2490" t="s">
        <v>5662</v>
      </c>
      <c r="F2490" t="s">
        <v>49</v>
      </c>
      <c r="G2490" t="s">
        <v>5556</v>
      </c>
      <c r="H2490" t="s">
        <v>5663</v>
      </c>
      <c r="J2490" t="str">
        <f>HYPERLINK("https://twitter.com/TusharA34445800/status/1758436911197110313","https://twitter.com/TusharA34445800/status/1758436911197110313")</f>
        <v>https://twitter.com/TusharA34445800/status/1758436911197110313</v>
      </c>
      <c r="K2490" t="s">
        <v>145</v>
      </c>
      <c r="O2490">
        <v>0</v>
      </c>
      <c r="P2490">
        <v>0</v>
      </c>
      <c r="Q2490">
        <v>114</v>
      </c>
      <c r="R2490" t="s">
        <v>5503</v>
      </c>
      <c r="S2490">
        <v>0</v>
      </c>
      <c r="T2490">
        <v>0</v>
      </c>
      <c r="U2490">
        <v>0</v>
      </c>
      <c r="W2490" t="s">
        <v>552</v>
      </c>
    </row>
    <row r="2491" spans="1:45" x14ac:dyDescent="0.35">
      <c r="A2491" t="s">
        <v>45</v>
      </c>
      <c r="B2491" t="s">
        <v>5571</v>
      </c>
      <c r="C2491" t="s">
        <v>139</v>
      </c>
      <c r="D2491" t="s">
        <v>5664</v>
      </c>
      <c r="E2491" t="s">
        <v>5665</v>
      </c>
      <c r="F2491" t="s">
        <v>49</v>
      </c>
      <c r="G2491" t="s">
        <v>5666</v>
      </c>
      <c r="H2491" t="s">
        <v>5667</v>
      </c>
      <c r="J2491" t="str">
        <f>HYPERLINK("https://twitter.com/Babaji962/status/1758413471815721018","https://twitter.com/Babaji962/status/1758413471815721018")</f>
        <v>https://twitter.com/Babaji962/status/1758413471815721018</v>
      </c>
      <c r="K2491" t="s">
        <v>145</v>
      </c>
      <c r="O2491">
        <v>0</v>
      </c>
      <c r="P2491">
        <v>0</v>
      </c>
      <c r="Q2491">
        <v>85</v>
      </c>
      <c r="R2491" t="s">
        <v>5668</v>
      </c>
      <c r="S2491">
        <v>0</v>
      </c>
      <c r="T2491">
        <v>0</v>
      </c>
      <c r="U2491">
        <v>0</v>
      </c>
      <c r="W2491" t="s">
        <v>146</v>
      </c>
      <c r="AS2491" t="s">
        <v>375</v>
      </c>
    </row>
    <row r="2492" spans="1:45" x14ac:dyDescent="0.35">
      <c r="A2492" t="s">
        <v>45</v>
      </c>
      <c r="B2492" t="s">
        <v>5571</v>
      </c>
      <c r="C2492" t="s">
        <v>47</v>
      </c>
      <c r="D2492" t="s">
        <v>98</v>
      </c>
      <c r="E2492" t="s">
        <v>98</v>
      </c>
      <c r="F2492" t="s">
        <v>49</v>
      </c>
      <c r="G2492" t="s">
        <v>3343</v>
      </c>
      <c r="H2492" t="s">
        <v>5669</v>
      </c>
      <c r="J2492" t="str">
        <f>HYPERLINK("https://www.facebook.com/454965103328545/posts/771158271709225?comment_id=1950795715316445","https://www.facebook.com/454965103328545/posts/771158271709225?comment_id=1950795715316445")</f>
        <v>https://www.facebook.com/454965103328545/posts/771158271709225?comment_id=1950795715316445</v>
      </c>
      <c r="O2492">
        <v>0</v>
      </c>
      <c r="P2492">
        <v>0</v>
      </c>
      <c r="Q2492">
        <v>0</v>
      </c>
      <c r="S2492">
        <v>0</v>
      </c>
      <c r="T2492">
        <v>0</v>
      </c>
      <c r="U2492">
        <v>0</v>
      </c>
      <c r="W2492" t="s">
        <v>62</v>
      </c>
    </row>
    <row r="2493" spans="1:45" x14ac:dyDescent="0.35">
      <c r="A2493" t="s">
        <v>45</v>
      </c>
      <c r="B2493" t="s">
        <v>5571</v>
      </c>
      <c r="C2493" t="s">
        <v>47</v>
      </c>
      <c r="D2493" t="s">
        <v>3912</v>
      </c>
      <c r="E2493" t="s">
        <v>3912</v>
      </c>
      <c r="F2493" t="s">
        <v>49</v>
      </c>
      <c r="G2493" t="s">
        <v>5670</v>
      </c>
      <c r="H2493" t="s">
        <v>5671</v>
      </c>
      <c r="J2493" t="str">
        <f>HYPERLINK("https://www.facebook.com/454965103328545/posts/768116778680041?comment_id=742968817766691&amp;reply_comment_id=422007296934966","https://www.facebook.com/454965103328545/posts/768116778680041?comment_id=742968817766691&amp;reply_comment_id=422007296934966")</f>
        <v>https://www.facebook.com/454965103328545/posts/768116778680041?comment_id=742968817766691&amp;reply_comment_id=422007296934966</v>
      </c>
      <c r="O2493">
        <v>0</v>
      </c>
      <c r="P2493">
        <v>0</v>
      </c>
      <c r="Q2493">
        <v>0</v>
      </c>
      <c r="S2493">
        <v>0</v>
      </c>
      <c r="T2493">
        <v>0</v>
      </c>
      <c r="U2493">
        <v>0</v>
      </c>
      <c r="W2493" t="s">
        <v>62</v>
      </c>
      <c r="Y2493" t="s">
        <v>5672</v>
      </c>
      <c r="Z2493" t="s">
        <v>613</v>
      </c>
      <c r="AA2493" t="s">
        <v>614</v>
      </c>
    </row>
    <row r="2494" spans="1:45" x14ac:dyDescent="0.35">
      <c r="A2494" t="s">
        <v>45</v>
      </c>
      <c r="B2494" t="s">
        <v>5571</v>
      </c>
      <c r="C2494" t="s">
        <v>139</v>
      </c>
      <c r="D2494" t="s">
        <v>4936</v>
      </c>
      <c r="E2494" t="s">
        <v>4937</v>
      </c>
      <c r="F2494" t="s">
        <v>49</v>
      </c>
      <c r="G2494" t="s">
        <v>5673</v>
      </c>
      <c r="H2494" t="s">
        <v>5674</v>
      </c>
      <c r="J2494" t="str">
        <f>HYPERLINK("https://twitter.com/tauseeflala1991/status/1758373494210048458","https://twitter.com/tauseeflala1991/status/1758373494210048458")</f>
        <v>https://twitter.com/tauseeflala1991/status/1758373494210048458</v>
      </c>
      <c r="K2494" t="s">
        <v>145</v>
      </c>
      <c r="O2494">
        <v>0</v>
      </c>
      <c r="P2494">
        <v>0</v>
      </c>
      <c r="Q2494">
        <v>2</v>
      </c>
      <c r="R2494" t="s">
        <v>667</v>
      </c>
      <c r="S2494">
        <v>0</v>
      </c>
      <c r="T2494">
        <v>0</v>
      </c>
      <c r="U2494">
        <v>0</v>
      </c>
      <c r="W2494" t="s">
        <v>146</v>
      </c>
      <c r="AP2494" t="s">
        <v>147</v>
      </c>
      <c r="AS2494" t="s">
        <v>375</v>
      </c>
    </row>
    <row r="2495" spans="1:45" x14ac:dyDescent="0.35">
      <c r="A2495" t="s">
        <v>45</v>
      </c>
      <c r="B2495" t="s">
        <v>5571</v>
      </c>
      <c r="C2495" t="s">
        <v>139</v>
      </c>
      <c r="D2495" t="s">
        <v>5675</v>
      </c>
      <c r="E2495" t="s">
        <v>5675</v>
      </c>
      <c r="F2495" t="s">
        <v>49</v>
      </c>
      <c r="G2495" t="s">
        <v>5556</v>
      </c>
      <c r="H2495" t="s">
        <v>5676</v>
      </c>
      <c r="J2495" t="str">
        <f>HYPERLINK("https://twitter.com/Ravisutanjani/status/1758369690924245416","https://twitter.com/Ravisutanjani/status/1758369690924245416")</f>
        <v>https://twitter.com/Ravisutanjani/status/1758369690924245416</v>
      </c>
      <c r="O2495">
        <v>0</v>
      </c>
      <c r="P2495">
        <v>0</v>
      </c>
      <c r="Q2495">
        <v>121995</v>
      </c>
      <c r="R2495" t="s">
        <v>5677</v>
      </c>
      <c r="S2495">
        <v>0</v>
      </c>
      <c r="T2495">
        <v>0</v>
      </c>
      <c r="U2495">
        <v>0</v>
      </c>
      <c r="V2495" t="s">
        <v>642</v>
      </c>
      <c r="W2495" t="s">
        <v>146</v>
      </c>
    </row>
    <row r="2496" spans="1:45" x14ac:dyDescent="0.35">
      <c r="A2496" t="s">
        <v>45</v>
      </c>
      <c r="B2496" t="s">
        <v>5571</v>
      </c>
      <c r="C2496" t="s">
        <v>47</v>
      </c>
      <c r="D2496" t="s">
        <v>5678</v>
      </c>
      <c r="E2496" t="s">
        <v>5678</v>
      </c>
      <c r="F2496" t="s">
        <v>49</v>
      </c>
      <c r="G2496" t="s">
        <v>50</v>
      </c>
      <c r="H2496" t="s">
        <v>5679</v>
      </c>
      <c r="J2496" t="str">
        <f>HYPERLINK("https://www.facebook.com/357267201017935/inbox/7046451735432748/","https://www.facebook.com/357267201017935/inbox/7046451735432748/")</f>
        <v>https://www.facebook.com/357267201017935/inbox/7046451735432748/</v>
      </c>
      <c r="O2496">
        <v>0</v>
      </c>
      <c r="P2496">
        <v>0</v>
      </c>
      <c r="Q2496">
        <v>0</v>
      </c>
      <c r="S2496">
        <v>0</v>
      </c>
      <c r="T2496">
        <v>0</v>
      </c>
      <c r="U2496">
        <v>0</v>
      </c>
      <c r="W2496" t="s">
        <v>52</v>
      </c>
      <c r="AS2496" t="s">
        <v>375</v>
      </c>
    </row>
    <row r="2497" spans="1:45" x14ac:dyDescent="0.35">
      <c r="A2497" t="s">
        <v>45</v>
      </c>
      <c r="B2497" t="s">
        <v>5571</v>
      </c>
      <c r="C2497" t="s">
        <v>47</v>
      </c>
      <c r="D2497" t="s">
        <v>5680</v>
      </c>
      <c r="E2497" t="s">
        <v>5680</v>
      </c>
      <c r="F2497" t="s">
        <v>49</v>
      </c>
      <c r="G2497" t="s">
        <v>5681</v>
      </c>
      <c r="H2497" t="s">
        <v>5682</v>
      </c>
      <c r="J2497" t="str">
        <f>HYPERLINK("https://www.facebook.com/357267201017935/inbox/7046404782104110/","https://www.facebook.com/357267201017935/inbox/7046404782104110/")</f>
        <v>https://www.facebook.com/357267201017935/inbox/7046404782104110/</v>
      </c>
      <c r="O2497">
        <v>0</v>
      </c>
      <c r="P2497">
        <v>0</v>
      </c>
      <c r="Q2497">
        <v>0</v>
      </c>
      <c r="S2497">
        <v>0</v>
      </c>
      <c r="T2497">
        <v>0</v>
      </c>
      <c r="U2497">
        <v>0</v>
      </c>
      <c r="W2497" t="s">
        <v>52</v>
      </c>
      <c r="AS2497" t="s">
        <v>375</v>
      </c>
    </row>
    <row r="2498" spans="1:45" x14ac:dyDescent="0.35">
      <c r="A2498" t="s">
        <v>45</v>
      </c>
      <c r="B2498" t="s">
        <v>5571</v>
      </c>
      <c r="C2498" t="s">
        <v>58</v>
      </c>
      <c r="D2498" t="s">
        <v>3340</v>
      </c>
      <c r="E2498" t="s">
        <v>3340</v>
      </c>
      <c r="F2498" t="s">
        <v>142</v>
      </c>
      <c r="G2498" t="s">
        <v>5683</v>
      </c>
      <c r="H2498" t="s">
        <v>5684</v>
      </c>
      <c r="J2498" t="str">
        <f>HYPERLINK("https://www.youtube.com/watch?v=0V4ag_AiV7o","https://www.youtube.com/watch?v=0V4ag_AiV7o")</f>
        <v>https://www.youtube.com/watch?v=0V4ag_AiV7o</v>
      </c>
      <c r="O2498">
        <v>0</v>
      </c>
      <c r="P2498">
        <v>0</v>
      </c>
      <c r="Q2498">
        <v>0</v>
      </c>
      <c r="S2498">
        <v>0</v>
      </c>
      <c r="T2498">
        <v>0</v>
      </c>
      <c r="U2498">
        <v>0</v>
      </c>
      <c r="W2498" t="s">
        <v>106</v>
      </c>
      <c r="AP2498" t="s">
        <v>147</v>
      </c>
    </row>
    <row r="2499" spans="1:45" x14ac:dyDescent="0.35">
      <c r="A2499" t="s">
        <v>45</v>
      </c>
      <c r="B2499" t="s">
        <v>5571</v>
      </c>
      <c r="C2499" t="s">
        <v>47</v>
      </c>
      <c r="D2499" t="s">
        <v>5685</v>
      </c>
      <c r="E2499" t="s">
        <v>5685</v>
      </c>
      <c r="F2499" t="s">
        <v>49</v>
      </c>
      <c r="G2499" t="s">
        <v>5686</v>
      </c>
      <c r="H2499" t="s">
        <v>5687</v>
      </c>
      <c r="J2499" t="str">
        <f>HYPERLINK("https://www.facebook.com/454965103328545/posts/771881191636933?comment_id=1330107258385395","https://www.facebook.com/454965103328545/posts/771881191636933?comment_id=1330107258385395")</f>
        <v>https://www.facebook.com/454965103328545/posts/771881191636933?comment_id=1330107258385395</v>
      </c>
      <c r="O2499">
        <v>0</v>
      </c>
      <c r="P2499">
        <v>0</v>
      </c>
      <c r="Q2499">
        <v>0</v>
      </c>
      <c r="S2499">
        <v>0</v>
      </c>
      <c r="T2499">
        <v>0</v>
      </c>
      <c r="U2499">
        <v>0</v>
      </c>
      <c r="W2499" t="s">
        <v>62</v>
      </c>
    </row>
    <row r="2500" spans="1:45" x14ac:dyDescent="0.35">
      <c r="A2500" t="s">
        <v>45</v>
      </c>
      <c r="B2500" t="s">
        <v>5571</v>
      </c>
      <c r="C2500" t="s">
        <v>139</v>
      </c>
      <c r="D2500" t="s">
        <v>5688</v>
      </c>
      <c r="E2500" t="s">
        <v>5689</v>
      </c>
      <c r="F2500" t="s">
        <v>49</v>
      </c>
      <c r="G2500" t="s">
        <v>5690</v>
      </c>
      <c r="H2500" t="s">
        <v>5691</v>
      </c>
      <c r="J2500" t="str">
        <f>HYPERLINK("https://twitter.com/HeleneMila49981/status/1758255825523454004","https://twitter.com/HeleneMila49981/status/1758255825523454004")</f>
        <v>https://twitter.com/HeleneMila49981/status/1758255825523454004</v>
      </c>
      <c r="K2500" t="s">
        <v>1769</v>
      </c>
      <c r="O2500">
        <v>0</v>
      </c>
      <c r="P2500">
        <v>0</v>
      </c>
      <c r="Q2500">
        <v>0</v>
      </c>
      <c r="S2500">
        <v>0</v>
      </c>
      <c r="T2500">
        <v>0</v>
      </c>
      <c r="U2500">
        <v>0</v>
      </c>
      <c r="W2500" t="s">
        <v>146</v>
      </c>
    </row>
    <row r="2501" spans="1:45" x14ac:dyDescent="0.35">
      <c r="A2501" t="s">
        <v>45</v>
      </c>
      <c r="B2501" t="s">
        <v>5692</v>
      </c>
      <c r="C2501" t="s">
        <v>47</v>
      </c>
      <c r="D2501" t="s">
        <v>3754</v>
      </c>
      <c r="E2501" t="s">
        <v>3754</v>
      </c>
      <c r="F2501" t="s">
        <v>49</v>
      </c>
      <c r="G2501" t="s">
        <v>5693</v>
      </c>
      <c r="H2501" t="s">
        <v>5694</v>
      </c>
      <c r="J2501" t="str">
        <f>HYPERLINK("https://www.facebook.com/454965103328545/posts/768116778680041?comment_id=1350316936366668","https://www.facebook.com/454965103328545/posts/768116778680041?comment_id=1350316936366668")</f>
        <v>https://www.facebook.com/454965103328545/posts/768116778680041?comment_id=1350316936366668</v>
      </c>
      <c r="O2501">
        <v>0</v>
      </c>
      <c r="P2501">
        <v>0</v>
      </c>
      <c r="Q2501">
        <v>0</v>
      </c>
      <c r="S2501">
        <v>0</v>
      </c>
      <c r="T2501">
        <v>0</v>
      </c>
      <c r="U2501">
        <v>0</v>
      </c>
      <c r="W2501" t="s">
        <v>62</v>
      </c>
      <c r="Y2501" t="s">
        <v>5695</v>
      </c>
      <c r="Z2501" t="s">
        <v>613</v>
      </c>
      <c r="AA2501" t="s">
        <v>614</v>
      </c>
      <c r="AP2501" t="s">
        <v>94</v>
      </c>
      <c r="AS2501" t="s">
        <v>375</v>
      </c>
    </row>
    <row r="2502" spans="1:45" x14ac:dyDescent="0.35">
      <c r="A2502" t="s">
        <v>45</v>
      </c>
      <c r="B2502" t="s">
        <v>5692</v>
      </c>
      <c r="C2502" t="s">
        <v>58</v>
      </c>
      <c r="D2502" t="s">
        <v>5696</v>
      </c>
      <c r="E2502" t="s">
        <v>5696</v>
      </c>
      <c r="F2502" t="s">
        <v>49</v>
      </c>
      <c r="G2502" t="s">
        <v>5697</v>
      </c>
      <c r="H2502" t="s">
        <v>5698</v>
      </c>
      <c r="J2502" t="str">
        <f>HYPERLINK("https://www.youtube.com/watch?v=KvhijIZHGLM","https://www.youtube.com/watch?v=KvhijIZHGLM")</f>
        <v>https://www.youtube.com/watch?v=KvhijIZHGLM</v>
      </c>
      <c r="O2502">
        <v>0</v>
      </c>
      <c r="P2502">
        <v>0</v>
      </c>
      <c r="Q2502">
        <v>0</v>
      </c>
      <c r="S2502">
        <v>0</v>
      </c>
      <c r="T2502">
        <v>0</v>
      </c>
      <c r="U2502">
        <v>0</v>
      </c>
      <c r="W2502" t="s">
        <v>106</v>
      </c>
    </row>
    <row r="2503" spans="1:45" x14ac:dyDescent="0.35">
      <c r="A2503" t="s">
        <v>45</v>
      </c>
      <c r="B2503" t="s">
        <v>5692</v>
      </c>
      <c r="C2503" t="s">
        <v>58</v>
      </c>
      <c r="D2503" t="s">
        <v>1142</v>
      </c>
      <c r="E2503" t="s">
        <v>1142</v>
      </c>
      <c r="F2503" t="s">
        <v>49</v>
      </c>
      <c r="G2503" t="s">
        <v>5699</v>
      </c>
      <c r="H2503" t="s">
        <v>5700</v>
      </c>
      <c r="J2503" t="str">
        <f>HYPERLINK("https://www.youtube.com/watch?v=8kWcVkkxjRI","https://www.youtube.com/watch?v=8kWcVkkxjRI")</f>
        <v>https://www.youtube.com/watch?v=8kWcVkkxjRI</v>
      </c>
      <c r="O2503">
        <v>0</v>
      </c>
      <c r="P2503">
        <v>0</v>
      </c>
      <c r="Q2503">
        <v>0</v>
      </c>
      <c r="S2503">
        <v>0</v>
      </c>
      <c r="T2503">
        <v>0</v>
      </c>
      <c r="U2503">
        <v>0</v>
      </c>
      <c r="W2503" t="s">
        <v>106</v>
      </c>
      <c r="AP2503" t="s">
        <v>101</v>
      </c>
    </row>
    <row r="2504" spans="1:45" x14ac:dyDescent="0.35">
      <c r="A2504" t="s">
        <v>45</v>
      </c>
      <c r="B2504" t="s">
        <v>5692</v>
      </c>
      <c r="C2504" t="s">
        <v>58</v>
      </c>
      <c r="D2504" t="s">
        <v>1217</v>
      </c>
      <c r="E2504" t="s">
        <v>1217</v>
      </c>
      <c r="F2504" t="s">
        <v>49</v>
      </c>
      <c r="G2504" t="s">
        <v>5701</v>
      </c>
      <c r="H2504" t="s">
        <v>5702</v>
      </c>
      <c r="J2504" t="str">
        <f>HYPERLINK("https://www.youtube.com/watch?v=HeUnZ7ZXRaE","https://www.youtube.com/watch?v=HeUnZ7ZXRaE")</f>
        <v>https://www.youtube.com/watch?v=HeUnZ7ZXRaE</v>
      </c>
      <c r="O2504">
        <v>0</v>
      </c>
      <c r="P2504">
        <v>0</v>
      </c>
      <c r="Q2504">
        <v>0</v>
      </c>
      <c r="S2504">
        <v>0</v>
      </c>
      <c r="T2504">
        <v>0</v>
      </c>
      <c r="U2504">
        <v>0</v>
      </c>
      <c r="W2504" t="s">
        <v>106</v>
      </c>
      <c r="AP2504" t="s">
        <v>101</v>
      </c>
    </row>
    <row r="2505" spans="1:45" x14ac:dyDescent="0.35">
      <c r="A2505" t="s">
        <v>45</v>
      </c>
      <c r="B2505" t="s">
        <v>5692</v>
      </c>
      <c r="C2505" t="s">
        <v>47</v>
      </c>
      <c r="D2505" t="s">
        <v>3899</v>
      </c>
      <c r="E2505" t="s">
        <v>3899</v>
      </c>
      <c r="F2505" t="s">
        <v>49</v>
      </c>
      <c r="G2505" t="s">
        <v>5703</v>
      </c>
      <c r="H2505" t="s">
        <v>5704</v>
      </c>
      <c r="J2505" t="str">
        <f>HYPERLINK("https://www.facebook.com/454965103328545/posts/766283632196689?comment_id=758748785832485&amp;reply_comment_id=312491048471007","https://www.facebook.com/454965103328545/posts/766283632196689?comment_id=758748785832485&amp;reply_comment_id=312491048471007")</f>
        <v>https://www.facebook.com/454965103328545/posts/766283632196689?comment_id=758748785832485&amp;reply_comment_id=312491048471007</v>
      </c>
      <c r="O2505">
        <v>0</v>
      </c>
      <c r="P2505">
        <v>0</v>
      </c>
      <c r="Q2505">
        <v>0</v>
      </c>
      <c r="S2505">
        <v>0</v>
      </c>
      <c r="T2505">
        <v>0</v>
      </c>
      <c r="U2505">
        <v>0</v>
      </c>
      <c r="W2505" t="s">
        <v>62</v>
      </c>
    </row>
    <row r="2506" spans="1:45" x14ac:dyDescent="0.35">
      <c r="A2506" t="s">
        <v>45</v>
      </c>
      <c r="B2506" t="s">
        <v>5692</v>
      </c>
      <c r="C2506" t="s">
        <v>47</v>
      </c>
      <c r="D2506" t="s">
        <v>3899</v>
      </c>
      <c r="E2506" t="s">
        <v>3899</v>
      </c>
      <c r="F2506" t="s">
        <v>49</v>
      </c>
      <c r="G2506" t="s">
        <v>5705</v>
      </c>
      <c r="H2506" t="s">
        <v>5706</v>
      </c>
      <c r="J2506" t="str">
        <f>HYPERLINK("https://www.facebook.com/454965103328545/posts/768116778680041?comment_id=413672751076666&amp;reply_comment_id=380241948282491","https://www.facebook.com/454965103328545/posts/768116778680041?comment_id=413672751076666&amp;reply_comment_id=380241948282491")</f>
        <v>https://www.facebook.com/454965103328545/posts/768116778680041?comment_id=413672751076666&amp;reply_comment_id=380241948282491</v>
      </c>
      <c r="O2506">
        <v>0</v>
      </c>
      <c r="P2506">
        <v>0</v>
      </c>
      <c r="Q2506">
        <v>0</v>
      </c>
      <c r="S2506">
        <v>0</v>
      </c>
      <c r="T2506">
        <v>0</v>
      </c>
      <c r="U2506">
        <v>0</v>
      </c>
      <c r="W2506" t="s">
        <v>62</v>
      </c>
      <c r="AP2506" t="s">
        <v>101</v>
      </c>
    </row>
    <row r="2507" spans="1:45" x14ac:dyDescent="0.35">
      <c r="A2507" t="s">
        <v>45</v>
      </c>
      <c r="B2507" t="s">
        <v>5692</v>
      </c>
      <c r="C2507" t="s">
        <v>58</v>
      </c>
      <c r="D2507" t="s">
        <v>2829</v>
      </c>
      <c r="E2507" t="s">
        <v>2829</v>
      </c>
      <c r="F2507" t="s">
        <v>49</v>
      </c>
      <c r="G2507" t="s">
        <v>5707</v>
      </c>
      <c r="H2507" t="s">
        <v>5708</v>
      </c>
      <c r="J2507" t="str">
        <f>HYPERLINK("https://www.youtube.com/watch?v=U0GVEKkfKE0","https://www.youtube.com/watch?v=U0GVEKkfKE0")</f>
        <v>https://www.youtube.com/watch?v=U0GVEKkfKE0</v>
      </c>
      <c r="O2507">
        <v>0</v>
      </c>
      <c r="P2507">
        <v>0</v>
      </c>
      <c r="Q2507">
        <v>0</v>
      </c>
      <c r="S2507">
        <v>0</v>
      </c>
      <c r="T2507">
        <v>0</v>
      </c>
      <c r="U2507">
        <v>0</v>
      </c>
      <c r="W2507" t="s">
        <v>106</v>
      </c>
      <c r="AP2507" t="s">
        <v>101</v>
      </c>
    </row>
    <row r="2508" spans="1:45" x14ac:dyDescent="0.35">
      <c r="A2508" t="s">
        <v>45</v>
      </c>
      <c r="B2508" t="s">
        <v>5692</v>
      </c>
      <c r="C2508" t="s">
        <v>63</v>
      </c>
      <c r="D2508" t="s">
        <v>186</v>
      </c>
      <c r="E2508" t="s">
        <v>186</v>
      </c>
      <c r="F2508" t="s">
        <v>49</v>
      </c>
      <c r="G2508" t="s">
        <v>5709</v>
      </c>
      <c r="H2508" t="s">
        <v>5710</v>
      </c>
      <c r="J2508" t="str">
        <f>HYPERLINK("https://www.instagram.com/p/C3XdOqRvYPJ/","https://www.instagram.com/p/C3XdOqRvYPJ/")</f>
        <v>https://www.instagram.com/p/C3XdOqRvYPJ/</v>
      </c>
      <c r="O2508">
        <v>0</v>
      </c>
      <c r="P2508">
        <v>0</v>
      </c>
      <c r="Q2508">
        <v>0</v>
      </c>
      <c r="S2508">
        <v>2</v>
      </c>
      <c r="T2508">
        <v>52</v>
      </c>
      <c r="U2508">
        <v>0</v>
      </c>
      <c r="W2508" t="s">
        <v>106</v>
      </c>
    </row>
    <row r="2509" spans="1:45" x14ac:dyDescent="0.35">
      <c r="A2509" t="s">
        <v>45</v>
      </c>
      <c r="B2509" t="s">
        <v>5692</v>
      </c>
      <c r="C2509" t="s">
        <v>139</v>
      </c>
      <c r="D2509" t="s">
        <v>190</v>
      </c>
      <c r="E2509" t="s">
        <v>45</v>
      </c>
      <c r="F2509" t="s">
        <v>49</v>
      </c>
      <c r="G2509" t="s">
        <v>5711</v>
      </c>
      <c r="H2509" t="s">
        <v>5712</v>
      </c>
      <c r="J2509" t="str">
        <f>HYPERLINK("https://twitter.com/FinoPaymntsBank/status/1758091284471033977","https://twitter.com/FinoPaymntsBank/status/1758091284471033977")</f>
        <v>https://twitter.com/FinoPaymntsBank/status/1758091284471033977</v>
      </c>
      <c r="K2509" t="s">
        <v>145</v>
      </c>
      <c r="O2509">
        <v>0</v>
      </c>
      <c r="P2509">
        <v>0</v>
      </c>
      <c r="Q2509">
        <v>8381</v>
      </c>
      <c r="R2509" t="s">
        <v>193</v>
      </c>
      <c r="S2509">
        <v>0</v>
      </c>
      <c r="T2509">
        <v>0</v>
      </c>
      <c r="U2509">
        <v>0</v>
      </c>
      <c r="W2509" t="s">
        <v>146</v>
      </c>
    </row>
    <row r="2510" spans="1:45" x14ac:dyDescent="0.35">
      <c r="A2510" t="s">
        <v>45</v>
      </c>
      <c r="B2510" t="s">
        <v>5692</v>
      </c>
      <c r="C2510" t="s">
        <v>58</v>
      </c>
      <c r="D2510" t="s">
        <v>3340</v>
      </c>
      <c r="E2510" t="s">
        <v>3340</v>
      </c>
      <c r="F2510" t="s">
        <v>49</v>
      </c>
      <c r="G2510" t="s">
        <v>5713</v>
      </c>
      <c r="H2510" t="s">
        <v>5714</v>
      </c>
      <c r="J2510" t="str">
        <f>HYPERLINK("https://www.youtube.com/watch?v=YU8oul7cfcY","https://www.youtube.com/watch?v=YU8oul7cfcY")</f>
        <v>https://www.youtube.com/watch?v=YU8oul7cfcY</v>
      </c>
      <c r="O2510">
        <v>0</v>
      </c>
      <c r="P2510">
        <v>0</v>
      </c>
      <c r="Q2510">
        <v>0</v>
      </c>
      <c r="S2510">
        <v>0</v>
      </c>
      <c r="T2510">
        <v>0</v>
      </c>
      <c r="U2510">
        <v>0</v>
      </c>
      <c r="W2510" t="s">
        <v>106</v>
      </c>
    </row>
    <row r="2511" spans="1:45" x14ac:dyDescent="0.35">
      <c r="A2511" t="s">
        <v>45</v>
      </c>
      <c r="B2511" t="s">
        <v>5692</v>
      </c>
      <c r="C2511" t="s">
        <v>58</v>
      </c>
      <c r="D2511" t="s">
        <v>1240</v>
      </c>
      <c r="E2511" t="s">
        <v>1240</v>
      </c>
      <c r="F2511" t="s">
        <v>142</v>
      </c>
      <c r="G2511" t="s">
        <v>5683</v>
      </c>
      <c r="H2511" t="s">
        <v>5715</v>
      </c>
      <c r="J2511" t="str">
        <f>HYPERLINK("https://www.youtube.com/watch?v=5n5_qZGvWKI","https://www.youtube.com/watch?v=5n5_qZGvWKI")</f>
        <v>https://www.youtube.com/watch?v=5n5_qZGvWKI</v>
      </c>
      <c r="O2511">
        <v>0</v>
      </c>
      <c r="P2511">
        <v>0</v>
      </c>
      <c r="Q2511">
        <v>0</v>
      </c>
      <c r="S2511">
        <v>0</v>
      </c>
      <c r="T2511">
        <v>0</v>
      </c>
      <c r="U2511">
        <v>0</v>
      </c>
      <c r="W2511" t="s">
        <v>106</v>
      </c>
      <c r="AP2511" t="s">
        <v>147</v>
      </c>
    </row>
    <row r="2512" spans="1:45" x14ac:dyDescent="0.35">
      <c r="A2512" t="s">
        <v>45</v>
      </c>
      <c r="B2512" t="s">
        <v>5692</v>
      </c>
      <c r="C2512" t="s">
        <v>47</v>
      </c>
      <c r="D2512" t="s">
        <v>5716</v>
      </c>
      <c r="E2512" t="s">
        <v>5716</v>
      </c>
      <c r="F2512" t="s">
        <v>49</v>
      </c>
      <c r="G2512" t="s">
        <v>5717</v>
      </c>
      <c r="H2512" t="s">
        <v>5718</v>
      </c>
      <c r="J2512" t="str">
        <f>HYPERLINK("https://www.facebook.com/357267201017935/inbox/7043542442390344/","https://www.facebook.com/357267201017935/inbox/7043542442390344/")</f>
        <v>https://www.facebook.com/357267201017935/inbox/7043542442390344/</v>
      </c>
      <c r="O2512">
        <v>0</v>
      </c>
      <c r="P2512">
        <v>0</v>
      </c>
      <c r="Q2512">
        <v>0</v>
      </c>
      <c r="S2512">
        <v>0</v>
      </c>
      <c r="T2512">
        <v>0</v>
      </c>
      <c r="U2512">
        <v>0</v>
      </c>
      <c r="W2512" t="s">
        <v>52</v>
      </c>
      <c r="AS2512" t="s">
        <v>375</v>
      </c>
    </row>
    <row r="2513" spans="1:45" x14ac:dyDescent="0.35">
      <c r="A2513" t="s">
        <v>45</v>
      </c>
      <c r="B2513" t="s">
        <v>5692</v>
      </c>
      <c r="C2513" t="s">
        <v>47</v>
      </c>
      <c r="D2513" t="s">
        <v>5716</v>
      </c>
      <c r="E2513" t="s">
        <v>5716</v>
      </c>
      <c r="F2513" t="s">
        <v>49</v>
      </c>
      <c r="G2513" t="s">
        <v>2273</v>
      </c>
      <c r="H2513" t="s">
        <v>5719</v>
      </c>
      <c r="J2513" t="str">
        <f>HYPERLINK("https://www.facebook.com/357267201017935/inbox/7043542442390344/","https://www.facebook.com/357267201017935/inbox/7043542442390344/")</f>
        <v>https://www.facebook.com/357267201017935/inbox/7043542442390344/</v>
      </c>
      <c r="O2513">
        <v>0</v>
      </c>
      <c r="P2513">
        <v>0</v>
      </c>
      <c r="Q2513">
        <v>0</v>
      </c>
      <c r="S2513">
        <v>0</v>
      </c>
      <c r="T2513">
        <v>0</v>
      </c>
      <c r="U2513">
        <v>0</v>
      </c>
      <c r="W2513" t="s">
        <v>52</v>
      </c>
    </row>
    <row r="2514" spans="1:45" x14ac:dyDescent="0.35">
      <c r="A2514" t="s">
        <v>45</v>
      </c>
      <c r="B2514" t="s">
        <v>5692</v>
      </c>
      <c r="C2514" t="s">
        <v>58</v>
      </c>
      <c r="D2514" t="s">
        <v>1706</v>
      </c>
      <c r="E2514" t="s">
        <v>1706</v>
      </c>
      <c r="F2514" t="s">
        <v>49</v>
      </c>
      <c r="G2514" t="s">
        <v>5720</v>
      </c>
      <c r="H2514" t="s">
        <v>5721</v>
      </c>
      <c r="J2514" t="str">
        <f>HYPERLINK("https://www.youtube.com/watch?v=nGzXBoDHIk4","https://www.youtube.com/watch?v=nGzXBoDHIk4")</f>
        <v>https://www.youtube.com/watch?v=nGzXBoDHIk4</v>
      </c>
      <c r="O2514">
        <v>0</v>
      </c>
      <c r="P2514">
        <v>0</v>
      </c>
      <c r="Q2514">
        <v>0</v>
      </c>
      <c r="S2514">
        <v>0</v>
      </c>
      <c r="T2514">
        <v>0</v>
      </c>
      <c r="U2514">
        <v>0</v>
      </c>
      <c r="W2514" t="s">
        <v>106</v>
      </c>
    </row>
    <row r="2515" spans="1:45" x14ac:dyDescent="0.35">
      <c r="A2515" t="s">
        <v>45</v>
      </c>
      <c r="B2515" t="s">
        <v>5692</v>
      </c>
      <c r="C2515" t="s">
        <v>139</v>
      </c>
      <c r="D2515" t="s">
        <v>4604</v>
      </c>
      <c r="E2515" t="s">
        <v>4605</v>
      </c>
      <c r="F2515" t="s">
        <v>142</v>
      </c>
      <c r="G2515" t="s">
        <v>5722</v>
      </c>
      <c r="H2515" t="s">
        <v>5723</v>
      </c>
      <c r="J2515" t="str">
        <f>HYPERLINK("https://twitter.com/ramsingh251/status/1758068077776998869","https://twitter.com/ramsingh251/status/1758068077776998869")</f>
        <v>https://twitter.com/ramsingh251/status/1758068077776998869</v>
      </c>
      <c r="K2515" t="s">
        <v>145</v>
      </c>
      <c r="O2515">
        <v>0</v>
      </c>
      <c r="P2515">
        <v>0</v>
      </c>
      <c r="Q2515">
        <v>54</v>
      </c>
      <c r="R2515" t="s">
        <v>4608</v>
      </c>
      <c r="S2515">
        <v>0</v>
      </c>
      <c r="T2515">
        <v>0</v>
      </c>
      <c r="U2515">
        <v>0</v>
      </c>
      <c r="W2515" t="s">
        <v>146</v>
      </c>
    </row>
    <row r="2516" spans="1:45" x14ac:dyDescent="0.35">
      <c r="A2516" t="s">
        <v>45</v>
      </c>
      <c r="B2516" t="s">
        <v>5692</v>
      </c>
      <c r="C2516" t="s">
        <v>47</v>
      </c>
      <c r="D2516" t="s">
        <v>5121</v>
      </c>
      <c r="E2516" t="s">
        <v>5121</v>
      </c>
      <c r="F2516" t="s">
        <v>49</v>
      </c>
      <c r="G2516" t="s">
        <v>5724</v>
      </c>
      <c r="H2516" t="s">
        <v>5725</v>
      </c>
      <c r="J2516" t="str">
        <f>HYPERLINK("https://www.facebook.com/357267201017935/inbox/7043403679070887/","https://www.facebook.com/357267201017935/inbox/7043403679070887/")</f>
        <v>https://www.facebook.com/357267201017935/inbox/7043403679070887/</v>
      </c>
      <c r="O2516">
        <v>0</v>
      </c>
      <c r="P2516">
        <v>0</v>
      </c>
      <c r="Q2516">
        <v>0</v>
      </c>
      <c r="S2516">
        <v>0</v>
      </c>
      <c r="T2516">
        <v>0</v>
      </c>
      <c r="U2516">
        <v>0</v>
      </c>
      <c r="W2516" t="s">
        <v>52</v>
      </c>
      <c r="AS2516" t="s">
        <v>375</v>
      </c>
    </row>
    <row r="2517" spans="1:45" x14ac:dyDescent="0.35">
      <c r="A2517" t="s">
        <v>45</v>
      </c>
      <c r="B2517" t="s">
        <v>5692</v>
      </c>
      <c r="C2517" t="s">
        <v>47</v>
      </c>
      <c r="D2517" t="s">
        <v>5121</v>
      </c>
      <c r="E2517" t="s">
        <v>5121</v>
      </c>
      <c r="F2517" t="s">
        <v>142</v>
      </c>
      <c r="G2517" t="s">
        <v>5726</v>
      </c>
      <c r="H2517" t="s">
        <v>5727</v>
      </c>
      <c r="J2517" t="str">
        <f>HYPERLINK("https://www.facebook.com/357267201017935/inbox/7043403679070887/","https://www.facebook.com/357267201017935/inbox/7043403679070887/")</f>
        <v>https://www.facebook.com/357267201017935/inbox/7043403679070887/</v>
      </c>
      <c r="O2517">
        <v>0</v>
      </c>
      <c r="P2517">
        <v>0</v>
      </c>
      <c r="Q2517">
        <v>0</v>
      </c>
      <c r="S2517">
        <v>0</v>
      </c>
      <c r="T2517">
        <v>0</v>
      </c>
      <c r="U2517">
        <v>0</v>
      </c>
      <c r="W2517" t="s">
        <v>52</v>
      </c>
      <c r="AP2517" t="s">
        <v>147</v>
      </c>
    </row>
    <row r="2518" spans="1:45" x14ac:dyDescent="0.35">
      <c r="A2518" t="s">
        <v>45</v>
      </c>
      <c r="B2518" t="s">
        <v>5692</v>
      </c>
      <c r="C2518" t="s">
        <v>47</v>
      </c>
      <c r="D2518" t="s">
        <v>5121</v>
      </c>
      <c r="E2518" t="s">
        <v>5121</v>
      </c>
      <c r="F2518" t="s">
        <v>49</v>
      </c>
      <c r="G2518" t="s">
        <v>373</v>
      </c>
      <c r="H2518" t="s">
        <v>5728</v>
      </c>
      <c r="J2518" t="str">
        <f>HYPERLINK("https://www.facebook.com/357267201017935/inbox/7043403679070887/","https://www.facebook.com/357267201017935/inbox/7043403679070887/")</f>
        <v>https://www.facebook.com/357267201017935/inbox/7043403679070887/</v>
      </c>
      <c r="O2518">
        <v>0</v>
      </c>
      <c r="P2518">
        <v>0</v>
      </c>
      <c r="Q2518">
        <v>0</v>
      </c>
      <c r="S2518">
        <v>0</v>
      </c>
      <c r="T2518">
        <v>0</v>
      </c>
      <c r="U2518">
        <v>0</v>
      </c>
      <c r="W2518" t="s">
        <v>52</v>
      </c>
    </row>
    <row r="2519" spans="1:45" x14ac:dyDescent="0.35">
      <c r="A2519" t="s">
        <v>45</v>
      </c>
      <c r="B2519" t="s">
        <v>5692</v>
      </c>
      <c r="C2519" t="s">
        <v>47</v>
      </c>
      <c r="D2519" t="s">
        <v>5524</v>
      </c>
      <c r="E2519" t="s">
        <v>5524</v>
      </c>
      <c r="F2519" t="s">
        <v>76</v>
      </c>
      <c r="G2519" t="s">
        <v>5729</v>
      </c>
      <c r="H2519" t="s">
        <v>5730</v>
      </c>
      <c r="J2519" t="str">
        <f>HYPERLINK("https://www.facebook.com/454965103328545/posts/768116778680041?comment_id=742968817766691&amp;reply_comment_id=947657473604249","https://www.facebook.com/454965103328545/posts/768116778680041?comment_id=742968817766691&amp;reply_comment_id=947657473604249")</f>
        <v>https://www.facebook.com/454965103328545/posts/768116778680041?comment_id=742968817766691&amp;reply_comment_id=947657473604249</v>
      </c>
      <c r="O2519">
        <v>0</v>
      </c>
      <c r="P2519">
        <v>0</v>
      </c>
      <c r="Q2519">
        <v>0</v>
      </c>
      <c r="S2519">
        <v>0</v>
      </c>
      <c r="T2519">
        <v>0</v>
      </c>
      <c r="U2519">
        <v>0</v>
      </c>
      <c r="W2519" t="s">
        <v>62</v>
      </c>
      <c r="AP2519" t="s">
        <v>101</v>
      </c>
      <c r="AS2519" t="s">
        <v>375</v>
      </c>
    </row>
    <row r="2520" spans="1:45" x14ac:dyDescent="0.35">
      <c r="A2520" t="s">
        <v>45</v>
      </c>
      <c r="B2520" t="s">
        <v>5692</v>
      </c>
      <c r="C2520" t="s">
        <v>58</v>
      </c>
      <c r="D2520" t="s">
        <v>5731</v>
      </c>
      <c r="E2520" t="s">
        <v>5731</v>
      </c>
      <c r="F2520" t="s">
        <v>49</v>
      </c>
      <c r="G2520" t="s">
        <v>5732</v>
      </c>
      <c r="H2520" t="s">
        <v>5733</v>
      </c>
      <c r="J2520" t="str">
        <f>HYPERLINK("https://www.youtube.com/watch?v=kbdGnx74Oy8&amp;lc=Ugx86LVjIVtPf0vZjk54AaABAg","https://www.youtube.com/watch?v=kbdGnx74Oy8&amp;lc=Ugx86LVjIVtPf0vZjk54AaABAg")</f>
        <v>https://www.youtube.com/watch?v=kbdGnx74Oy8&amp;lc=Ugx86LVjIVtPf0vZjk54AaABAg</v>
      </c>
      <c r="O2520">
        <v>0</v>
      </c>
      <c r="P2520">
        <v>0</v>
      </c>
      <c r="Q2520">
        <v>0</v>
      </c>
      <c r="S2520">
        <v>0</v>
      </c>
      <c r="T2520">
        <v>0</v>
      </c>
      <c r="U2520">
        <v>0</v>
      </c>
      <c r="W2520" t="s">
        <v>62</v>
      </c>
      <c r="AS2520" t="s">
        <v>375</v>
      </c>
    </row>
    <row r="2521" spans="1:45" x14ac:dyDescent="0.35">
      <c r="A2521" t="s">
        <v>45</v>
      </c>
      <c r="B2521" t="s">
        <v>5692</v>
      </c>
      <c r="C2521" t="s">
        <v>47</v>
      </c>
      <c r="D2521" t="s">
        <v>5734</v>
      </c>
      <c r="E2521" t="s">
        <v>5734</v>
      </c>
      <c r="F2521" t="s">
        <v>49</v>
      </c>
      <c r="G2521" t="s">
        <v>5735</v>
      </c>
      <c r="H2521" t="s">
        <v>5736</v>
      </c>
      <c r="J2521" t="str">
        <f>HYPERLINK("https://www.facebook.com/357267201017935/inbox/7043235009087754/","https://www.facebook.com/357267201017935/inbox/7043235009087754/")</f>
        <v>https://www.facebook.com/357267201017935/inbox/7043235009087754/</v>
      </c>
      <c r="O2521">
        <v>0</v>
      </c>
      <c r="P2521">
        <v>0</v>
      </c>
      <c r="Q2521">
        <v>0</v>
      </c>
      <c r="S2521">
        <v>0</v>
      </c>
      <c r="T2521">
        <v>0</v>
      </c>
      <c r="U2521">
        <v>0</v>
      </c>
      <c r="W2521" t="s">
        <v>52</v>
      </c>
    </row>
    <row r="2522" spans="1:45" x14ac:dyDescent="0.35">
      <c r="A2522" t="s">
        <v>45</v>
      </c>
      <c r="B2522" t="s">
        <v>5692</v>
      </c>
      <c r="C2522" t="s">
        <v>47</v>
      </c>
      <c r="D2522" t="s">
        <v>45</v>
      </c>
      <c r="E2522" t="s">
        <v>45</v>
      </c>
      <c r="F2522" t="s">
        <v>49</v>
      </c>
      <c r="G2522" t="s">
        <v>3989</v>
      </c>
      <c r="H2522" t="s">
        <v>5737</v>
      </c>
      <c r="J2522" t="str">
        <f>HYPERLINK("https://www.facebook.com/454965103328545/posts/768116778680041?comment_id=1983198392074787&amp;reply_comment_id=913088137027715","https://www.facebook.com/454965103328545/posts/768116778680041?comment_id=1983198392074787&amp;reply_comment_id=913088137027715")</f>
        <v>https://www.facebook.com/454965103328545/posts/768116778680041?comment_id=1983198392074787&amp;reply_comment_id=913088137027715</v>
      </c>
      <c r="O2522">
        <v>0</v>
      </c>
      <c r="P2522">
        <v>0</v>
      </c>
      <c r="Q2522">
        <v>0</v>
      </c>
      <c r="S2522">
        <v>0</v>
      </c>
      <c r="T2522">
        <v>0</v>
      </c>
      <c r="U2522">
        <v>0</v>
      </c>
      <c r="W2522" t="s">
        <v>62</v>
      </c>
    </row>
    <row r="2523" spans="1:45" x14ac:dyDescent="0.35">
      <c r="A2523" t="s">
        <v>45</v>
      </c>
      <c r="B2523" t="s">
        <v>5692</v>
      </c>
      <c r="C2523" t="s">
        <v>47</v>
      </c>
      <c r="D2523" t="s">
        <v>45</v>
      </c>
      <c r="E2523" t="s">
        <v>45</v>
      </c>
      <c r="F2523" t="s">
        <v>49</v>
      </c>
      <c r="G2523" t="s">
        <v>5738</v>
      </c>
      <c r="H2523" t="s">
        <v>5739</v>
      </c>
      <c r="J2523" t="str">
        <f>HYPERLINK("https://www.facebook.com/454965103328545/posts/681847570640296?comment_id=901031334892743&amp;reply_comment_id=1467989480423292","https://www.facebook.com/454965103328545/posts/681847570640296?comment_id=901031334892743&amp;reply_comment_id=1467989480423292")</f>
        <v>https://www.facebook.com/454965103328545/posts/681847570640296?comment_id=901031334892743&amp;reply_comment_id=1467989480423292</v>
      </c>
      <c r="O2523">
        <v>0</v>
      </c>
      <c r="P2523">
        <v>0</v>
      </c>
      <c r="Q2523">
        <v>0</v>
      </c>
      <c r="S2523">
        <v>0</v>
      </c>
      <c r="T2523">
        <v>0</v>
      </c>
      <c r="U2523">
        <v>0</v>
      </c>
      <c r="W2523" t="s">
        <v>62</v>
      </c>
    </row>
    <row r="2524" spans="1:45" x14ac:dyDescent="0.35">
      <c r="A2524" t="s">
        <v>45</v>
      </c>
      <c r="B2524" t="s">
        <v>5692</v>
      </c>
      <c r="C2524" t="s">
        <v>58</v>
      </c>
      <c r="D2524" t="s">
        <v>277</v>
      </c>
      <c r="E2524" t="s">
        <v>277</v>
      </c>
      <c r="F2524" t="s">
        <v>49</v>
      </c>
      <c r="G2524" t="s">
        <v>5740</v>
      </c>
      <c r="H2524" t="s">
        <v>5741</v>
      </c>
      <c r="J2524" t="str">
        <f>HYPERLINK("https://www.youtube.com/watch?v=2q8OvHDIQzc&amp;lc=UgywmdjF79ZwJm_CBD14AaABAg.A-ddfJsc5O6A-paal7xyXn","https://www.youtube.com/watch?v=2q8OvHDIQzc&amp;lc=UgywmdjF79ZwJm_CBD14AaABAg.A-ddfJsc5O6A-paal7xyXn")</f>
        <v>https://www.youtube.com/watch?v=2q8OvHDIQzc&amp;lc=UgywmdjF79ZwJm_CBD14AaABAg.A-ddfJsc5O6A-paal7xyXn</v>
      </c>
      <c r="O2524">
        <v>0</v>
      </c>
      <c r="P2524">
        <v>0</v>
      </c>
      <c r="Q2524">
        <v>0</v>
      </c>
      <c r="S2524">
        <v>0</v>
      </c>
      <c r="T2524">
        <v>0</v>
      </c>
      <c r="U2524">
        <v>0</v>
      </c>
      <c r="W2524" t="s">
        <v>62</v>
      </c>
    </row>
    <row r="2525" spans="1:45" x14ac:dyDescent="0.35">
      <c r="A2525" t="s">
        <v>45</v>
      </c>
      <c r="B2525" t="s">
        <v>5692</v>
      </c>
      <c r="C2525" t="s">
        <v>47</v>
      </c>
      <c r="D2525" t="s">
        <v>5742</v>
      </c>
      <c r="E2525" t="s">
        <v>5742</v>
      </c>
      <c r="F2525" t="s">
        <v>49</v>
      </c>
      <c r="G2525" t="s">
        <v>5743</v>
      </c>
      <c r="H2525" t="s">
        <v>5744</v>
      </c>
      <c r="J2525" t="str">
        <f>HYPERLINK("https://www.facebook.com/357267201017935/inbox/7032249133519675/","https://www.facebook.com/357267201017935/inbox/7032249133519675/")</f>
        <v>https://www.facebook.com/357267201017935/inbox/7032249133519675/</v>
      </c>
      <c r="O2525">
        <v>0</v>
      </c>
      <c r="P2525">
        <v>0</v>
      </c>
      <c r="Q2525">
        <v>0</v>
      </c>
      <c r="S2525">
        <v>0</v>
      </c>
      <c r="T2525">
        <v>0</v>
      </c>
      <c r="U2525">
        <v>0</v>
      </c>
      <c r="W2525" t="s">
        <v>52</v>
      </c>
    </row>
    <row r="2526" spans="1:45" x14ac:dyDescent="0.35">
      <c r="A2526" t="s">
        <v>45</v>
      </c>
      <c r="B2526" t="s">
        <v>5692</v>
      </c>
      <c r="C2526" t="s">
        <v>47</v>
      </c>
      <c r="D2526" t="s">
        <v>5742</v>
      </c>
      <c r="E2526" t="s">
        <v>5742</v>
      </c>
      <c r="F2526" t="s">
        <v>49</v>
      </c>
      <c r="G2526" t="s">
        <v>5745</v>
      </c>
      <c r="H2526" t="s">
        <v>5746</v>
      </c>
      <c r="J2526" t="str">
        <f>HYPERLINK("https://www.facebook.com/357267201017935/inbox/7032249133519675/","https://www.facebook.com/357267201017935/inbox/7032249133519675/")</f>
        <v>https://www.facebook.com/357267201017935/inbox/7032249133519675/</v>
      </c>
      <c r="O2526">
        <v>0</v>
      </c>
      <c r="P2526">
        <v>0</v>
      </c>
      <c r="Q2526">
        <v>0</v>
      </c>
      <c r="S2526">
        <v>0</v>
      </c>
      <c r="T2526">
        <v>0</v>
      </c>
      <c r="U2526">
        <v>0</v>
      </c>
      <c r="W2526" t="s">
        <v>52</v>
      </c>
      <c r="AS2526" t="s">
        <v>375</v>
      </c>
    </row>
    <row r="2527" spans="1:45" x14ac:dyDescent="0.35">
      <c r="A2527" t="s">
        <v>45</v>
      </c>
      <c r="B2527" t="s">
        <v>5692</v>
      </c>
      <c r="C2527" t="s">
        <v>139</v>
      </c>
      <c r="D2527" t="s">
        <v>190</v>
      </c>
      <c r="E2527" t="s">
        <v>45</v>
      </c>
      <c r="F2527" t="s">
        <v>49</v>
      </c>
      <c r="G2527" t="s">
        <v>5747</v>
      </c>
      <c r="H2527" t="s">
        <v>5748</v>
      </c>
      <c r="J2527" t="str">
        <f>HYPERLINK("https://twitter.com/FinoPaymntsBank/status/1758039151151387022","https://twitter.com/FinoPaymntsBank/status/1758039151151387022")</f>
        <v>https://twitter.com/FinoPaymntsBank/status/1758039151151387022</v>
      </c>
      <c r="K2527" t="s">
        <v>145</v>
      </c>
      <c r="O2527">
        <v>0</v>
      </c>
      <c r="P2527">
        <v>0</v>
      </c>
      <c r="Q2527">
        <v>8381</v>
      </c>
      <c r="R2527" t="s">
        <v>193</v>
      </c>
      <c r="S2527">
        <v>0</v>
      </c>
      <c r="T2527">
        <v>0</v>
      </c>
      <c r="U2527">
        <v>0</v>
      </c>
      <c r="W2527" t="s">
        <v>146</v>
      </c>
    </row>
    <row r="2528" spans="1:45" x14ac:dyDescent="0.35">
      <c r="A2528" t="s">
        <v>45</v>
      </c>
      <c r="B2528" t="s">
        <v>5692</v>
      </c>
      <c r="C2528" t="s">
        <v>47</v>
      </c>
      <c r="D2528" t="s">
        <v>45</v>
      </c>
      <c r="E2528" t="s">
        <v>45</v>
      </c>
      <c r="F2528" t="s">
        <v>49</v>
      </c>
      <c r="G2528" t="s">
        <v>5749</v>
      </c>
      <c r="H2528" t="s">
        <v>5750</v>
      </c>
      <c r="J2528" t="str">
        <f>HYPERLINK("https://www.facebook.com/357267201017935/posts/3069910089753619/?comment_id=1333157918079238&amp;reply_comment_id=1313579022621410","https://www.facebook.com/357267201017935/posts/3069910089753619/?comment_id=1333157918079238&amp;reply_comment_id=1313579022621410")</f>
        <v>https://www.facebook.com/357267201017935/posts/3069910089753619/?comment_id=1333157918079238&amp;reply_comment_id=1313579022621410</v>
      </c>
      <c r="O2528">
        <v>0</v>
      </c>
      <c r="P2528">
        <v>0</v>
      </c>
      <c r="Q2528">
        <v>0</v>
      </c>
      <c r="S2528">
        <v>0</v>
      </c>
      <c r="T2528">
        <v>0</v>
      </c>
      <c r="U2528">
        <v>0</v>
      </c>
      <c r="W2528" t="s">
        <v>62</v>
      </c>
    </row>
    <row r="2529" spans="1:45" x14ac:dyDescent="0.35">
      <c r="A2529" t="s">
        <v>45</v>
      </c>
      <c r="B2529" t="s">
        <v>5692</v>
      </c>
      <c r="C2529" t="s">
        <v>47</v>
      </c>
      <c r="D2529" t="s">
        <v>1954</v>
      </c>
      <c r="E2529" t="s">
        <v>1954</v>
      </c>
      <c r="F2529" t="s">
        <v>49</v>
      </c>
      <c r="G2529" t="s">
        <v>5751</v>
      </c>
      <c r="H2529" t="s">
        <v>5752</v>
      </c>
      <c r="J2529" t="str">
        <f>HYPERLINK("https://www.facebook.com/454965103328545/posts/768116778680041?comment_id=747024650722006&amp;reply_comment_id=691841086496285","https://www.facebook.com/454965103328545/posts/768116778680041?comment_id=747024650722006&amp;reply_comment_id=691841086496285")</f>
        <v>https://www.facebook.com/454965103328545/posts/768116778680041?comment_id=747024650722006&amp;reply_comment_id=691841086496285</v>
      </c>
      <c r="O2529">
        <v>0</v>
      </c>
      <c r="P2529">
        <v>0</v>
      </c>
      <c r="Q2529">
        <v>0</v>
      </c>
      <c r="S2529">
        <v>0</v>
      </c>
      <c r="T2529">
        <v>0</v>
      </c>
      <c r="U2529">
        <v>0</v>
      </c>
      <c r="W2529" t="s">
        <v>62</v>
      </c>
      <c r="AS2529" t="s">
        <v>375</v>
      </c>
    </row>
    <row r="2530" spans="1:45" x14ac:dyDescent="0.35">
      <c r="A2530" t="s">
        <v>45</v>
      </c>
      <c r="B2530" t="s">
        <v>5692</v>
      </c>
      <c r="C2530" t="s">
        <v>47</v>
      </c>
      <c r="D2530" t="s">
        <v>45</v>
      </c>
      <c r="E2530" t="s">
        <v>45</v>
      </c>
      <c r="F2530" t="s">
        <v>49</v>
      </c>
      <c r="G2530" t="s">
        <v>5753</v>
      </c>
      <c r="H2530" t="s">
        <v>5754</v>
      </c>
      <c r="J2530" t="str">
        <f>HYPERLINK("https://www.facebook.com/357267201017935/inbox/7029597550451500/","https://www.facebook.com/357267201017935/inbox/7029597550451500/")</f>
        <v>https://www.facebook.com/357267201017935/inbox/7029597550451500/</v>
      </c>
      <c r="O2530">
        <v>0</v>
      </c>
      <c r="P2530">
        <v>0</v>
      </c>
      <c r="Q2530">
        <v>0</v>
      </c>
      <c r="S2530">
        <v>0</v>
      </c>
      <c r="T2530">
        <v>0</v>
      </c>
      <c r="U2530">
        <v>0</v>
      </c>
      <c r="W2530" t="s">
        <v>52</v>
      </c>
    </row>
    <row r="2531" spans="1:45" x14ac:dyDescent="0.35">
      <c r="A2531" t="s">
        <v>45</v>
      </c>
      <c r="B2531" t="s">
        <v>5692</v>
      </c>
      <c r="C2531" t="s">
        <v>139</v>
      </c>
      <c r="D2531" t="s">
        <v>2806</v>
      </c>
      <c r="E2531" t="s">
        <v>2807</v>
      </c>
      <c r="F2531" t="s">
        <v>49</v>
      </c>
      <c r="G2531" t="s">
        <v>2808</v>
      </c>
      <c r="H2531" t="s">
        <v>5755</v>
      </c>
      <c r="J2531" t="str">
        <f>HYPERLINK("https://twitter.com/AjjuXda/status/1758038012875645219","https://twitter.com/AjjuXda/status/1758038012875645219")</f>
        <v>https://twitter.com/AjjuXda/status/1758038012875645219</v>
      </c>
      <c r="O2531">
        <v>0</v>
      </c>
      <c r="P2531">
        <v>0</v>
      </c>
      <c r="Q2531">
        <v>4</v>
      </c>
      <c r="S2531">
        <v>0</v>
      </c>
      <c r="T2531">
        <v>0</v>
      </c>
      <c r="U2531">
        <v>0</v>
      </c>
      <c r="W2531" t="s">
        <v>146</v>
      </c>
      <c r="Y2531" t="s">
        <v>5756</v>
      </c>
      <c r="Z2531" t="s">
        <v>613</v>
      </c>
      <c r="AA2531" t="s">
        <v>614</v>
      </c>
    </row>
    <row r="2532" spans="1:45" x14ac:dyDescent="0.35">
      <c r="A2532" t="s">
        <v>45</v>
      </c>
      <c r="B2532" t="s">
        <v>5692</v>
      </c>
      <c r="C2532" t="s">
        <v>139</v>
      </c>
      <c r="D2532" t="s">
        <v>2806</v>
      </c>
      <c r="E2532" t="s">
        <v>2807</v>
      </c>
      <c r="F2532" t="s">
        <v>49</v>
      </c>
      <c r="G2532" t="s">
        <v>2808</v>
      </c>
      <c r="H2532" t="s">
        <v>5757</v>
      </c>
      <c r="J2532" t="str">
        <f>HYPERLINK("https://twitter.com/AjjuXda/status/1758037924698890612","https://twitter.com/AjjuXda/status/1758037924698890612")</f>
        <v>https://twitter.com/AjjuXda/status/1758037924698890612</v>
      </c>
      <c r="O2532">
        <v>0</v>
      </c>
      <c r="P2532">
        <v>0</v>
      </c>
      <c r="Q2532">
        <v>4</v>
      </c>
      <c r="S2532">
        <v>0</v>
      </c>
      <c r="T2532">
        <v>0</v>
      </c>
      <c r="U2532">
        <v>0</v>
      </c>
      <c r="W2532" t="s">
        <v>146</v>
      </c>
    </row>
    <row r="2533" spans="1:45" x14ac:dyDescent="0.35">
      <c r="A2533" t="s">
        <v>45</v>
      </c>
      <c r="B2533" t="s">
        <v>5692</v>
      </c>
      <c r="C2533" t="s">
        <v>47</v>
      </c>
      <c r="D2533" t="s">
        <v>45</v>
      </c>
      <c r="E2533" t="s">
        <v>45</v>
      </c>
      <c r="F2533" t="s">
        <v>49</v>
      </c>
      <c r="G2533" t="s">
        <v>5758</v>
      </c>
      <c r="H2533" t="s">
        <v>5759</v>
      </c>
      <c r="J2533" t="str">
        <f>HYPERLINK("https://www.facebook.com/454965103328545/videos/3697954183759550?comment_id=697488382542596&amp;reply_comment_id=3399979223625536","https://www.facebook.com/454965103328545/videos/3697954183759550?comment_id=697488382542596&amp;reply_comment_id=3399979223625536")</f>
        <v>https://www.facebook.com/454965103328545/videos/3697954183759550?comment_id=697488382542596&amp;reply_comment_id=3399979223625536</v>
      </c>
      <c r="O2533">
        <v>0</v>
      </c>
      <c r="P2533">
        <v>0</v>
      </c>
      <c r="Q2533">
        <v>0</v>
      </c>
      <c r="S2533">
        <v>0</v>
      </c>
      <c r="T2533">
        <v>0</v>
      </c>
      <c r="U2533">
        <v>0</v>
      </c>
      <c r="W2533" t="s">
        <v>62</v>
      </c>
    </row>
    <row r="2534" spans="1:45" x14ac:dyDescent="0.35">
      <c r="A2534" t="s">
        <v>45</v>
      </c>
      <c r="B2534" t="s">
        <v>5692</v>
      </c>
      <c r="C2534" t="s">
        <v>47</v>
      </c>
      <c r="D2534" t="s">
        <v>45</v>
      </c>
      <c r="E2534" t="s">
        <v>45</v>
      </c>
      <c r="F2534" t="s">
        <v>49</v>
      </c>
      <c r="G2534" t="s">
        <v>5760</v>
      </c>
      <c r="H2534" t="s">
        <v>5761</v>
      </c>
      <c r="J2534" t="str">
        <f>HYPERLINK("https://www.facebook.com/357267201017935/inbox/7032249133519675/","https://www.facebook.com/357267201017935/inbox/7032249133519675/")</f>
        <v>https://www.facebook.com/357267201017935/inbox/7032249133519675/</v>
      </c>
      <c r="O2534">
        <v>0</v>
      </c>
      <c r="P2534">
        <v>0</v>
      </c>
      <c r="Q2534">
        <v>0</v>
      </c>
      <c r="S2534">
        <v>0</v>
      </c>
      <c r="T2534">
        <v>0</v>
      </c>
      <c r="U2534">
        <v>0</v>
      </c>
      <c r="W2534" t="s">
        <v>52</v>
      </c>
    </row>
    <row r="2535" spans="1:45" x14ac:dyDescent="0.35">
      <c r="A2535" t="s">
        <v>45</v>
      </c>
      <c r="B2535" t="s">
        <v>5692</v>
      </c>
      <c r="C2535" t="s">
        <v>139</v>
      </c>
      <c r="D2535" t="s">
        <v>190</v>
      </c>
      <c r="E2535" t="s">
        <v>45</v>
      </c>
      <c r="F2535" t="s">
        <v>49</v>
      </c>
      <c r="G2535" t="s">
        <v>5762</v>
      </c>
      <c r="H2535" t="s">
        <v>5763</v>
      </c>
      <c r="J2535" t="str">
        <f>HYPERLINK("https://twitter.com/FinoPaymntsBank/status/1758037036991467723","https://twitter.com/FinoPaymntsBank/status/1758037036991467723")</f>
        <v>https://twitter.com/FinoPaymntsBank/status/1758037036991467723</v>
      </c>
      <c r="K2535" t="s">
        <v>145</v>
      </c>
      <c r="O2535">
        <v>0</v>
      </c>
      <c r="P2535">
        <v>0</v>
      </c>
      <c r="Q2535">
        <v>8381</v>
      </c>
      <c r="R2535" t="s">
        <v>193</v>
      </c>
      <c r="S2535">
        <v>0</v>
      </c>
      <c r="T2535">
        <v>0</v>
      </c>
      <c r="U2535">
        <v>0</v>
      </c>
      <c r="W2535" t="s">
        <v>146</v>
      </c>
    </row>
    <row r="2536" spans="1:45" x14ac:dyDescent="0.35">
      <c r="A2536" t="s">
        <v>45</v>
      </c>
      <c r="B2536" t="s">
        <v>5692</v>
      </c>
      <c r="C2536" t="s">
        <v>139</v>
      </c>
      <c r="D2536" t="s">
        <v>190</v>
      </c>
      <c r="E2536" t="s">
        <v>45</v>
      </c>
      <c r="F2536" t="s">
        <v>49</v>
      </c>
      <c r="G2536" t="s">
        <v>2809</v>
      </c>
      <c r="H2536" t="s">
        <v>5764</v>
      </c>
      <c r="J2536" t="str">
        <f>HYPERLINK("https://twitter.com/FinoPaymntsBank/status/1758036279470752005","https://twitter.com/FinoPaymntsBank/status/1758036279470752005")</f>
        <v>https://twitter.com/FinoPaymntsBank/status/1758036279470752005</v>
      </c>
      <c r="K2536" t="s">
        <v>145</v>
      </c>
      <c r="O2536">
        <v>0</v>
      </c>
      <c r="P2536">
        <v>0</v>
      </c>
      <c r="Q2536">
        <v>8381</v>
      </c>
      <c r="R2536" t="s">
        <v>193</v>
      </c>
      <c r="S2536">
        <v>0</v>
      </c>
      <c r="T2536">
        <v>0</v>
      </c>
      <c r="U2536">
        <v>0</v>
      </c>
      <c r="W2536" t="s">
        <v>146</v>
      </c>
    </row>
    <row r="2537" spans="1:45" x14ac:dyDescent="0.35">
      <c r="A2537" t="s">
        <v>45</v>
      </c>
      <c r="B2537" t="s">
        <v>5692</v>
      </c>
      <c r="C2537" t="s">
        <v>139</v>
      </c>
      <c r="D2537" t="s">
        <v>190</v>
      </c>
      <c r="E2537" t="s">
        <v>45</v>
      </c>
      <c r="F2537" t="s">
        <v>49</v>
      </c>
      <c r="G2537" t="s">
        <v>5765</v>
      </c>
      <c r="H2537" t="s">
        <v>5766</v>
      </c>
      <c r="J2537" t="str">
        <f>HYPERLINK("https://twitter.com/FinoPaymntsBank/status/1758036211493691685","https://twitter.com/FinoPaymntsBank/status/1758036211493691685")</f>
        <v>https://twitter.com/FinoPaymntsBank/status/1758036211493691685</v>
      </c>
      <c r="K2537" t="s">
        <v>145</v>
      </c>
      <c r="O2537">
        <v>0</v>
      </c>
      <c r="P2537">
        <v>0</v>
      </c>
      <c r="Q2537">
        <v>8381</v>
      </c>
      <c r="R2537" t="s">
        <v>193</v>
      </c>
      <c r="S2537">
        <v>0</v>
      </c>
      <c r="T2537">
        <v>0</v>
      </c>
      <c r="U2537">
        <v>0</v>
      </c>
      <c r="W2537" t="s">
        <v>146</v>
      </c>
    </row>
    <row r="2538" spans="1:45" x14ac:dyDescent="0.35">
      <c r="A2538" t="s">
        <v>45</v>
      </c>
      <c r="B2538" t="s">
        <v>5692</v>
      </c>
      <c r="C2538" t="s">
        <v>139</v>
      </c>
      <c r="D2538" t="s">
        <v>190</v>
      </c>
      <c r="E2538" t="s">
        <v>45</v>
      </c>
      <c r="F2538" t="s">
        <v>49</v>
      </c>
      <c r="G2538" t="s">
        <v>5081</v>
      </c>
      <c r="H2538" t="s">
        <v>5767</v>
      </c>
      <c r="J2538" t="str">
        <f>HYPERLINK("https://twitter.com/FinoPaymntsBank/status/1758035321005228115","https://twitter.com/FinoPaymntsBank/status/1758035321005228115")</f>
        <v>https://twitter.com/FinoPaymntsBank/status/1758035321005228115</v>
      </c>
      <c r="K2538" t="s">
        <v>145</v>
      </c>
      <c r="O2538">
        <v>0</v>
      </c>
      <c r="P2538">
        <v>0</v>
      </c>
      <c r="Q2538">
        <v>8381</v>
      </c>
      <c r="R2538" t="s">
        <v>193</v>
      </c>
      <c r="S2538">
        <v>0</v>
      </c>
      <c r="T2538">
        <v>0</v>
      </c>
      <c r="U2538">
        <v>0</v>
      </c>
      <c r="W2538" t="s">
        <v>146</v>
      </c>
    </row>
    <row r="2539" spans="1:45" x14ac:dyDescent="0.35">
      <c r="A2539" t="s">
        <v>45</v>
      </c>
      <c r="B2539" t="s">
        <v>5692</v>
      </c>
      <c r="C2539" t="s">
        <v>47</v>
      </c>
      <c r="D2539" t="s">
        <v>45</v>
      </c>
      <c r="E2539" t="s">
        <v>45</v>
      </c>
      <c r="F2539" t="s">
        <v>49</v>
      </c>
      <c r="G2539" t="s">
        <v>5768</v>
      </c>
      <c r="H2539" t="s">
        <v>5769</v>
      </c>
      <c r="J2539" t="str">
        <f>HYPERLINK("https://www.facebook.com/454965103328545/posts/755939476564438?comment_id=720463840223670&amp;reply_comment_id=389798567085956","https://www.facebook.com/454965103328545/posts/755939476564438?comment_id=720463840223670&amp;reply_comment_id=389798567085956")</f>
        <v>https://www.facebook.com/454965103328545/posts/755939476564438?comment_id=720463840223670&amp;reply_comment_id=389798567085956</v>
      </c>
      <c r="O2539">
        <v>0</v>
      </c>
      <c r="P2539">
        <v>0</v>
      </c>
      <c r="Q2539">
        <v>0</v>
      </c>
      <c r="S2539">
        <v>0</v>
      </c>
      <c r="T2539">
        <v>0</v>
      </c>
      <c r="U2539">
        <v>0</v>
      </c>
      <c r="W2539" t="s">
        <v>62</v>
      </c>
    </row>
    <row r="2540" spans="1:45" x14ac:dyDescent="0.35">
      <c r="A2540" t="s">
        <v>45</v>
      </c>
      <c r="B2540" t="s">
        <v>5692</v>
      </c>
      <c r="C2540" t="s">
        <v>47</v>
      </c>
      <c r="D2540" t="s">
        <v>45</v>
      </c>
      <c r="E2540" t="s">
        <v>45</v>
      </c>
      <c r="F2540" t="s">
        <v>49</v>
      </c>
      <c r="G2540" t="s">
        <v>3989</v>
      </c>
      <c r="H2540" t="s">
        <v>5770</v>
      </c>
      <c r="J2540" t="str">
        <f>HYPERLINK("https://www.facebook.com/454965103328545/posts/768116778680041?comment_id=747024650722006&amp;reply_comment_id=904011661424367","https://www.facebook.com/454965103328545/posts/768116778680041?comment_id=747024650722006&amp;reply_comment_id=904011661424367")</f>
        <v>https://www.facebook.com/454965103328545/posts/768116778680041?comment_id=747024650722006&amp;reply_comment_id=904011661424367</v>
      </c>
      <c r="O2540">
        <v>0</v>
      </c>
      <c r="P2540">
        <v>0</v>
      </c>
      <c r="Q2540">
        <v>0</v>
      </c>
      <c r="S2540">
        <v>0</v>
      </c>
      <c r="T2540">
        <v>0</v>
      </c>
      <c r="U2540">
        <v>0</v>
      </c>
      <c r="W2540" t="s">
        <v>62</v>
      </c>
    </row>
    <row r="2541" spans="1:45" x14ac:dyDescent="0.35">
      <c r="A2541" t="s">
        <v>45</v>
      </c>
      <c r="B2541" t="s">
        <v>5692</v>
      </c>
      <c r="C2541" t="s">
        <v>47</v>
      </c>
      <c r="D2541" t="s">
        <v>45</v>
      </c>
      <c r="E2541" t="s">
        <v>45</v>
      </c>
      <c r="F2541" t="s">
        <v>49</v>
      </c>
      <c r="G2541" t="s">
        <v>5771</v>
      </c>
      <c r="H2541" t="s">
        <v>5772</v>
      </c>
      <c r="J2541" t="str">
        <f>HYPERLINK("https://www.facebook.com/454965103328545/posts/768116778680041?comment_id=304339092630390&amp;reply_comment_id=7961194660562058","https://www.facebook.com/454965103328545/posts/768116778680041?comment_id=304339092630390&amp;reply_comment_id=7961194660562058")</f>
        <v>https://www.facebook.com/454965103328545/posts/768116778680041?comment_id=304339092630390&amp;reply_comment_id=7961194660562058</v>
      </c>
      <c r="O2541">
        <v>0</v>
      </c>
      <c r="P2541">
        <v>0</v>
      </c>
      <c r="Q2541">
        <v>0</v>
      </c>
      <c r="S2541">
        <v>0</v>
      </c>
      <c r="T2541">
        <v>0</v>
      </c>
      <c r="U2541">
        <v>0</v>
      </c>
      <c r="W2541" t="s">
        <v>62</v>
      </c>
    </row>
    <row r="2542" spans="1:45" x14ac:dyDescent="0.35">
      <c r="A2542" t="s">
        <v>45</v>
      </c>
      <c r="B2542" t="s">
        <v>5692</v>
      </c>
      <c r="C2542" t="s">
        <v>47</v>
      </c>
      <c r="D2542" t="s">
        <v>45</v>
      </c>
      <c r="E2542" t="s">
        <v>45</v>
      </c>
      <c r="F2542" t="s">
        <v>49</v>
      </c>
      <c r="G2542" t="s">
        <v>5773</v>
      </c>
      <c r="H2542" t="s">
        <v>5774</v>
      </c>
      <c r="J2542" t="str">
        <f>HYPERLINK("https://www.facebook.com/357267201017935/inbox/7036324029778852/","https://www.facebook.com/357267201017935/inbox/7036324029778852/")</f>
        <v>https://www.facebook.com/357267201017935/inbox/7036324029778852/</v>
      </c>
      <c r="O2542">
        <v>0</v>
      </c>
      <c r="P2542">
        <v>0</v>
      </c>
      <c r="Q2542">
        <v>0</v>
      </c>
      <c r="S2542">
        <v>0</v>
      </c>
      <c r="T2542">
        <v>0</v>
      </c>
      <c r="U2542">
        <v>0</v>
      </c>
      <c r="W2542" t="s">
        <v>52</v>
      </c>
    </row>
    <row r="2543" spans="1:45" x14ac:dyDescent="0.35">
      <c r="A2543" t="s">
        <v>45</v>
      </c>
      <c r="B2543" t="s">
        <v>5692</v>
      </c>
      <c r="C2543" t="s">
        <v>47</v>
      </c>
      <c r="D2543" t="s">
        <v>45</v>
      </c>
      <c r="E2543" t="s">
        <v>45</v>
      </c>
      <c r="F2543" t="s">
        <v>49</v>
      </c>
      <c r="G2543" t="s">
        <v>5775</v>
      </c>
      <c r="H2543" t="s">
        <v>5776</v>
      </c>
      <c r="J2543" t="str">
        <f>HYPERLINK("https://www.facebook.com/454965103328545/posts/766283632196689?comment_id=758748785832485&amp;reply_comment_id=1074740163859894","https://www.facebook.com/454965103328545/posts/766283632196689?comment_id=758748785832485&amp;reply_comment_id=1074740163859894")</f>
        <v>https://www.facebook.com/454965103328545/posts/766283632196689?comment_id=758748785832485&amp;reply_comment_id=1074740163859894</v>
      </c>
      <c r="O2543">
        <v>0</v>
      </c>
      <c r="P2543">
        <v>0</v>
      </c>
      <c r="Q2543">
        <v>0</v>
      </c>
      <c r="S2543">
        <v>0</v>
      </c>
      <c r="T2543">
        <v>0</v>
      </c>
      <c r="U2543">
        <v>0</v>
      </c>
      <c r="W2543" t="s">
        <v>62</v>
      </c>
    </row>
    <row r="2544" spans="1:45" x14ac:dyDescent="0.35">
      <c r="A2544" t="s">
        <v>45</v>
      </c>
      <c r="B2544" t="s">
        <v>5692</v>
      </c>
      <c r="C2544" t="s">
        <v>47</v>
      </c>
      <c r="D2544" t="s">
        <v>45</v>
      </c>
      <c r="E2544" t="s">
        <v>45</v>
      </c>
      <c r="F2544" t="s">
        <v>49</v>
      </c>
      <c r="G2544" t="s">
        <v>5777</v>
      </c>
      <c r="H2544" t="s">
        <v>5778</v>
      </c>
      <c r="J2544" t="str">
        <f>HYPERLINK("https://www.facebook.com/357267201017935/inbox/7036633043081284/","https://www.facebook.com/357267201017935/inbox/7036633043081284/")</f>
        <v>https://www.facebook.com/357267201017935/inbox/7036633043081284/</v>
      </c>
      <c r="O2544">
        <v>0</v>
      </c>
      <c r="P2544">
        <v>0</v>
      </c>
      <c r="Q2544">
        <v>0</v>
      </c>
      <c r="S2544">
        <v>0</v>
      </c>
      <c r="T2544">
        <v>0</v>
      </c>
      <c r="U2544">
        <v>0</v>
      </c>
      <c r="W2544" t="s">
        <v>52</v>
      </c>
    </row>
    <row r="2545" spans="1:45" x14ac:dyDescent="0.35">
      <c r="A2545" t="s">
        <v>45</v>
      </c>
      <c r="B2545" t="s">
        <v>5692</v>
      </c>
      <c r="C2545" t="s">
        <v>47</v>
      </c>
      <c r="D2545" t="s">
        <v>45</v>
      </c>
      <c r="E2545" t="s">
        <v>45</v>
      </c>
      <c r="F2545" t="s">
        <v>49</v>
      </c>
      <c r="G2545" t="s">
        <v>5779</v>
      </c>
      <c r="H2545" t="s">
        <v>5780</v>
      </c>
      <c r="J2545" t="str">
        <f>HYPERLINK("https://www.facebook.com/454965103328545/posts/755939476564438?comment_id=729203632654983&amp;reply_comment_id=1063628258200824","https://www.facebook.com/454965103328545/posts/755939476564438?comment_id=729203632654983&amp;reply_comment_id=1063628258200824")</f>
        <v>https://www.facebook.com/454965103328545/posts/755939476564438?comment_id=729203632654983&amp;reply_comment_id=1063628258200824</v>
      </c>
      <c r="O2545">
        <v>0</v>
      </c>
      <c r="P2545">
        <v>0</v>
      </c>
      <c r="Q2545">
        <v>0</v>
      </c>
      <c r="S2545">
        <v>0</v>
      </c>
      <c r="T2545">
        <v>0</v>
      </c>
      <c r="U2545">
        <v>0</v>
      </c>
      <c r="W2545" t="s">
        <v>62</v>
      </c>
    </row>
    <row r="2546" spans="1:45" x14ac:dyDescent="0.35">
      <c r="A2546" t="s">
        <v>45</v>
      </c>
      <c r="B2546" t="s">
        <v>5692</v>
      </c>
      <c r="C2546" t="s">
        <v>47</v>
      </c>
      <c r="D2546" t="s">
        <v>45</v>
      </c>
      <c r="E2546" t="s">
        <v>45</v>
      </c>
      <c r="F2546" t="s">
        <v>49</v>
      </c>
      <c r="G2546" t="s">
        <v>5781</v>
      </c>
      <c r="H2546" t="s">
        <v>5782</v>
      </c>
      <c r="J2546" t="str">
        <f>HYPERLINK("https://www.facebook.com/454965103328545/posts/768715968620122?comment_id=349772334552910&amp;reply_comment_id=758575299205174","https://www.facebook.com/454965103328545/posts/768715968620122?comment_id=349772334552910&amp;reply_comment_id=758575299205174")</f>
        <v>https://www.facebook.com/454965103328545/posts/768715968620122?comment_id=349772334552910&amp;reply_comment_id=758575299205174</v>
      </c>
      <c r="O2546">
        <v>0</v>
      </c>
      <c r="P2546">
        <v>0</v>
      </c>
      <c r="Q2546">
        <v>0</v>
      </c>
      <c r="S2546">
        <v>0</v>
      </c>
      <c r="T2546">
        <v>0</v>
      </c>
      <c r="U2546">
        <v>0</v>
      </c>
      <c r="W2546" t="s">
        <v>62</v>
      </c>
    </row>
    <row r="2547" spans="1:45" x14ac:dyDescent="0.35">
      <c r="A2547" t="s">
        <v>45</v>
      </c>
      <c r="B2547" t="s">
        <v>5692</v>
      </c>
      <c r="C2547" t="s">
        <v>47</v>
      </c>
      <c r="D2547" t="s">
        <v>45</v>
      </c>
      <c r="E2547" t="s">
        <v>45</v>
      </c>
      <c r="F2547" t="s">
        <v>49</v>
      </c>
      <c r="G2547" t="s">
        <v>5783</v>
      </c>
      <c r="H2547" t="s">
        <v>5784</v>
      </c>
      <c r="J2547" t="str">
        <f>HYPERLINK("https://www.facebook.com/357267201017935/posts/3418723634872261/?comment_id=383019284449976&amp;reply_comment_id=2717591538409938","https://www.facebook.com/357267201017935/posts/3418723634872261/?comment_id=383019284449976&amp;reply_comment_id=2717591538409938")</f>
        <v>https://www.facebook.com/357267201017935/posts/3418723634872261/?comment_id=383019284449976&amp;reply_comment_id=2717591538409938</v>
      </c>
      <c r="O2547">
        <v>0</v>
      </c>
      <c r="P2547">
        <v>0</v>
      </c>
      <c r="Q2547">
        <v>0</v>
      </c>
      <c r="S2547">
        <v>0</v>
      </c>
      <c r="T2547">
        <v>0</v>
      </c>
      <c r="U2547">
        <v>0</v>
      </c>
      <c r="W2547" t="s">
        <v>62</v>
      </c>
    </row>
    <row r="2548" spans="1:45" x14ac:dyDescent="0.35">
      <c r="A2548" t="s">
        <v>45</v>
      </c>
      <c r="B2548" t="s">
        <v>5692</v>
      </c>
      <c r="C2548" t="s">
        <v>139</v>
      </c>
      <c r="D2548" t="s">
        <v>190</v>
      </c>
      <c r="E2548" t="s">
        <v>45</v>
      </c>
      <c r="F2548" t="s">
        <v>49</v>
      </c>
      <c r="G2548" t="s">
        <v>5785</v>
      </c>
      <c r="H2548" t="s">
        <v>5786</v>
      </c>
      <c r="J2548" t="str">
        <f>HYPERLINK("https://twitter.com/FinoPaymntsBank/status/1758027422447095884","https://twitter.com/FinoPaymntsBank/status/1758027422447095884")</f>
        <v>https://twitter.com/FinoPaymntsBank/status/1758027422447095884</v>
      </c>
      <c r="K2548" t="s">
        <v>145</v>
      </c>
      <c r="O2548">
        <v>0</v>
      </c>
      <c r="P2548">
        <v>0</v>
      </c>
      <c r="Q2548">
        <v>8381</v>
      </c>
      <c r="R2548" t="s">
        <v>193</v>
      </c>
      <c r="S2548">
        <v>0</v>
      </c>
      <c r="T2548">
        <v>0</v>
      </c>
      <c r="U2548">
        <v>0</v>
      </c>
      <c r="W2548" t="s">
        <v>146</v>
      </c>
    </row>
    <row r="2549" spans="1:45" x14ac:dyDescent="0.35">
      <c r="A2549" t="s">
        <v>45</v>
      </c>
      <c r="B2549" t="s">
        <v>5692</v>
      </c>
      <c r="C2549" t="s">
        <v>139</v>
      </c>
      <c r="D2549" t="s">
        <v>190</v>
      </c>
      <c r="E2549" t="s">
        <v>45</v>
      </c>
      <c r="F2549" t="s">
        <v>49</v>
      </c>
      <c r="G2549" t="s">
        <v>5787</v>
      </c>
      <c r="H2549" t="s">
        <v>5788</v>
      </c>
      <c r="J2549" t="str">
        <f>HYPERLINK("https://twitter.com/FinoPaymntsBank/status/1758027317484601853","https://twitter.com/FinoPaymntsBank/status/1758027317484601853")</f>
        <v>https://twitter.com/FinoPaymntsBank/status/1758027317484601853</v>
      </c>
      <c r="K2549" t="s">
        <v>145</v>
      </c>
      <c r="O2549">
        <v>0</v>
      </c>
      <c r="P2549">
        <v>0</v>
      </c>
      <c r="Q2549">
        <v>8381</v>
      </c>
      <c r="R2549" t="s">
        <v>193</v>
      </c>
      <c r="S2549">
        <v>0</v>
      </c>
      <c r="T2549">
        <v>0</v>
      </c>
      <c r="U2549">
        <v>0</v>
      </c>
      <c r="W2549" t="s">
        <v>146</v>
      </c>
    </row>
    <row r="2550" spans="1:45" x14ac:dyDescent="0.35">
      <c r="A2550" t="s">
        <v>45</v>
      </c>
      <c r="B2550" t="s">
        <v>5692</v>
      </c>
      <c r="C2550" t="s">
        <v>47</v>
      </c>
      <c r="D2550" t="s">
        <v>5510</v>
      </c>
      <c r="E2550" t="s">
        <v>5510</v>
      </c>
      <c r="F2550" t="s">
        <v>49</v>
      </c>
      <c r="G2550" t="s">
        <v>5789</v>
      </c>
      <c r="H2550" t="s">
        <v>5790</v>
      </c>
      <c r="J2550" t="str">
        <f>HYPERLINK("https://www.facebook.com/454965103328545/posts/771158271709225?comment_id=1357399551461811&amp;reply_comment_id=364221453036335","https://www.facebook.com/454965103328545/posts/771158271709225?comment_id=1357399551461811&amp;reply_comment_id=364221453036335")</f>
        <v>https://www.facebook.com/454965103328545/posts/771158271709225?comment_id=1357399551461811&amp;reply_comment_id=364221453036335</v>
      </c>
      <c r="O2550">
        <v>0</v>
      </c>
      <c r="P2550">
        <v>0</v>
      </c>
      <c r="Q2550">
        <v>0</v>
      </c>
      <c r="S2550">
        <v>0</v>
      </c>
      <c r="T2550">
        <v>0</v>
      </c>
      <c r="U2550">
        <v>0</v>
      </c>
      <c r="W2550" t="s">
        <v>62</v>
      </c>
    </row>
    <row r="2551" spans="1:45" x14ac:dyDescent="0.35">
      <c r="A2551" t="s">
        <v>45</v>
      </c>
      <c r="B2551" t="s">
        <v>5692</v>
      </c>
      <c r="C2551" t="s">
        <v>139</v>
      </c>
      <c r="D2551" t="s">
        <v>5791</v>
      </c>
      <c r="E2551" t="s">
        <v>5792</v>
      </c>
      <c r="F2551" t="s">
        <v>49</v>
      </c>
      <c r="G2551" t="s">
        <v>5793</v>
      </c>
      <c r="H2551" t="s">
        <v>5794</v>
      </c>
      <c r="J2551" t="str">
        <f>HYPERLINK("https://twitter.com/Vishnu1442/status/1758018636357218318","https://twitter.com/Vishnu1442/status/1758018636357218318")</f>
        <v>https://twitter.com/Vishnu1442/status/1758018636357218318</v>
      </c>
      <c r="K2551" t="s">
        <v>145</v>
      </c>
      <c r="O2551">
        <v>0</v>
      </c>
      <c r="P2551">
        <v>0</v>
      </c>
      <c r="Q2551">
        <v>0</v>
      </c>
      <c r="S2551">
        <v>0</v>
      </c>
      <c r="T2551">
        <v>0</v>
      </c>
      <c r="U2551">
        <v>0</v>
      </c>
      <c r="W2551" t="s">
        <v>146</v>
      </c>
      <c r="Y2551" t="s">
        <v>5795</v>
      </c>
      <c r="Z2551" t="s">
        <v>613</v>
      </c>
      <c r="AA2551" t="s">
        <v>614</v>
      </c>
    </row>
    <row r="2552" spans="1:45" x14ac:dyDescent="0.35">
      <c r="A2552" t="s">
        <v>45</v>
      </c>
      <c r="B2552" t="s">
        <v>5692</v>
      </c>
      <c r="C2552" t="s">
        <v>139</v>
      </c>
      <c r="D2552" t="s">
        <v>5791</v>
      </c>
      <c r="E2552" t="s">
        <v>5792</v>
      </c>
      <c r="F2552" t="s">
        <v>49</v>
      </c>
      <c r="G2552" t="s">
        <v>5796</v>
      </c>
      <c r="H2552" t="s">
        <v>5797</v>
      </c>
      <c r="J2552" t="str">
        <f>HYPERLINK("https://twitter.com/Vishnu1442/status/1758017985351131558","https://twitter.com/Vishnu1442/status/1758017985351131558")</f>
        <v>https://twitter.com/Vishnu1442/status/1758017985351131558</v>
      </c>
      <c r="K2552" t="s">
        <v>145</v>
      </c>
      <c r="O2552">
        <v>0</v>
      </c>
      <c r="P2552">
        <v>0</v>
      </c>
      <c r="Q2552">
        <v>0</v>
      </c>
      <c r="S2552">
        <v>0</v>
      </c>
      <c r="T2552">
        <v>0</v>
      </c>
      <c r="U2552">
        <v>0</v>
      </c>
      <c r="W2552" t="s">
        <v>146</v>
      </c>
    </row>
    <row r="2553" spans="1:45" x14ac:dyDescent="0.35">
      <c r="A2553" t="s">
        <v>45</v>
      </c>
      <c r="B2553" t="s">
        <v>5692</v>
      </c>
      <c r="C2553" t="s">
        <v>139</v>
      </c>
      <c r="D2553" t="s">
        <v>5798</v>
      </c>
      <c r="E2553" t="s">
        <v>5799</v>
      </c>
      <c r="F2553" t="s">
        <v>49</v>
      </c>
      <c r="G2553" t="s">
        <v>5800</v>
      </c>
      <c r="H2553" t="s">
        <v>5801</v>
      </c>
      <c r="J2553" t="str">
        <f>HYPERLINK("https://twitter.com/AkshayRaj9595/status/1758008418957472213","https://twitter.com/AkshayRaj9595/status/1758008418957472213")</f>
        <v>https://twitter.com/AkshayRaj9595/status/1758008418957472213</v>
      </c>
      <c r="K2553" t="s">
        <v>145</v>
      </c>
      <c r="O2553">
        <v>0</v>
      </c>
      <c r="P2553">
        <v>0</v>
      </c>
      <c r="Q2553">
        <v>0</v>
      </c>
      <c r="S2553">
        <v>0</v>
      </c>
      <c r="T2553">
        <v>0</v>
      </c>
      <c r="U2553">
        <v>0</v>
      </c>
      <c r="W2553" t="s">
        <v>146</v>
      </c>
      <c r="Y2553" t="s">
        <v>5802</v>
      </c>
      <c r="Z2553" t="s">
        <v>613</v>
      </c>
      <c r="AA2553" t="s">
        <v>614</v>
      </c>
    </row>
    <row r="2554" spans="1:45" x14ac:dyDescent="0.35">
      <c r="A2554" t="s">
        <v>45</v>
      </c>
      <c r="B2554" t="s">
        <v>5692</v>
      </c>
      <c r="C2554" t="s">
        <v>47</v>
      </c>
      <c r="D2554" t="s">
        <v>91</v>
      </c>
      <c r="E2554" t="s">
        <v>91</v>
      </c>
      <c r="F2554" t="s">
        <v>49</v>
      </c>
      <c r="G2554" t="s">
        <v>50</v>
      </c>
      <c r="H2554" t="s">
        <v>5803</v>
      </c>
      <c r="J2554" t="str">
        <f>HYPERLINK("https://www.facebook.com/357267201017935/inbox/7042850965792825/","https://www.facebook.com/357267201017935/inbox/7042850965792825/")</f>
        <v>https://www.facebook.com/357267201017935/inbox/7042850965792825/</v>
      </c>
      <c r="O2554">
        <v>0</v>
      </c>
      <c r="P2554">
        <v>0</v>
      </c>
      <c r="Q2554">
        <v>0</v>
      </c>
      <c r="S2554">
        <v>0</v>
      </c>
      <c r="T2554">
        <v>0</v>
      </c>
      <c r="U2554">
        <v>0</v>
      </c>
      <c r="W2554" t="s">
        <v>52</v>
      </c>
      <c r="AS2554" t="s">
        <v>375</v>
      </c>
    </row>
    <row r="2555" spans="1:45" x14ac:dyDescent="0.35">
      <c r="A2555" t="s">
        <v>45</v>
      </c>
      <c r="B2555" t="s">
        <v>5692</v>
      </c>
      <c r="C2555" t="s">
        <v>47</v>
      </c>
      <c r="D2555" t="s">
        <v>45</v>
      </c>
      <c r="E2555" t="s">
        <v>45</v>
      </c>
      <c r="F2555" t="s">
        <v>49</v>
      </c>
      <c r="G2555" t="s">
        <v>5804</v>
      </c>
      <c r="H2555" t="s">
        <v>5805</v>
      </c>
      <c r="J2555" t="str">
        <f>HYPERLINK("https://www.facebook.com/454965103328545/posts/771158271709225?comment_id=1357399551461811&amp;reply_comment_id=413751104382930","https://www.facebook.com/454965103328545/posts/771158271709225?comment_id=1357399551461811&amp;reply_comment_id=413751104382930")</f>
        <v>https://www.facebook.com/454965103328545/posts/771158271709225?comment_id=1357399551461811&amp;reply_comment_id=413751104382930</v>
      </c>
      <c r="O2555">
        <v>0</v>
      </c>
      <c r="P2555">
        <v>0</v>
      </c>
      <c r="Q2555">
        <v>0</v>
      </c>
      <c r="S2555">
        <v>0</v>
      </c>
      <c r="T2555">
        <v>0</v>
      </c>
      <c r="U2555">
        <v>0</v>
      </c>
      <c r="W2555" t="s">
        <v>62</v>
      </c>
    </row>
    <row r="2556" spans="1:45" x14ac:dyDescent="0.35">
      <c r="A2556" t="s">
        <v>45</v>
      </c>
      <c r="B2556" t="s">
        <v>5692</v>
      </c>
      <c r="C2556" t="s">
        <v>47</v>
      </c>
      <c r="D2556" t="s">
        <v>45</v>
      </c>
      <c r="E2556" t="s">
        <v>45</v>
      </c>
      <c r="F2556" t="s">
        <v>49</v>
      </c>
      <c r="G2556" t="s">
        <v>5806</v>
      </c>
      <c r="H2556" t="s">
        <v>5807</v>
      </c>
      <c r="J2556" t="str">
        <f>HYPERLINK("https://www.facebook.com/357267201017935/inbox/7040456802698908/","https://www.facebook.com/357267201017935/inbox/7040456802698908/")</f>
        <v>https://www.facebook.com/357267201017935/inbox/7040456802698908/</v>
      </c>
      <c r="O2556">
        <v>0</v>
      </c>
      <c r="P2556">
        <v>0</v>
      </c>
      <c r="Q2556">
        <v>0</v>
      </c>
      <c r="S2556">
        <v>0</v>
      </c>
      <c r="T2556">
        <v>0</v>
      </c>
      <c r="U2556">
        <v>0</v>
      </c>
      <c r="W2556" t="s">
        <v>52</v>
      </c>
    </row>
    <row r="2557" spans="1:45" x14ac:dyDescent="0.35">
      <c r="A2557" t="s">
        <v>45</v>
      </c>
      <c r="B2557" t="s">
        <v>5692</v>
      </c>
      <c r="C2557" t="s">
        <v>139</v>
      </c>
      <c r="D2557" t="s">
        <v>190</v>
      </c>
      <c r="E2557" t="s">
        <v>45</v>
      </c>
      <c r="F2557" t="s">
        <v>49</v>
      </c>
      <c r="G2557" t="s">
        <v>5808</v>
      </c>
      <c r="H2557" t="s">
        <v>5809</v>
      </c>
      <c r="J2557" t="str">
        <f>HYPERLINK("https://twitter.com/FinoPaymntsBank/status/1757995492192243720","https://twitter.com/FinoPaymntsBank/status/1757995492192243720")</f>
        <v>https://twitter.com/FinoPaymntsBank/status/1757995492192243720</v>
      </c>
      <c r="K2557" t="s">
        <v>145</v>
      </c>
      <c r="O2557">
        <v>0</v>
      </c>
      <c r="P2557">
        <v>0</v>
      </c>
      <c r="Q2557">
        <v>8381</v>
      </c>
      <c r="R2557" t="s">
        <v>193</v>
      </c>
      <c r="S2557">
        <v>0</v>
      </c>
      <c r="T2557">
        <v>0</v>
      </c>
      <c r="U2557">
        <v>0</v>
      </c>
      <c r="W2557" t="s">
        <v>146</v>
      </c>
    </row>
    <row r="2558" spans="1:45" x14ac:dyDescent="0.35">
      <c r="A2558" t="s">
        <v>45</v>
      </c>
      <c r="B2558" t="s">
        <v>5692</v>
      </c>
      <c r="C2558" t="s">
        <v>139</v>
      </c>
      <c r="D2558" t="s">
        <v>190</v>
      </c>
      <c r="E2558" t="s">
        <v>45</v>
      </c>
      <c r="F2558" t="s">
        <v>49</v>
      </c>
      <c r="G2558" t="s">
        <v>5810</v>
      </c>
      <c r="H2558" t="s">
        <v>5811</v>
      </c>
      <c r="J2558" t="str">
        <f>HYPERLINK("https://twitter.com/FinoPaymntsBank/status/1757993231906918829","https://twitter.com/FinoPaymntsBank/status/1757993231906918829")</f>
        <v>https://twitter.com/FinoPaymntsBank/status/1757993231906918829</v>
      </c>
      <c r="K2558" t="s">
        <v>145</v>
      </c>
      <c r="O2558">
        <v>0</v>
      </c>
      <c r="P2558">
        <v>0</v>
      </c>
      <c r="Q2558">
        <v>8381</v>
      </c>
      <c r="R2558" t="s">
        <v>193</v>
      </c>
      <c r="S2558">
        <v>0</v>
      </c>
      <c r="T2558">
        <v>0</v>
      </c>
      <c r="U2558">
        <v>0</v>
      </c>
      <c r="W2558" t="s">
        <v>146</v>
      </c>
    </row>
    <row r="2559" spans="1:45" x14ac:dyDescent="0.35">
      <c r="A2559" t="s">
        <v>45</v>
      </c>
      <c r="B2559" t="s">
        <v>5692</v>
      </c>
      <c r="C2559" t="s">
        <v>139</v>
      </c>
      <c r="D2559" t="s">
        <v>190</v>
      </c>
      <c r="E2559" t="s">
        <v>45</v>
      </c>
      <c r="F2559" t="s">
        <v>49</v>
      </c>
      <c r="G2559" t="s">
        <v>5812</v>
      </c>
      <c r="H2559" t="s">
        <v>5813</v>
      </c>
      <c r="J2559" t="str">
        <f>HYPERLINK("https://twitter.com/FinoPaymntsBank/status/1757992271201665159","https://twitter.com/FinoPaymntsBank/status/1757992271201665159")</f>
        <v>https://twitter.com/FinoPaymntsBank/status/1757992271201665159</v>
      </c>
      <c r="K2559" t="s">
        <v>145</v>
      </c>
      <c r="O2559">
        <v>0</v>
      </c>
      <c r="P2559">
        <v>0</v>
      </c>
      <c r="Q2559">
        <v>8381</v>
      </c>
      <c r="R2559" t="s">
        <v>193</v>
      </c>
      <c r="S2559">
        <v>0</v>
      </c>
      <c r="T2559">
        <v>0</v>
      </c>
      <c r="U2559">
        <v>0</v>
      </c>
      <c r="W2559" t="s">
        <v>146</v>
      </c>
    </row>
    <row r="2560" spans="1:45" x14ac:dyDescent="0.35">
      <c r="A2560" t="s">
        <v>45</v>
      </c>
      <c r="B2560" t="s">
        <v>5692</v>
      </c>
      <c r="C2560" t="s">
        <v>58</v>
      </c>
      <c r="D2560" t="s">
        <v>2862</v>
      </c>
      <c r="E2560" t="s">
        <v>2862</v>
      </c>
      <c r="F2560" t="s">
        <v>49</v>
      </c>
      <c r="G2560" t="s">
        <v>5814</v>
      </c>
      <c r="H2560" t="s">
        <v>5815</v>
      </c>
      <c r="J2560" t="str">
        <f>HYPERLINK("https://www.youtube.com/watch?v=cHhfft2ARLI","https://www.youtube.com/watch?v=cHhfft2ARLI")</f>
        <v>https://www.youtube.com/watch?v=cHhfft2ARLI</v>
      </c>
      <c r="O2560">
        <v>0</v>
      </c>
      <c r="P2560">
        <v>0</v>
      </c>
      <c r="Q2560">
        <v>0</v>
      </c>
      <c r="S2560">
        <v>0</v>
      </c>
      <c r="T2560">
        <v>0</v>
      </c>
      <c r="U2560">
        <v>0</v>
      </c>
      <c r="W2560" t="s">
        <v>106</v>
      </c>
      <c r="AP2560" t="s">
        <v>101</v>
      </c>
    </row>
    <row r="2561" spans="1:45" x14ac:dyDescent="0.35">
      <c r="A2561" t="s">
        <v>45</v>
      </c>
      <c r="B2561" t="s">
        <v>5692</v>
      </c>
      <c r="C2561" t="s">
        <v>139</v>
      </c>
      <c r="D2561" t="s">
        <v>5791</v>
      </c>
      <c r="E2561" t="s">
        <v>5792</v>
      </c>
      <c r="F2561" t="s">
        <v>49</v>
      </c>
      <c r="G2561" t="s">
        <v>5816</v>
      </c>
      <c r="H2561" t="s">
        <v>5817</v>
      </c>
      <c r="J2561" t="str">
        <f>HYPERLINK("https://twitter.com/Vishnu1442/status/1757959689407762748","https://twitter.com/Vishnu1442/status/1757959689407762748")</f>
        <v>https://twitter.com/Vishnu1442/status/1757959689407762748</v>
      </c>
      <c r="K2561" t="s">
        <v>145</v>
      </c>
      <c r="O2561">
        <v>0</v>
      </c>
      <c r="P2561">
        <v>0</v>
      </c>
      <c r="Q2561">
        <v>0</v>
      </c>
      <c r="S2561">
        <v>0</v>
      </c>
      <c r="T2561">
        <v>0</v>
      </c>
      <c r="U2561">
        <v>0</v>
      </c>
      <c r="W2561" t="s">
        <v>146</v>
      </c>
      <c r="AS2561" t="s">
        <v>375</v>
      </c>
    </row>
    <row r="2562" spans="1:45" x14ac:dyDescent="0.35">
      <c r="A2562" t="s">
        <v>45</v>
      </c>
      <c r="B2562" t="s">
        <v>5692</v>
      </c>
      <c r="C2562" t="s">
        <v>63</v>
      </c>
      <c r="D2562" t="s">
        <v>5818</v>
      </c>
      <c r="E2562" t="s">
        <v>5818</v>
      </c>
      <c r="F2562" t="s">
        <v>49</v>
      </c>
      <c r="G2562" t="s">
        <v>5819</v>
      </c>
      <c r="H2562" t="s">
        <v>5820</v>
      </c>
      <c r="J2562" t="str">
        <f>HYPERLINK("https://www.instagram.com/p/C3SfLgXCrXh/","https://www.instagram.com/p/C3SfLgXCrXh/")</f>
        <v>https://www.instagram.com/p/C3SfLgXCrXh/</v>
      </c>
      <c r="O2562">
        <v>0</v>
      </c>
      <c r="P2562">
        <v>0</v>
      </c>
      <c r="Q2562">
        <v>0</v>
      </c>
      <c r="S2562">
        <v>0</v>
      </c>
      <c r="T2562">
        <v>0</v>
      </c>
      <c r="U2562">
        <v>0</v>
      </c>
      <c r="W2562" t="s">
        <v>62</v>
      </c>
    </row>
    <row r="2563" spans="1:45" x14ac:dyDescent="0.35">
      <c r="A2563" t="s">
        <v>45</v>
      </c>
      <c r="B2563" t="s">
        <v>5692</v>
      </c>
      <c r="C2563" t="s">
        <v>47</v>
      </c>
      <c r="D2563" t="s">
        <v>5821</v>
      </c>
      <c r="E2563" t="s">
        <v>5821</v>
      </c>
      <c r="F2563" t="s">
        <v>49</v>
      </c>
      <c r="G2563" t="s">
        <v>5822</v>
      </c>
      <c r="H2563" t="s">
        <v>5823</v>
      </c>
      <c r="J2563" t="str">
        <f t="shared" ref="J2563:J2568" si="4">HYPERLINK("https://www.facebook.com/357267201017935/inbox/7041571832587405/","https://www.facebook.com/357267201017935/inbox/7041571832587405/")</f>
        <v>https://www.facebook.com/357267201017935/inbox/7041571832587405/</v>
      </c>
      <c r="O2563">
        <v>0</v>
      </c>
      <c r="P2563">
        <v>0</v>
      </c>
      <c r="Q2563">
        <v>0</v>
      </c>
      <c r="S2563">
        <v>0</v>
      </c>
      <c r="T2563">
        <v>0</v>
      </c>
      <c r="U2563">
        <v>0</v>
      </c>
      <c r="W2563" t="s">
        <v>52</v>
      </c>
      <c r="Y2563" t="s">
        <v>5824</v>
      </c>
      <c r="Z2563" t="s">
        <v>613</v>
      </c>
      <c r="AA2563" t="s">
        <v>614</v>
      </c>
    </row>
    <row r="2564" spans="1:45" x14ac:dyDescent="0.35">
      <c r="A2564" t="s">
        <v>45</v>
      </c>
      <c r="B2564" t="s">
        <v>5692</v>
      </c>
      <c r="C2564" t="s">
        <v>47</v>
      </c>
      <c r="D2564" t="s">
        <v>5821</v>
      </c>
      <c r="E2564" t="s">
        <v>5821</v>
      </c>
      <c r="F2564" t="s">
        <v>49</v>
      </c>
      <c r="G2564" t="s">
        <v>253</v>
      </c>
      <c r="H2564" t="s">
        <v>5825</v>
      </c>
      <c r="J2564" t="str">
        <f t="shared" si="4"/>
        <v>https://www.facebook.com/357267201017935/inbox/7041571832587405/</v>
      </c>
      <c r="O2564">
        <v>0</v>
      </c>
      <c r="P2564">
        <v>0</v>
      </c>
      <c r="Q2564">
        <v>0</v>
      </c>
      <c r="S2564">
        <v>0</v>
      </c>
      <c r="T2564">
        <v>0</v>
      </c>
      <c r="U2564">
        <v>0</v>
      </c>
      <c r="W2564" t="s">
        <v>52</v>
      </c>
    </row>
    <row r="2565" spans="1:45" x14ac:dyDescent="0.35">
      <c r="A2565" t="s">
        <v>45</v>
      </c>
      <c r="B2565" t="s">
        <v>5692</v>
      </c>
      <c r="C2565" t="s">
        <v>47</v>
      </c>
      <c r="D2565" t="s">
        <v>5821</v>
      </c>
      <c r="E2565" t="s">
        <v>5821</v>
      </c>
      <c r="F2565" t="s">
        <v>49</v>
      </c>
      <c r="G2565" t="s">
        <v>5826</v>
      </c>
      <c r="H2565" t="s">
        <v>5827</v>
      </c>
      <c r="J2565" t="str">
        <f t="shared" si="4"/>
        <v>https://www.facebook.com/357267201017935/inbox/7041571832587405/</v>
      </c>
      <c r="O2565">
        <v>0</v>
      </c>
      <c r="P2565">
        <v>0</v>
      </c>
      <c r="Q2565">
        <v>0</v>
      </c>
      <c r="S2565">
        <v>0</v>
      </c>
      <c r="T2565">
        <v>0</v>
      </c>
      <c r="U2565">
        <v>0</v>
      </c>
      <c r="W2565" t="s">
        <v>52</v>
      </c>
      <c r="Y2565" t="s">
        <v>5828</v>
      </c>
      <c r="Z2565" t="s">
        <v>613</v>
      </c>
      <c r="AA2565" t="s">
        <v>614</v>
      </c>
    </row>
    <row r="2566" spans="1:45" x14ac:dyDescent="0.35">
      <c r="A2566" t="s">
        <v>45</v>
      </c>
      <c r="B2566" t="s">
        <v>5692</v>
      </c>
      <c r="C2566" t="s">
        <v>47</v>
      </c>
      <c r="D2566" t="s">
        <v>5821</v>
      </c>
      <c r="E2566" t="s">
        <v>5821</v>
      </c>
      <c r="F2566" t="s">
        <v>49</v>
      </c>
      <c r="G2566" t="s">
        <v>253</v>
      </c>
      <c r="H2566" t="s">
        <v>5829</v>
      </c>
      <c r="J2566" t="str">
        <f t="shared" si="4"/>
        <v>https://www.facebook.com/357267201017935/inbox/7041571832587405/</v>
      </c>
      <c r="O2566">
        <v>0</v>
      </c>
      <c r="P2566">
        <v>0</v>
      </c>
      <c r="Q2566">
        <v>0</v>
      </c>
      <c r="S2566">
        <v>0</v>
      </c>
      <c r="T2566">
        <v>0</v>
      </c>
      <c r="U2566">
        <v>0</v>
      </c>
      <c r="W2566" t="s">
        <v>52</v>
      </c>
    </row>
    <row r="2567" spans="1:45" x14ac:dyDescent="0.35">
      <c r="A2567" t="s">
        <v>45</v>
      </c>
      <c r="B2567" t="s">
        <v>5692</v>
      </c>
      <c r="C2567" t="s">
        <v>47</v>
      </c>
      <c r="D2567" t="s">
        <v>5821</v>
      </c>
      <c r="E2567" t="s">
        <v>5821</v>
      </c>
      <c r="F2567" t="s">
        <v>49</v>
      </c>
      <c r="G2567" t="s">
        <v>253</v>
      </c>
      <c r="H2567" t="s">
        <v>5830</v>
      </c>
      <c r="J2567" t="str">
        <f t="shared" si="4"/>
        <v>https://www.facebook.com/357267201017935/inbox/7041571832587405/</v>
      </c>
      <c r="O2567">
        <v>0</v>
      </c>
      <c r="P2567">
        <v>0</v>
      </c>
      <c r="Q2567">
        <v>0</v>
      </c>
      <c r="S2567">
        <v>0</v>
      </c>
      <c r="T2567">
        <v>0</v>
      </c>
      <c r="U2567">
        <v>0</v>
      </c>
      <c r="W2567" t="s">
        <v>52</v>
      </c>
    </row>
    <row r="2568" spans="1:45" x14ac:dyDescent="0.35">
      <c r="A2568" t="s">
        <v>45</v>
      </c>
      <c r="B2568" t="s">
        <v>5692</v>
      </c>
      <c r="C2568" t="s">
        <v>47</v>
      </c>
      <c r="D2568" t="s">
        <v>5821</v>
      </c>
      <c r="E2568" t="s">
        <v>5821</v>
      </c>
      <c r="F2568" t="s">
        <v>49</v>
      </c>
      <c r="G2568" t="s">
        <v>253</v>
      </c>
      <c r="H2568" t="s">
        <v>5831</v>
      </c>
      <c r="J2568" t="str">
        <f t="shared" si="4"/>
        <v>https://www.facebook.com/357267201017935/inbox/7041571832587405/</v>
      </c>
      <c r="O2568">
        <v>0</v>
      </c>
      <c r="P2568">
        <v>0</v>
      </c>
      <c r="Q2568">
        <v>0</v>
      </c>
      <c r="S2568">
        <v>0</v>
      </c>
      <c r="T2568">
        <v>0</v>
      </c>
      <c r="U2568">
        <v>0</v>
      </c>
      <c r="W2568" t="s">
        <v>52</v>
      </c>
    </row>
    <row r="2569" spans="1:45" x14ac:dyDescent="0.35">
      <c r="A2569" t="s">
        <v>45</v>
      </c>
      <c r="B2569" t="s">
        <v>5692</v>
      </c>
      <c r="C2569" t="s">
        <v>58</v>
      </c>
      <c r="D2569" t="s">
        <v>5832</v>
      </c>
      <c r="E2569" t="s">
        <v>5832</v>
      </c>
      <c r="F2569" t="s">
        <v>49</v>
      </c>
      <c r="G2569" t="s">
        <v>5833</v>
      </c>
      <c r="H2569" t="s">
        <v>5834</v>
      </c>
      <c r="J2569" t="str">
        <f>HYPERLINK("https://www.youtube.com/watch?v=b6JMMWaTPu8","https://www.youtube.com/watch?v=b6JMMWaTPu8")</f>
        <v>https://www.youtube.com/watch?v=b6JMMWaTPu8</v>
      </c>
      <c r="O2569">
        <v>0</v>
      </c>
      <c r="P2569">
        <v>0</v>
      </c>
      <c r="Q2569">
        <v>0</v>
      </c>
      <c r="S2569">
        <v>0</v>
      </c>
      <c r="T2569">
        <v>0</v>
      </c>
      <c r="U2569">
        <v>0</v>
      </c>
      <c r="W2569" t="s">
        <v>106</v>
      </c>
    </row>
    <row r="2570" spans="1:45" x14ac:dyDescent="0.35">
      <c r="A2570" t="s">
        <v>45</v>
      </c>
      <c r="B2570" t="s">
        <v>5835</v>
      </c>
      <c r="C2570" t="s">
        <v>58</v>
      </c>
      <c r="D2570" t="s">
        <v>5832</v>
      </c>
      <c r="E2570" t="s">
        <v>5832</v>
      </c>
      <c r="F2570" t="s">
        <v>49</v>
      </c>
      <c r="G2570" t="s">
        <v>5836</v>
      </c>
      <c r="H2570" t="s">
        <v>5837</v>
      </c>
      <c r="J2570" t="str">
        <f>HYPERLINK("https://www.youtube.com/watch?v=hJMev1PVLi8","https://www.youtube.com/watch?v=hJMev1PVLi8")</f>
        <v>https://www.youtube.com/watch?v=hJMev1PVLi8</v>
      </c>
      <c r="O2570">
        <v>0</v>
      </c>
      <c r="P2570">
        <v>0</v>
      </c>
      <c r="Q2570">
        <v>0</v>
      </c>
      <c r="S2570">
        <v>0</v>
      </c>
      <c r="T2570">
        <v>0</v>
      </c>
      <c r="U2570">
        <v>0</v>
      </c>
      <c r="W2570" t="s">
        <v>106</v>
      </c>
    </row>
    <row r="2571" spans="1:45" x14ac:dyDescent="0.35">
      <c r="A2571" t="s">
        <v>45</v>
      </c>
      <c r="B2571" t="s">
        <v>5835</v>
      </c>
      <c r="C2571" t="s">
        <v>139</v>
      </c>
      <c r="D2571" t="s">
        <v>5798</v>
      </c>
      <c r="E2571" t="s">
        <v>5799</v>
      </c>
      <c r="F2571" t="s">
        <v>142</v>
      </c>
      <c r="G2571" t="s">
        <v>5838</v>
      </c>
      <c r="H2571" t="s">
        <v>5839</v>
      </c>
      <c r="J2571" t="str">
        <f>HYPERLINK("https://twitter.com/AkshayRaj9595/status/1757824770346004597","https://twitter.com/AkshayRaj9595/status/1757824770346004597")</f>
        <v>https://twitter.com/AkshayRaj9595/status/1757824770346004597</v>
      </c>
      <c r="K2571" t="s">
        <v>145</v>
      </c>
      <c r="O2571">
        <v>0</v>
      </c>
      <c r="P2571">
        <v>0</v>
      </c>
      <c r="Q2571">
        <v>0</v>
      </c>
      <c r="S2571">
        <v>0</v>
      </c>
      <c r="T2571">
        <v>0</v>
      </c>
      <c r="U2571">
        <v>0</v>
      </c>
      <c r="W2571" t="s">
        <v>146</v>
      </c>
      <c r="AS2571" t="s">
        <v>375</v>
      </c>
    </row>
    <row r="2572" spans="1:45" x14ac:dyDescent="0.35">
      <c r="A2572" t="s">
        <v>45</v>
      </c>
      <c r="B2572" t="s">
        <v>5835</v>
      </c>
      <c r="C2572" t="s">
        <v>58</v>
      </c>
      <c r="D2572" t="s">
        <v>5832</v>
      </c>
      <c r="E2572" t="s">
        <v>5832</v>
      </c>
      <c r="F2572" t="s">
        <v>49</v>
      </c>
      <c r="G2572" t="s">
        <v>5840</v>
      </c>
      <c r="H2572" t="s">
        <v>5841</v>
      </c>
      <c r="J2572" t="str">
        <f>HYPERLINK("https://www.youtube.com/watch?v=vMPy_W2AVeU","https://www.youtube.com/watch?v=vMPy_W2AVeU")</f>
        <v>https://www.youtube.com/watch?v=vMPy_W2AVeU</v>
      </c>
      <c r="O2572">
        <v>0</v>
      </c>
      <c r="P2572">
        <v>0</v>
      </c>
      <c r="Q2572">
        <v>0</v>
      </c>
      <c r="S2572">
        <v>0</v>
      </c>
      <c r="T2572">
        <v>0</v>
      </c>
      <c r="U2572">
        <v>0</v>
      </c>
      <c r="W2572" t="s">
        <v>106</v>
      </c>
    </row>
    <row r="2573" spans="1:45" x14ac:dyDescent="0.35">
      <c r="A2573" t="s">
        <v>45</v>
      </c>
      <c r="B2573" t="s">
        <v>5835</v>
      </c>
      <c r="C2573" t="s">
        <v>139</v>
      </c>
      <c r="D2573" t="s">
        <v>5798</v>
      </c>
      <c r="E2573" t="s">
        <v>5799</v>
      </c>
      <c r="F2573" t="s">
        <v>142</v>
      </c>
      <c r="G2573" t="s">
        <v>5842</v>
      </c>
      <c r="H2573" t="s">
        <v>5843</v>
      </c>
      <c r="J2573" t="str">
        <f>HYPERLINK("https://twitter.com/AkshayRaj9595/status/1757819196325704059","https://twitter.com/AkshayRaj9595/status/1757819196325704059")</f>
        <v>https://twitter.com/AkshayRaj9595/status/1757819196325704059</v>
      </c>
      <c r="K2573" t="s">
        <v>145</v>
      </c>
      <c r="O2573">
        <v>0</v>
      </c>
      <c r="P2573">
        <v>0</v>
      </c>
      <c r="Q2573">
        <v>0</v>
      </c>
      <c r="S2573">
        <v>0</v>
      </c>
      <c r="T2573">
        <v>0</v>
      </c>
      <c r="U2573">
        <v>0</v>
      </c>
      <c r="W2573" t="s">
        <v>146</v>
      </c>
      <c r="AP2573" t="s">
        <v>147</v>
      </c>
      <c r="AS2573" t="s">
        <v>375</v>
      </c>
    </row>
    <row r="2574" spans="1:45" x14ac:dyDescent="0.35">
      <c r="A2574" t="s">
        <v>45</v>
      </c>
      <c r="B2574" t="s">
        <v>5835</v>
      </c>
      <c r="C2574" t="s">
        <v>58</v>
      </c>
      <c r="D2574" t="s">
        <v>5844</v>
      </c>
      <c r="E2574" t="s">
        <v>5844</v>
      </c>
      <c r="F2574" t="s">
        <v>76</v>
      </c>
      <c r="G2574" t="s">
        <v>5845</v>
      </c>
      <c r="H2574" t="s">
        <v>5846</v>
      </c>
      <c r="J2574" t="str">
        <f>HYPERLINK("https://www.youtube.com/watch?v=1mn3dk7wuRI&amp;lc=UgzEglANVepBl4KpPW14AaABAg","https://www.youtube.com/watch?v=1mn3dk7wuRI&amp;lc=UgzEglANVepBl4KpPW14AaABAg")</f>
        <v>https://www.youtube.com/watch?v=1mn3dk7wuRI&amp;lc=UgzEglANVepBl4KpPW14AaABAg</v>
      </c>
      <c r="O2574">
        <v>0</v>
      </c>
      <c r="P2574">
        <v>0</v>
      </c>
      <c r="Q2574">
        <v>0</v>
      </c>
      <c r="S2574">
        <v>0</v>
      </c>
      <c r="T2574">
        <v>0</v>
      </c>
      <c r="U2574">
        <v>0</v>
      </c>
      <c r="W2574" t="s">
        <v>62</v>
      </c>
    </row>
    <row r="2575" spans="1:45" x14ac:dyDescent="0.35">
      <c r="A2575" t="s">
        <v>45</v>
      </c>
      <c r="B2575" t="s">
        <v>5835</v>
      </c>
      <c r="C2575" t="s">
        <v>47</v>
      </c>
      <c r="D2575" t="s">
        <v>5847</v>
      </c>
      <c r="E2575" t="s">
        <v>5847</v>
      </c>
      <c r="F2575" t="s">
        <v>49</v>
      </c>
      <c r="G2575" t="s">
        <v>5848</v>
      </c>
      <c r="H2575" t="s">
        <v>5849</v>
      </c>
      <c r="J2575" t="str">
        <f>HYPERLINK("https://www.facebook.com/454965103328545/posts/768116778680041?comment_id=742968817766691&amp;reply_comment_id=384370267555075","https://www.facebook.com/454965103328545/posts/768116778680041?comment_id=742968817766691&amp;reply_comment_id=384370267555075")</f>
        <v>https://www.facebook.com/454965103328545/posts/768116778680041?comment_id=742968817766691&amp;reply_comment_id=384370267555075</v>
      </c>
      <c r="O2575">
        <v>0</v>
      </c>
      <c r="P2575">
        <v>0</v>
      </c>
      <c r="Q2575">
        <v>0</v>
      </c>
      <c r="S2575">
        <v>0</v>
      </c>
      <c r="T2575">
        <v>0</v>
      </c>
      <c r="U2575">
        <v>0</v>
      </c>
      <c r="W2575" t="s">
        <v>106</v>
      </c>
      <c r="Y2575" t="s">
        <v>5850</v>
      </c>
      <c r="Z2575" t="s">
        <v>613</v>
      </c>
      <c r="AA2575" t="s">
        <v>614</v>
      </c>
    </row>
    <row r="2576" spans="1:45" x14ac:dyDescent="0.35">
      <c r="A2576" t="s">
        <v>45</v>
      </c>
      <c r="B2576" t="s">
        <v>5835</v>
      </c>
      <c r="C2576" t="s">
        <v>58</v>
      </c>
      <c r="D2576" t="s">
        <v>5851</v>
      </c>
      <c r="E2576" t="s">
        <v>5851</v>
      </c>
      <c r="F2576" t="s">
        <v>49</v>
      </c>
      <c r="G2576" t="s">
        <v>5852</v>
      </c>
      <c r="H2576" t="s">
        <v>5853</v>
      </c>
      <c r="J2576" t="str">
        <f>HYPERLINK("https://www.youtube.com/watch?v=dP4B0vuVrwU","https://www.youtube.com/watch?v=dP4B0vuVrwU")</f>
        <v>https://www.youtube.com/watch?v=dP4B0vuVrwU</v>
      </c>
      <c r="O2576">
        <v>0</v>
      </c>
      <c r="P2576">
        <v>0</v>
      </c>
      <c r="Q2576">
        <v>0</v>
      </c>
      <c r="S2576">
        <v>0</v>
      </c>
      <c r="T2576">
        <v>0</v>
      </c>
      <c r="U2576">
        <v>0</v>
      </c>
      <c r="W2576" t="s">
        <v>106</v>
      </c>
    </row>
    <row r="2577" spans="1:45" x14ac:dyDescent="0.35">
      <c r="A2577" t="s">
        <v>45</v>
      </c>
      <c r="B2577" t="s">
        <v>5835</v>
      </c>
      <c r="C2577" t="s">
        <v>58</v>
      </c>
      <c r="D2577" t="s">
        <v>5854</v>
      </c>
      <c r="E2577" t="s">
        <v>5854</v>
      </c>
      <c r="F2577" t="s">
        <v>49</v>
      </c>
      <c r="G2577" t="s">
        <v>5855</v>
      </c>
      <c r="H2577" t="s">
        <v>5856</v>
      </c>
      <c r="J2577" t="str">
        <f>HYPERLINK("https://www.youtube.com/watch?v=1pPxZcaVsD4","https://www.youtube.com/watch?v=1pPxZcaVsD4")</f>
        <v>https://www.youtube.com/watch?v=1pPxZcaVsD4</v>
      </c>
      <c r="O2577">
        <v>0</v>
      </c>
      <c r="P2577">
        <v>0</v>
      </c>
      <c r="Q2577">
        <v>0</v>
      </c>
      <c r="S2577">
        <v>0</v>
      </c>
      <c r="T2577">
        <v>0</v>
      </c>
      <c r="U2577">
        <v>0</v>
      </c>
      <c r="W2577" t="s">
        <v>106</v>
      </c>
    </row>
    <row r="2578" spans="1:45" x14ac:dyDescent="0.35">
      <c r="A2578" t="s">
        <v>45</v>
      </c>
      <c r="B2578" t="s">
        <v>5835</v>
      </c>
      <c r="C2578" t="s">
        <v>47</v>
      </c>
      <c r="D2578" t="s">
        <v>5381</v>
      </c>
      <c r="E2578" t="s">
        <v>5381</v>
      </c>
      <c r="F2578" t="s">
        <v>49</v>
      </c>
      <c r="G2578" t="s">
        <v>373</v>
      </c>
      <c r="H2578" t="s">
        <v>5857</v>
      </c>
      <c r="J2578" t="str">
        <f>HYPERLINK("https://www.facebook.com/357267201017935/inbox/7040456802698908/","https://www.facebook.com/357267201017935/inbox/7040456802698908/")</f>
        <v>https://www.facebook.com/357267201017935/inbox/7040456802698908/</v>
      </c>
      <c r="O2578">
        <v>0</v>
      </c>
      <c r="P2578">
        <v>0</v>
      </c>
      <c r="Q2578">
        <v>0</v>
      </c>
      <c r="S2578">
        <v>0</v>
      </c>
      <c r="T2578">
        <v>0</v>
      </c>
      <c r="U2578">
        <v>0</v>
      </c>
      <c r="W2578" t="s">
        <v>52</v>
      </c>
      <c r="AS2578" t="s">
        <v>375</v>
      </c>
    </row>
    <row r="2579" spans="1:45" x14ac:dyDescent="0.35">
      <c r="A2579" t="s">
        <v>45</v>
      </c>
      <c r="B2579" t="s">
        <v>5835</v>
      </c>
      <c r="C2579" t="s">
        <v>139</v>
      </c>
      <c r="D2579" t="s">
        <v>5858</v>
      </c>
      <c r="E2579" t="s">
        <v>5859</v>
      </c>
      <c r="F2579" t="s">
        <v>142</v>
      </c>
      <c r="G2579" t="s">
        <v>5601</v>
      </c>
      <c r="H2579" t="s">
        <v>5860</v>
      </c>
      <c r="J2579" t="str">
        <f>HYPERLINK("https://twitter.com/_vermaakshat_/status/1757758501416501615","https://twitter.com/_vermaakshat_/status/1757758501416501615")</f>
        <v>https://twitter.com/_vermaakshat_/status/1757758501416501615</v>
      </c>
      <c r="K2579" t="s">
        <v>145</v>
      </c>
      <c r="O2579">
        <v>0</v>
      </c>
      <c r="P2579">
        <v>0</v>
      </c>
      <c r="Q2579">
        <v>23</v>
      </c>
      <c r="R2579" t="s">
        <v>582</v>
      </c>
      <c r="S2579">
        <v>0</v>
      </c>
      <c r="T2579">
        <v>0</v>
      </c>
      <c r="U2579">
        <v>0</v>
      </c>
      <c r="W2579" t="s">
        <v>552</v>
      </c>
    </row>
    <row r="2580" spans="1:45" x14ac:dyDescent="0.35">
      <c r="A2580" t="s">
        <v>45</v>
      </c>
      <c r="B2580" t="s">
        <v>5835</v>
      </c>
      <c r="C2580" t="s">
        <v>58</v>
      </c>
      <c r="D2580" t="s">
        <v>5861</v>
      </c>
      <c r="E2580" t="s">
        <v>5861</v>
      </c>
      <c r="F2580" t="s">
        <v>49</v>
      </c>
      <c r="G2580" t="s">
        <v>5862</v>
      </c>
      <c r="H2580" t="s">
        <v>5863</v>
      </c>
      <c r="J2580" t="str">
        <f>HYPERLINK("https://www.youtube.com/watch?v=SEMsm5qca0g","https://www.youtube.com/watch?v=SEMsm5qca0g")</f>
        <v>https://www.youtube.com/watch?v=SEMsm5qca0g</v>
      </c>
      <c r="O2580">
        <v>0</v>
      </c>
      <c r="P2580">
        <v>0</v>
      </c>
      <c r="Q2580">
        <v>0</v>
      </c>
      <c r="S2580">
        <v>0</v>
      </c>
      <c r="T2580">
        <v>0</v>
      </c>
      <c r="U2580">
        <v>0</v>
      </c>
      <c r="W2580" t="s">
        <v>106</v>
      </c>
    </row>
    <row r="2581" spans="1:45" x14ac:dyDescent="0.35">
      <c r="A2581" t="s">
        <v>45</v>
      </c>
      <c r="B2581" t="s">
        <v>5835</v>
      </c>
      <c r="C2581" t="s">
        <v>47</v>
      </c>
      <c r="D2581" t="s">
        <v>45</v>
      </c>
      <c r="E2581" t="s">
        <v>45</v>
      </c>
      <c r="F2581" t="s">
        <v>49</v>
      </c>
      <c r="G2581" t="s">
        <v>1761</v>
      </c>
      <c r="H2581" t="s">
        <v>5864</v>
      </c>
      <c r="J2581" t="str">
        <f>HYPERLINK("https://www.facebook.com/454965103328545/posts/771906841634368","https://www.facebook.com/454965103328545/posts/771906841634368")</f>
        <v>https://www.facebook.com/454965103328545/posts/771906841634368</v>
      </c>
      <c r="O2581">
        <v>0</v>
      </c>
      <c r="P2581">
        <v>0</v>
      </c>
      <c r="Q2581">
        <v>0</v>
      </c>
      <c r="S2581">
        <v>7</v>
      </c>
      <c r="T2581">
        <v>402</v>
      </c>
      <c r="U2581">
        <v>4</v>
      </c>
      <c r="W2581" t="s">
        <v>106</v>
      </c>
      <c r="AS2581" t="s">
        <v>115</v>
      </c>
    </row>
    <row r="2582" spans="1:45" x14ac:dyDescent="0.35">
      <c r="A2582" t="s">
        <v>45</v>
      </c>
      <c r="B2582" t="s">
        <v>5835</v>
      </c>
      <c r="C2582" t="s">
        <v>139</v>
      </c>
      <c r="D2582" t="s">
        <v>5865</v>
      </c>
      <c r="E2582" t="s">
        <v>5866</v>
      </c>
      <c r="F2582" t="s">
        <v>142</v>
      </c>
      <c r="G2582" t="s">
        <v>5601</v>
      </c>
      <c r="H2582" t="s">
        <v>5867</v>
      </c>
      <c r="J2582" t="str">
        <f>HYPERLINK("https://twitter.com/aryavaani404/status/1757732526716805264","https://twitter.com/aryavaani404/status/1757732526716805264")</f>
        <v>https://twitter.com/aryavaani404/status/1757732526716805264</v>
      </c>
      <c r="O2582">
        <v>0</v>
      </c>
      <c r="P2582">
        <v>0</v>
      </c>
      <c r="Q2582">
        <v>860</v>
      </c>
      <c r="R2582" t="s">
        <v>1946</v>
      </c>
      <c r="S2582">
        <v>0</v>
      </c>
      <c r="T2582">
        <v>0</v>
      </c>
      <c r="U2582">
        <v>0</v>
      </c>
      <c r="W2582" t="s">
        <v>552</v>
      </c>
    </row>
    <row r="2583" spans="1:45" x14ac:dyDescent="0.35">
      <c r="A2583" t="s">
        <v>45</v>
      </c>
      <c r="B2583" t="s">
        <v>5835</v>
      </c>
      <c r="C2583" t="s">
        <v>47</v>
      </c>
      <c r="D2583" t="s">
        <v>5868</v>
      </c>
      <c r="E2583" t="s">
        <v>5868</v>
      </c>
      <c r="F2583" t="s">
        <v>49</v>
      </c>
      <c r="G2583" t="s">
        <v>5869</v>
      </c>
      <c r="H2583" t="s">
        <v>5870</v>
      </c>
      <c r="J2583" t="str">
        <f>HYPERLINK("https://www.facebook.com/357267201017935/posts/3418723634872261/?comment_id=383019284449976","https://www.facebook.com/357267201017935/posts/3418723634872261/?comment_id=383019284449976")</f>
        <v>https://www.facebook.com/357267201017935/posts/3418723634872261/?comment_id=383019284449976</v>
      </c>
      <c r="O2583">
        <v>0</v>
      </c>
      <c r="P2583">
        <v>0</v>
      </c>
      <c r="Q2583">
        <v>0</v>
      </c>
      <c r="S2583">
        <v>0</v>
      </c>
      <c r="T2583">
        <v>0</v>
      </c>
      <c r="U2583">
        <v>0</v>
      </c>
      <c r="W2583" t="s">
        <v>62</v>
      </c>
      <c r="AS2583" t="s">
        <v>375</v>
      </c>
    </row>
    <row r="2584" spans="1:45" x14ac:dyDescent="0.35">
      <c r="A2584" t="s">
        <v>45</v>
      </c>
      <c r="B2584" t="s">
        <v>5835</v>
      </c>
      <c r="C2584" t="s">
        <v>47</v>
      </c>
      <c r="D2584" t="s">
        <v>45</v>
      </c>
      <c r="E2584" t="s">
        <v>45</v>
      </c>
      <c r="F2584" t="s">
        <v>49</v>
      </c>
      <c r="G2584" t="s">
        <v>5871</v>
      </c>
      <c r="H2584" t="s">
        <v>5872</v>
      </c>
      <c r="J2584" t="str">
        <f>HYPERLINK("https://www.facebook.com/454965103328545/posts/771881191636933","https://www.facebook.com/454965103328545/posts/771881191636933")</f>
        <v>https://www.facebook.com/454965103328545/posts/771881191636933</v>
      </c>
      <c r="O2584">
        <v>0</v>
      </c>
      <c r="P2584">
        <v>0</v>
      </c>
      <c r="Q2584">
        <v>0</v>
      </c>
      <c r="S2584">
        <v>2</v>
      </c>
      <c r="T2584">
        <v>43</v>
      </c>
      <c r="U2584">
        <v>0</v>
      </c>
      <c r="W2584" t="s">
        <v>106</v>
      </c>
      <c r="AS2584" t="s">
        <v>115</v>
      </c>
    </row>
    <row r="2585" spans="1:45" x14ac:dyDescent="0.35">
      <c r="A2585" t="s">
        <v>45</v>
      </c>
      <c r="B2585" t="s">
        <v>5835</v>
      </c>
      <c r="C2585" t="s">
        <v>47</v>
      </c>
      <c r="D2585" t="s">
        <v>5510</v>
      </c>
      <c r="E2585" t="s">
        <v>5510</v>
      </c>
      <c r="F2585" t="s">
        <v>142</v>
      </c>
      <c r="G2585" t="s">
        <v>5873</v>
      </c>
      <c r="H2585" t="s">
        <v>5874</v>
      </c>
      <c r="J2585" t="str">
        <f>HYPERLINK("https://www.facebook.com/454965103328545/posts/771158271709225?comment_id=1357399551461811","https://www.facebook.com/454965103328545/posts/771158271709225?comment_id=1357399551461811")</f>
        <v>https://www.facebook.com/454965103328545/posts/771158271709225?comment_id=1357399551461811</v>
      </c>
      <c r="O2585">
        <v>0</v>
      </c>
      <c r="P2585">
        <v>0</v>
      </c>
      <c r="Q2585">
        <v>0</v>
      </c>
      <c r="S2585">
        <v>0</v>
      </c>
      <c r="T2585">
        <v>0</v>
      </c>
      <c r="U2585">
        <v>0</v>
      </c>
      <c r="W2585" t="s">
        <v>62</v>
      </c>
      <c r="AP2585" t="s">
        <v>147</v>
      </c>
      <c r="AS2585" t="s">
        <v>375</v>
      </c>
    </row>
    <row r="2586" spans="1:45" x14ac:dyDescent="0.35">
      <c r="A2586" t="s">
        <v>45</v>
      </c>
      <c r="B2586" t="s">
        <v>5835</v>
      </c>
      <c r="C2586" t="s">
        <v>139</v>
      </c>
      <c r="D2586" t="s">
        <v>5875</v>
      </c>
      <c r="E2586" t="s">
        <v>5876</v>
      </c>
      <c r="F2586" t="s">
        <v>49</v>
      </c>
      <c r="G2586" t="s">
        <v>5877</v>
      </c>
      <c r="H2586" t="s">
        <v>5878</v>
      </c>
      <c r="J2586" t="str">
        <f>HYPERLINK("https://twitter.com/omprakash2357/status/1757677157084746173","https://twitter.com/omprakash2357/status/1757677157084746173")</f>
        <v>https://twitter.com/omprakash2357/status/1757677157084746173</v>
      </c>
      <c r="O2586">
        <v>0</v>
      </c>
      <c r="P2586">
        <v>0</v>
      </c>
      <c r="Q2586">
        <v>5</v>
      </c>
      <c r="S2586">
        <v>0</v>
      </c>
      <c r="T2586">
        <v>0</v>
      </c>
      <c r="U2586">
        <v>0</v>
      </c>
      <c r="W2586" t="s">
        <v>552</v>
      </c>
    </row>
    <row r="2587" spans="1:45" x14ac:dyDescent="0.35">
      <c r="A2587" t="s">
        <v>45</v>
      </c>
      <c r="B2587" t="s">
        <v>5835</v>
      </c>
      <c r="C2587" t="s">
        <v>139</v>
      </c>
      <c r="D2587" t="s">
        <v>4103</v>
      </c>
      <c r="E2587" t="s">
        <v>4104</v>
      </c>
      <c r="F2587" t="s">
        <v>49</v>
      </c>
      <c r="G2587" t="s">
        <v>5879</v>
      </c>
      <c r="H2587" t="s">
        <v>5880</v>
      </c>
      <c r="J2587" t="str">
        <f>HYPERLINK("https://twitter.com/fiaks4knowledge/status/1757668719294136820","https://twitter.com/fiaks4knowledge/status/1757668719294136820")</f>
        <v>https://twitter.com/fiaks4knowledge/status/1757668719294136820</v>
      </c>
      <c r="O2587">
        <v>0</v>
      </c>
      <c r="P2587">
        <v>0</v>
      </c>
      <c r="Q2587">
        <v>154</v>
      </c>
      <c r="R2587" t="s">
        <v>1247</v>
      </c>
      <c r="S2587">
        <v>0</v>
      </c>
      <c r="T2587">
        <v>0</v>
      </c>
      <c r="U2587">
        <v>0</v>
      </c>
      <c r="W2587" t="s">
        <v>146</v>
      </c>
    </row>
    <row r="2588" spans="1:45" x14ac:dyDescent="0.35">
      <c r="A2588" t="s">
        <v>45</v>
      </c>
      <c r="B2588" t="s">
        <v>5835</v>
      </c>
      <c r="C2588" t="s">
        <v>58</v>
      </c>
      <c r="D2588" t="s">
        <v>5881</v>
      </c>
      <c r="E2588" t="s">
        <v>5881</v>
      </c>
      <c r="F2588" t="s">
        <v>49</v>
      </c>
      <c r="G2588" t="s">
        <v>5882</v>
      </c>
      <c r="H2588" t="s">
        <v>5883</v>
      </c>
      <c r="J2588" t="str">
        <f>HYPERLINK("https://www.youtube.com/watch?v=cFaNJ_yYhjg","https://www.youtube.com/watch?v=cFaNJ_yYhjg")</f>
        <v>https://www.youtube.com/watch?v=cFaNJ_yYhjg</v>
      </c>
      <c r="O2588">
        <v>0</v>
      </c>
      <c r="P2588">
        <v>0</v>
      </c>
      <c r="Q2588">
        <v>0</v>
      </c>
      <c r="S2588">
        <v>0</v>
      </c>
      <c r="T2588">
        <v>0</v>
      </c>
      <c r="U2588">
        <v>0</v>
      </c>
      <c r="W2588" t="s">
        <v>106</v>
      </c>
    </row>
    <row r="2589" spans="1:45" x14ac:dyDescent="0.35">
      <c r="A2589" t="s">
        <v>45</v>
      </c>
      <c r="B2589" t="s">
        <v>5835</v>
      </c>
      <c r="C2589" t="s">
        <v>139</v>
      </c>
      <c r="D2589" t="s">
        <v>5884</v>
      </c>
      <c r="E2589" t="s">
        <v>5885</v>
      </c>
      <c r="F2589" t="s">
        <v>49</v>
      </c>
      <c r="G2589" t="s">
        <v>5886</v>
      </c>
      <c r="H2589" t="s">
        <v>5887</v>
      </c>
      <c r="J2589" t="str">
        <f>HYPERLINK("https://twitter.com/Pratham6114661/status/1757645794667364482","https://twitter.com/Pratham6114661/status/1757645794667364482")</f>
        <v>https://twitter.com/Pratham6114661/status/1757645794667364482</v>
      </c>
      <c r="K2589" t="s">
        <v>145</v>
      </c>
      <c r="O2589">
        <v>0</v>
      </c>
      <c r="P2589">
        <v>0</v>
      </c>
      <c r="Q2589">
        <v>0</v>
      </c>
      <c r="S2589">
        <v>0</v>
      </c>
      <c r="T2589">
        <v>0</v>
      </c>
      <c r="U2589">
        <v>0</v>
      </c>
      <c r="W2589" t="s">
        <v>146</v>
      </c>
      <c r="AS2589" t="s">
        <v>375</v>
      </c>
    </row>
    <row r="2590" spans="1:45" x14ac:dyDescent="0.35">
      <c r="A2590" t="s">
        <v>45</v>
      </c>
      <c r="B2590" t="s">
        <v>5835</v>
      </c>
      <c r="C2590" t="s">
        <v>139</v>
      </c>
      <c r="D2590" t="s">
        <v>5888</v>
      </c>
      <c r="E2590" t="s">
        <v>5889</v>
      </c>
      <c r="F2590" t="s">
        <v>76</v>
      </c>
      <c r="G2590" t="s">
        <v>5890</v>
      </c>
      <c r="H2590" t="s">
        <v>5891</v>
      </c>
      <c r="J2590" t="str">
        <f>HYPERLINK("https://twitter.com/Priyankagangati/status/1757637381199425626","https://twitter.com/Priyankagangati/status/1757637381199425626")</f>
        <v>https://twitter.com/Priyankagangati/status/1757637381199425626</v>
      </c>
      <c r="K2590" t="s">
        <v>1769</v>
      </c>
      <c r="O2590">
        <v>0</v>
      </c>
      <c r="P2590">
        <v>0</v>
      </c>
      <c r="Q2590">
        <v>1</v>
      </c>
      <c r="R2590" t="s">
        <v>5892</v>
      </c>
      <c r="S2590">
        <v>0</v>
      </c>
      <c r="T2590">
        <v>0</v>
      </c>
      <c r="U2590">
        <v>0</v>
      </c>
      <c r="W2590" t="s">
        <v>146</v>
      </c>
      <c r="AS2590" t="s">
        <v>375</v>
      </c>
    </row>
    <row r="2591" spans="1:45" x14ac:dyDescent="0.35">
      <c r="A2591" t="s">
        <v>45</v>
      </c>
      <c r="B2591" t="s">
        <v>5835</v>
      </c>
      <c r="C2591" t="s">
        <v>63</v>
      </c>
      <c r="D2591" t="s">
        <v>5893</v>
      </c>
      <c r="E2591" t="s">
        <v>5893</v>
      </c>
      <c r="F2591" t="s">
        <v>49</v>
      </c>
      <c r="G2591" t="s">
        <v>5894</v>
      </c>
      <c r="H2591" t="s">
        <v>5895</v>
      </c>
      <c r="J2591" t="str">
        <f>HYPERLINK("https://www.instagram.com/p/C3SfLgXCrXh/","https://www.instagram.com/p/C3SfLgXCrXh/")</f>
        <v>https://www.instagram.com/p/C3SfLgXCrXh/</v>
      </c>
      <c r="O2591">
        <v>0</v>
      </c>
      <c r="P2591">
        <v>0</v>
      </c>
      <c r="Q2591">
        <v>0</v>
      </c>
      <c r="S2591">
        <v>0</v>
      </c>
      <c r="T2591">
        <v>0</v>
      </c>
      <c r="U2591">
        <v>0</v>
      </c>
      <c r="W2591" t="s">
        <v>62</v>
      </c>
    </row>
    <row r="2592" spans="1:45" x14ac:dyDescent="0.35">
      <c r="A2592" t="s">
        <v>45</v>
      </c>
      <c r="B2592" t="s">
        <v>5835</v>
      </c>
      <c r="C2592" t="s">
        <v>63</v>
      </c>
      <c r="D2592" t="s">
        <v>5893</v>
      </c>
      <c r="E2592" t="s">
        <v>5893</v>
      </c>
      <c r="F2592" t="s">
        <v>76</v>
      </c>
      <c r="G2592" t="s">
        <v>1656</v>
      </c>
      <c r="H2592" t="s">
        <v>5896</v>
      </c>
      <c r="J2592" t="str">
        <f>HYPERLINK("https://www.instagram.com/p/C3SfLgXCrXh/","https://www.instagram.com/p/C3SfLgXCrXh/")</f>
        <v>https://www.instagram.com/p/C3SfLgXCrXh/</v>
      </c>
      <c r="O2592">
        <v>0</v>
      </c>
      <c r="P2592">
        <v>0</v>
      </c>
      <c r="Q2592">
        <v>0</v>
      </c>
      <c r="S2592">
        <v>0</v>
      </c>
      <c r="T2592">
        <v>0</v>
      </c>
      <c r="U2592">
        <v>0</v>
      </c>
      <c r="W2592" t="s">
        <v>62</v>
      </c>
    </row>
    <row r="2593" spans="1:45" x14ac:dyDescent="0.35">
      <c r="A2593" t="s">
        <v>45</v>
      </c>
      <c r="B2593" t="s">
        <v>5835</v>
      </c>
      <c r="C2593" t="s">
        <v>63</v>
      </c>
      <c r="D2593" t="s">
        <v>5893</v>
      </c>
      <c r="E2593" t="s">
        <v>5893</v>
      </c>
      <c r="F2593" t="s">
        <v>49</v>
      </c>
      <c r="G2593" t="s">
        <v>5897</v>
      </c>
      <c r="H2593" t="s">
        <v>5898</v>
      </c>
      <c r="J2593" t="str">
        <f>HYPERLINK("https://www.instagram.com/p/C3SfLgXCrXh/","https://www.instagram.com/p/C3SfLgXCrXh/")</f>
        <v>https://www.instagram.com/p/C3SfLgXCrXh/</v>
      </c>
      <c r="O2593">
        <v>0</v>
      </c>
      <c r="P2593">
        <v>0</v>
      </c>
      <c r="Q2593">
        <v>0</v>
      </c>
      <c r="S2593">
        <v>0</v>
      </c>
      <c r="T2593">
        <v>0</v>
      </c>
      <c r="U2593">
        <v>0</v>
      </c>
      <c r="W2593" t="s">
        <v>62</v>
      </c>
    </row>
    <row r="2594" spans="1:45" x14ac:dyDescent="0.35">
      <c r="A2594" t="s">
        <v>45</v>
      </c>
      <c r="B2594" t="s">
        <v>5835</v>
      </c>
      <c r="C2594" t="s">
        <v>63</v>
      </c>
      <c r="D2594" t="s">
        <v>186</v>
      </c>
      <c r="E2594" t="s">
        <v>186</v>
      </c>
      <c r="F2594" t="s">
        <v>49</v>
      </c>
      <c r="G2594" t="s">
        <v>5899</v>
      </c>
      <c r="H2594" t="s">
        <v>5900</v>
      </c>
      <c r="J2594" t="str">
        <f>HYPERLINK("https://www.instagram.com/reel/C3UBmY7KODR/","https://www.instagram.com/reel/C3UBmY7KODR/")</f>
        <v>https://www.instagram.com/reel/C3UBmY7KODR/</v>
      </c>
      <c r="O2594">
        <v>0</v>
      </c>
      <c r="P2594">
        <v>0</v>
      </c>
      <c r="Q2594">
        <v>0</v>
      </c>
      <c r="S2594">
        <v>0</v>
      </c>
      <c r="T2594">
        <v>73</v>
      </c>
      <c r="U2594">
        <v>0</v>
      </c>
      <c r="W2594" t="s">
        <v>106</v>
      </c>
    </row>
    <row r="2595" spans="1:45" x14ac:dyDescent="0.35">
      <c r="A2595" t="s">
        <v>45</v>
      </c>
      <c r="B2595" t="s">
        <v>5835</v>
      </c>
      <c r="C2595" t="s">
        <v>47</v>
      </c>
      <c r="D2595" t="s">
        <v>45</v>
      </c>
      <c r="E2595" t="s">
        <v>45</v>
      </c>
      <c r="F2595" t="s">
        <v>49</v>
      </c>
      <c r="G2595" t="s">
        <v>5899</v>
      </c>
      <c r="H2595" t="s">
        <v>5901</v>
      </c>
      <c r="J2595" t="str">
        <f>HYPERLINK("https://www.facebook.com/357267201017935_771158271709225","https://www.facebook.com/357267201017935_771158271709225")</f>
        <v>https://www.facebook.com/357267201017935_771158271709225</v>
      </c>
      <c r="O2595">
        <v>0</v>
      </c>
      <c r="P2595">
        <v>0</v>
      </c>
      <c r="Q2595">
        <v>0</v>
      </c>
      <c r="S2595">
        <v>3</v>
      </c>
      <c r="T2595">
        <v>65</v>
      </c>
      <c r="U2595">
        <v>5</v>
      </c>
      <c r="W2595" t="s">
        <v>106</v>
      </c>
    </row>
    <row r="2596" spans="1:45" x14ac:dyDescent="0.35">
      <c r="A2596" t="s">
        <v>45</v>
      </c>
      <c r="B2596" t="s">
        <v>5835</v>
      </c>
      <c r="C2596" t="s">
        <v>139</v>
      </c>
      <c r="D2596" t="s">
        <v>190</v>
      </c>
      <c r="E2596" t="s">
        <v>45</v>
      </c>
      <c r="F2596" t="s">
        <v>49</v>
      </c>
      <c r="G2596" t="s">
        <v>5902</v>
      </c>
      <c r="H2596" t="s">
        <v>5903</v>
      </c>
      <c r="J2596" t="str">
        <f>HYPERLINK("https://twitter.com/FinoPaymntsBank/status/1757608100154986680","https://twitter.com/FinoPaymntsBank/status/1757608100154986680")</f>
        <v>https://twitter.com/FinoPaymntsBank/status/1757608100154986680</v>
      </c>
      <c r="K2596" t="s">
        <v>145</v>
      </c>
      <c r="O2596">
        <v>0</v>
      </c>
      <c r="P2596">
        <v>0</v>
      </c>
      <c r="Q2596">
        <v>8377</v>
      </c>
      <c r="R2596" t="s">
        <v>193</v>
      </c>
      <c r="S2596">
        <v>0</v>
      </c>
      <c r="T2596">
        <v>0</v>
      </c>
      <c r="U2596">
        <v>0</v>
      </c>
      <c r="W2596" t="s">
        <v>146</v>
      </c>
    </row>
    <row r="2597" spans="1:45" x14ac:dyDescent="0.35">
      <c r="A2597" t="s">
        <v>45</v>
      </c>
      <c r="B2597" t="s">
        <v>5835</v>
      </c>
      <c r="C2597" t="s">
        <v>58</v>
      </c>
      <c r="D2597" t="s">
        <v>45</v>
      </c>
      <c r="E2597" t="s">
        <v>45</v>
      </c>
      <c r="F2597" t="s">
        <v>49</v>
      </c>
      <c r="G2597" t="s">
        <v>5904</v>
      </c>
      <c r="H2597" t="s">
        <v>5903</v>
      </c>
      <c r="J2597" t="str">
        <f>HYPERLINK("https://www.youtube.com/watch?v=1mn3dk7wuRI","https://www.youtube.com/watch?v=1mn3dk7wuRI")</f>
        <v>https://www.youtube.com/watch?v=1mn3dk7wuRI</v>
      </c>
      <c r="O2597">
        <v>0</v>
      </c>
      <c r="P2597">
        <v>0</v>
      </c>
      <c r="Q2597">
        <v>0</v>
      </c>
      <c r="S2597">
        <v>0</v>
      </c>
      <c r="T2597">
        <v>0</v>
      </c>
      <c r="U2597">
        <v>0</v>
      </c>
      <c r="W2597" t="s">
        <v>106</v>
      </c>
    </row>
    <row r="2598" spans="1:45" x14ac:dyDescent="0.35">
      <c r="A2598" t="s">
        <v>45</v>
      </c>
      <c r="B2598" t="s">
        <v>5835</v>
      </c>
      <c r="C2598" t="s">
        <v>47</v>
      </c>
      <c r="D2598" t="s">
        <v>1117</v>
      </c>
      <c r="E2598" t="s">
        <v>1117</v>
      </c>
      <c r="F2598" t="s">
        <v>76</v>
      </c>
      <c r="G2598" t="s">
        <v>5905</v>
      </c>
      <c r="H2598" t="s">
        <v>5906</v>
      </c>
      <c r="J2598" t="str">
        <f>HYPERLINK("https://www.facebook.com/357267201017935/inbox/5367043763373562/","https://www.facebook.com/357267201017935/inbox/5367043763373562/")</f>
        <v>https://www.facebook.com/357267201017935/inbox/5367043763373562/</v>
      </c>
      <c r="O2598">
        <v>0</v>
      </c>
      <c r="P2598">
        <v>0</v>
      </c>
      <c r="Q2598">
        <v>0</v>
      </c>
      <c r="S2598">
        <v>0</v>
      </c>
      <c r="T2598">
        <v>0</v>
      </c>
      <c r="U2598">
        <v>0</v>
      </c>
      <c r="W2598" t="s">
        <v>52</v>
      </c>
    </row>
    <row r="2599" spans="1:45" x14ac:dyDescent="0.35">
      <c r="A2599" t="s">
        <v>45</v>
      </c>
      <c r="B2599" t="s">
        <v>5835</v>
      </c>
      <c r="C2599" t="s">
        <v>58</v>
      </c>
      <c r="D2599" t="s">
        <v>955</v>
      </c>
      <c r="E2599" t="s">
        <v>955</v>
      </c>
      <c r="F2599" t="s">
        <v>142</v>
      </c>
      <c r="G2599" t="s">
        <v>5907</v>
      </c>
      <c r="H2599" t="s">
        <v>5908</v>
      </c>
      <c r="J2599" t="str">
        <f>HYPERLINK("https://www.youtube.com/watch?v=0RCGYB0fGDE","https://www.youtube.com/watch?v=0RCGYB0fGDE")</f>
        <v>https://www.youtube.com/watch?v=0RCGYB0fGDE</v>
      </c>
      <c r="O2599">
        <v>0</v>
      </c>
      <c r="P2599">
        <v>0</v>
      </c>
      <c r="Q2599">
        <v>0</v>
      </c>
      <c r="S2599">
        <v>0</v>
      </c>
      <c r="T2599">
        <v>0</v>
      </c>
      <c r="U2599">
        <v>0</v>
      </c>
      <c r="W2599" t="s">
        <v>106</v>
      </c>
      <c r="AP2599" t="s">
        <v>147</v>
      </c>
    </row>
    <row r="2600" spans="1:45" x14ac:dyDescent="0.35">
      <c r="A2600" t="s">
        <v>45</v>
      </c>
      <c r="B2600" t="s">
        <v>5835</v>
      </c>
      <c r="C2600" t="s">
        <v>63</v>
      </c>
      <c r="D2600" t="s">
        <v>186</v>
      </c>
      <c r="E2600" t="s">
        <v>186</v>
      </c>
      <c r="F2600" t="s">
        <v>49</v>
      </c>
      <c r="G2600" t="s">
        <v>5909</v>
      </c>
      <c r="H2600" t="s">
        <v>5910</v>
      </c>
      <c r="J2600" t="str">
        <f>HYPERLINK("https://www.instagram.com/p/C3T6pe6hG2p/","https://www.instagram.com/p/C3T6pe6hG2p/")</f>
        <v>https://www.instagram.com/p/C3T6pe6hG2p/</v>
      </c>
      <c r="O2600">
        <v>0</v>
      </c>
      <c r="P2600">
        <v>0</v>
      </c>
      <c r="Q2600">
        <v>0</v>
      </c>
      <c r="S2600">
        <v>0</v>
      </c>
      <c r="T2600">
        <v>108</v>
      </c>
      <c r="U2600">
        <v>0</v>
      </c>
      <c r="W2600" t="s">
        <v>106</v>
      </c>
    </row>
    <row r="2601" spans="1:45" x14ac:dyDescent="0.35">
      <c r="A2601" t="s">
        <v>45</v>
      </c>
      <c r="B2601" t="s">
        <v>5835</v>
      </c>
      <c r="C2601" t="s">
        <v>47</v>
      </c>
      <c r="D2601" t="s">
        <v>45</v>
      </c>
      <c r="E2601" t="s">
        <v>45</v>
      </c>
      <c r="F2601" t="s">
        <v>49</v>
      </c>
      <c r="G2601" t="s">
        <v>5909</v>
      </c>
      <c r="H2601" t="s">
        <v>5911</v>
      </c>
      <c r="J2601" t="str">
        <f>HYPERLINK("https://www.facebook.com/357267201017935_770689661756086","https://www.facebook.com/357267201017935_770689661756086")</f>
        <v>https://www.facebook.com/357267201017935_770689661756086</v>
      </c>
      <c r="O2601">
        <v>0</v>
      </c>
      <c r="P2601">
        <v>0</v>
      </c>
      <c r="Q2601">
        <v>0</v>
      </c>
      <c r="S2601">
        <v>0</v>
      </c>
      <c r="T2601">
        <v>80</v>
      </c>
      <c r="U2601">
        <v>10</v>
      </c>
      <c r="W2601" t="s">
        <v>106</v>
      </c>
    </row>
    <row r="2602" spans="1:45" x14ac:dyDescent="0.35">
      <c r="A2602" t="s">
        <v>45</v>
      </c>
      <c r="B2602" t="s">
        <v>5835</v>
      </c>
      <c r="C2602" t="s">
        <v>139</v>
      </c>
      <c r="D2602" t="s">
        <v>190</v>
      </c>
      <c r="E2602" t="s">
        <v>45</v>
      </c>
      <c r="F2602" t="s">
        <v>49</v>
      </c>
      <c r="G2602" t="s">
        <v>5877</v>
      </c>
      <c r="H2602" t="s">
        <v>5912</v>
      </c>
      <c r="J2602" t="str">
        <f>HYPERLINK("https://twitter.com/FinoPaymntsBank/status/1757593000215982483","https://twitter.com/FinoPaymntsBank/status/1757593000215982483")</f>
        <v>https://twitter.com/FinoPaymntsBank/status/1757593000215982483</v>
      </c>
      <c r="K2602" t="s">
        <v>145</v>
      </c>
      <c r="O2602">
        <v>0</v>
      </c>
      <c r="P2602">
        <v>0</v>
      </c>
      <c r="Q2602">
        <v>8377</v>
      </c>
      <c r="R2602" t="s">
        <v>193</v>
      </c>
      <c r="S2602">
        <v>0</v>
      </c>
      <c r="T2602">
        <v>0</v>
      </c>
      <c r="U2602">
        <v>0</v>
      </c>
      <c r="W2602" t="s">
        <v>146</v>
      </c>
    </row>
    <row r="2603" spans="1:45" x14ac:dyDescent="0.35">
      <c r="A2603" t="s">
        <v>45</v>
      </c>
      <c r="B2603" t="s">
        <v>5835</v>
      </c>
      <c r="C2603" t="s">
        <v>139</v>
      </c>
      <c r="D2603" t="s">
        <v>5913</v>
      </c>
      <c r="E2603" t="s">
        <v>5914</v>
      </c>
      <c r="F2603" t="s">
        <v>49</v>
      </c>
      <c r="G2603" t="s">
        <v>5915</v>
      </c>
      <c r="H2603" t="s">
        <v>5916</v>
      </c>
      <c r="J2603" t="str">
        <f>HYPERLINK("https://twitter.com/fidolkastro/status/1757586375443140648","https://twitter.com/fidolkastro/status/1757586375443140648")</f>
        <v>https://twitter.com/fidolkastro/status/1757586375443140648</v>
      </c>
      <c r="K2603" t="s">
        <v>145</v>
      </c>
      <c r="O2603">
        <v>0</v>
      </c>
      <c r="P2603">
        <v>0</v>
      </c>
      <c r="Q2603">
        <v>9</v>
      </c>
      <c r="R2603" t="s">
        <v>5917</v>
      </c>
      <c r="S2603">
        <v>0</v>
      </c>
      <c r="T2603">
        <v>0</v>
      </c>
      <c r="U2603">
        <v>0</v>
      </c>
      <c r="W2603" t="s">
        <v>552</v>
      </c>
    </row>
    <row r="2604" spans="1:45" x14ac:dyDescent="0.35">
      <c r="A2604" t="s">
        <v>45</v>
      </c>
      <c r="B2604" t="s">
        <v>5918</v>
      </c>
      <c r="C2604" t="s">
        <v>47</v>
      </c>
      <c r="D2604" t="s">
        <v>4488</v>
      </c>
      <c r="E2604" t="s">
        <v>4488</v>
      </c>
      <c r="F2604" t="s">
        <v>49</v>
      </c>
      <c r="G2604" t="s">
        <v>5919</v>
      </c>
      <c r="H2604" t="s">
        <v>5920</v>
      </c>
      <c r="J2604" t="str">
        <f>HYPERLINK("https://www.facebook.com/454965103328545/posts/768715968620122?comment_id=349772334552910","https://www.facebook.com/454965103328545/posts/768715968620122?comment_id=349772334552910")</f>
        <v>https://www.facebook.com/454965103328545/posts/768715968620122?comment_id=349772334552910</v>
      </c>
      <c r="O2604">
        <v>0</v>
      </c>
      <c r="P2604">
        <v>0</v>
      </c>
      <c r="Q2604">
        <v>0</v>
      </c>
      <c r="S2604">
        <v>0</v>
      </c>
      <c r="T2604">
        <v>0</v>
      </c>
      <c r="U2604">
        <v>0</v>
      </c>
      <c r="W2604" t="s">
        <v>62</v>
      </c>
      <c r="AS2604" t="s">
        <v>375</v>
      </c>
    </row>
    <row r="2605" spans="1:45" x14ac:dyDescent="0.35">
      <c r="A2605" t="s">
        <v>45</v>
      </c>
      <c r="B2605" t="s">
        <v>5918</v>
      </c>
      <c r="C2605" t="s">
        <v>63</v>
      </c>
      <c r="D2605" t="s">
        <v>5921</v>
      </c>
      <c r="E2605" t="s">
        <v>5921</v>
      </c>
      <c r="F2605" t="s">
        <v>49</v>
      </c>
      <c r="G2605" t="s">
        <v>5922</v>
      </c>
      <c r="H2605" t="s">
        <v>5923</v>
      </c>
      <c r="J2605" t="str">
        <f>HYPERLINK("https://www.instagram.com/p/C3STpmmtUC6/","https://www.instagram.com/p/C3STpmmtUC6/")</f>
        <v>https://www.instagram.com/p/C3STpmmtUC6/</v>
      </c>
      <c r="O2605">
        <v>0</v>
      </c>
      <c r="P2605">
        <v>0</v>
      </c>
      <c r="Q2605">
        <v>0</v>
      </c>
      <c r="S2605">
        <v>0</v>
      </c>
      <c r="T2605">
        <v>0</v>
      </c>
      <c r="U2605">
        <v>0</v>
      </c>
      <c r="W2605" t="s">
        <v>62</v>
      </c>
    </row>
    <row r="2606" spans="1:45" x14ac:dyDescent="0.35">
      <c r="A2606" t="s">
        <v>45</v>
      </c>
      <c r="B2606" t="s">
        <v>5918</v>
      </c>
      <c r="C2606" t="s">
        <v>47</v>
      </c>
      <c r="D2606" t="s">
        <v>5924</v>
      </c>
      <c r="E2606" t="s">
        <v>5924</v>
      </c>
      <c r="F2606" t="s">
        <v>49</v>
      </c>
      <c r="G2606" t="s">
        <v>5925</v>
      </c>
      <c r="H2606" t="s">
        <v>5926</v>
      </c>
      <c r="J2606" t="str">
        <f>HYPERLINK("https://www.facebook.com/454965103328545/posts/755939476564438?comment_id=7059624540798127&amp;reply_comment_id=729203632654983","https://www.facebook.com/454965103328545/posts/755939476564438?comment_id=7059624540798127&amp;reply_comment_id=729203632654983")</f>
        <v>https://www.facebook.com/454965103328545/posts/755939476564438?comment_id=7059624540798127&amp;reply_comment_id=729203632654983</v>
      </c>
      <c r="O2606">
        <v>0</v>
      </c>
      <c r="P2606">
        <v>0</v>
      </c>
      <c r="Q2606">
        <v>0</v>
      </c>
      <c r="S2606">
        <v>0</v>
      </c>
      <c r="T2606">
        <v>0</v>
      </c>
      <c r="U2606">
        <v>0</v>
      </c>
      <c r="W2606" t="s">
        <v>106</v>
      </c>
      <c r="AP2606" t="s">
        <v>94</v>
      </c>
      <c r="AS2606" t="s">
        <v>375</v>
      </c>
    </row>
    <row r="2607" spans="1:45" x14ac:dyDescent="0.35">
      <c r="A2607" t="s">
        <v>45</v>
      </c>
      <c r="B2607" t="s">
        <v>5918</v>
      </c>
      <c r="C2607" t="s">
        <v>63</v>
      </c>
      <c r="D2607" t="s">
        <v>5927</v>
      </c>
      <c r="E2607" t="s">
        <v>5927</v>
      </c>
      <c r="F2607" t="s">
        <v>76</v>
      </c>
      <c r="G2607" t="s">
        <v>5928</v>
      </c>
      <c r="H2607" t="s">
        <v>5929</v>
      </c>
      <c r="J2607" t="str">
        <f>HYPERLINK("https://www.instagram.com/p/C3SfLgXCrXh/","https://www.instagram.com/p/C3SfLgXCrXh/")</f>
        <v>https://www.instagram.com/p/C3SfLgXCrXh/</v>
      </c>
      <c r="O2607">
        <v>0</v>
      </c>
      <c r="P2607">
        <v>0</v>
      </c>
      <c r="Q2607">
        <v>0</v>
      </c>
      <c r="S2607">
        <v>0</v>
      </c>
      <c r="T2607">
        <v>0</v>
      </c>
      <c r="U2607">
        <v>0</v>
      </c>
      <c r="W2607" t="s">
        <v>62</v>
      </c>
    </row>
    <row r="2608" spans="1:45" x14ac:dyDescent="0.35">
      <c r="A2608" t="s">
        <v>45</v>
      </c>
      <c r="B2608" t="s">
        <v>5918</v>
      </c>
      <c r="C2608" t="s">
        <v>63</v>
      </c>
      <c r="D2608" t="s">
        <v>5930</v>
      </c>
      <c r="E2608" t="s">
        <v>5930</v>
      </c>
      <c r="F2608" t="s">
        <v>49</v>
      </c>
      <c r="G2608" t="s">
        <v>5931</v>
      </c>
      <c r="H2608" t="s">
        <v>5932</v>
      </c>
      <c r="J2608" t="str">
        <f>HYPERLINK("https://www.instagram.com/p/C3SfLgXCrXh/","https://www.instagram.com/p/C3SfLgXCrXh/")</f>
        <v>https://www.instagram.com/p/C3SfLgXCrXh/</v>
      </c>
      <c r="O2608">
        <v>0</v>
      </c>
      <c r="P2608">
        <v>0</v>
      </c>
      <c r="Q2608">
        <v>0</v>
      </c>
      <c r="S2608">
        <v>0</v>
      </c>
      <c r="T2608">
        <v>0</v>
      </c>
      <c r="U2608">
        <v>0</v>
      </c>
      <c r="W2608" t="s">
        <v>62</v>
      </c>
    </row>
    <row r="2609" spans="1:45" x14ac:dyDescent="0.35">
      <c r="A2609" t="s">
        <v>45</v>
      </c>
      <c r="B2609" t="s">
        <v>5918</v>
      </c>
      <c r="C2609" t="s">
        <v>139</v>
      </c>
      <c r="D2609" t="s">
        <v>4289</v>
      </c>
      <c r="E2609" t="s">
        <v>4290</v>
      </c>
      <c r="F2609" t="s">
        <v>49</v>
      </c>
      <c r="G2609" t="s">
        <v>5933</v>
      </c>
      <c r="H2609" t="s">
        <v>5934</v>
      </c>
      <c r="J2609" t="str">
        <f>HYPERLINK("https://twitter.com/TinkuYadav9334/status/1757419747577405930","https://twitter.com/TinkuYadav9334/status/1757419747577405930")</f>
        <v>https://twitter.com/TinkuYadav9334/status/1757419747577405930</v>
      </c>
      <c r="K2609" t="s">
        <v>145</v>
      </c>
      <c r="O2609">
        <v>0</v>
      </c>
      <c r="P2609">
        <v>0</v>
      </c>
      <c r="Q2609">
        <v>2</v>
      </c>
      <c r="R2609" t="s">
        <v>4293</v>
      </c>
      <c r="S2609">
        <v>0</v>
      </c>
      <c r="T2609">
        <v>0</v>
      </c>
      <c r="U2609">
        <v>0</v>
      </c>
      <c r="W2609" t="s">
        <v>146</v>
      </c>
      <c r="Y2609" t="s">
        <v>5935</v>
      </c>
      <c r="Z2609" t="s">
        <v>613</v>
      </c>
      <c r="AA2609" t="s">
        <v>614</v>
      </c>
    </row>
    <row r="2610" spans="1:45" x14ac:dyDescent="0.35">
      <c r="A2610" t="s">
        <v>45</v>
      </c>
      <c r="B2610" t="s">
        <v>5918</v>
      </c>
      <c r="C2610" t="s">
        <v>47</v>
      </c>
      <c r="D2610" t="s">
        <v>5936</v>
      </c>
      <c r="E2610" t="s">
        <v>5936</v>
      </c>
      <c r="F2610" t="s">
        <v>49</v>
      </c>
      <c r="G2610">
        <v>8521243689</v>
      </c>
      <c r="H2610" t="s">
        <v>5937</v>
      </c>
      <c r="J2610" t="str">
        <f>HYPERLINK("https://www.facebook.com/454965103328545/posts/768116778680041?comment_id=7517897161574707","https://www.facebook.com/454965103328545/posts/768116778680041?comment_id=7517897161574707")</f>
        <v>https://www.facebook.com/454965103328545/posts/768116778680041?comment_id=7517897161574707</v>
      </c>
      <c r="O2610">
        <v>0</v>
      </c>
      <c r="P2610">
        <v>0</v>
      </c>
      <c r="Q2610">
        <v>0</v>
      </c>
      <c r="S2610">
        <v>0</v>
      </c>
      <c r="T2610">
        <v>0</v>
      </c>
      <c r="U2610">
        <v>0</v>
      </c>
      <c r="W2610" t="s">
        <v>62</v>
      </c>
      <c r="Y2610" t="s">
        <v>5938</v>
      </c>
      <c r="Z2610" t="s">
        <v>613</v>
      </c>
      <c r="AA2610" t="s">
        <v>614</v>
      </c>
    </row>
    <row r="2611" spans="1:45" x14ac:dyDescent="0.35">
      <c r="A2611" t="s">
        <v>45</v>
      </c>
      <c r="B2611" t="s">
        <v>5918</v>
      </c>
      <c r="C2611" t="s">
        <v>47</v>
      </c>
      <c r="D2611" t="s">
        <v>5939</v>
      </c>
      <c r="E2611" t="s">
        <v>5939</v>
      </c>
      <c r="F2611" t="s">
        <v>49</v>
      </c>
      <c r="G2611" t="s">
        <v>5940</v>
      </c>
      <c r="H2611" t="s">
        <v>5941</v>
      </c>
      <c r="J2611" t="str">
        <f>HYPERLINK("https://www.facebook.com/357267201017935/inbox/6988906087853980/","https://www.facebook.com/357267201017935/inbox/6988906087853980/")</f>
        <v>https://www.facebook.com/357267201017935/inbox/6988906087853980/</v>
      </c>
      <c r="O2611">
        <v>0</v>
      </c>
      <c r="P2611">
        <v>0</v>
      </c>
      <c r="Q2611">
        <v>0</v>
      </c>
      <c r="S2611">
        <v>0</v>
      </c>
      <c r="T2611">
        <v>0</v>
      </c>
      <c r="U2611">
        <v>0</v>
      </c>
      <c r="W2611" t="s">
        <v>52</v>
      </c>
      <c r="Y2611" t="s">
        <v>5942</v>
      </c>
      <c r="Z2611" t="s">
        <v>613</v>
      </c>
      <c r="AA2611" t="s">
        <v>614</v>
      </c>
    </row>
    <row r="2612" spans="1:45" x14ac:dyDescent="0.35">
      <c r="A2612" t="s">
        <v>45</v>
      </c>
      <c r="B2612" t="s">
        <v>5918</v>
      </c>
      <c r="C2612" t="s">
        <v>47</v>
      </c>
      <c r="D2612" t="s">
        <v>5943</v>
      </c>
      <c r="E2612" t="s">
        <v>5943</v>
      </c>
      <c r="F2612" t="s">
        <v>49</v>
      </c>
      <c r="G2612" t="s">
        <v>5944</v>
      </c>
      <c r="H2612" t="s">
        <v>5945</v>
      </c>
      <c r="J2612" t="str">
        <f>HYPERLINK("https://www.facebook.com/357267201017935/inbox/7036633043081284/","https://www.facebook.com/357267201017935/inbox/7036633043081284/")</f>
        <v>https://www.facebook.com/357267201017935/inbox/7036633043081284/</v>
      </c>
      <c r="O2612">
        <v>0</v>
      </c>
      <c r="P2612">
        <v>0</v>
      </c>
      <c r="Q2612">
        <v>0</v>
      </c>
      <c r="S2612">
        <v>0</v>
      </c>
      <c r="T2612">
        <v>0</v>
      </c>
      <c r="U2612">
        <v>0</v>
      </c>
      <c r="W2612" t="s">
        <v>52</v>
      </c>
      <c r="AS2612" t="s">
        <v>375</v>
      </c>
    </row>
    <row r="2613" spans="1:45" x14ac:dyDescent="0.35">
      <c r="A2613" t="s">
        <v>45</v>
      </c>
      <c r="B2613" t="s">
        <v>5918</v>
      </c>
      <c r="C2613" t="s">
        <v>47</v>
      </c>
      <c r="D2613" t="s">
        <v>4488</v>
      </c>
      <c r="E2613" t="s">
        <v>4488</v>
      </c>
      <c r="F2613" t="s">
        <v>49</v>
      </c>
      <c r="G2613" t="s">
        <v>5919</v>
      </c>
      <c r="H2613" t="s">
        <v>5946</v>
      </c>
      <c r="J2613" t="str">
        <f>HYPERLINK("https://www.facebook.com/454965103328545/posts/766283632196689?comment_id=758748785832485","https://www.facebook.com/454965103328545/posts/766283632196689?comment_id=758748785832485")</f>
        <v>https://www.facebook.com/454965103328545/posts/766283632196689?comment_id=758748785832485</v>
      </c>
      <c r="O2613">
        <v>0</v>
      </c>
      <c r="P2613">
        <v>0</v>
      </c>
      <c r="Q2613">
        <v>0</v>
      </c>
      <c r="S2613">
        <v>0</v>
      </c>
      <c r="T2613">
        <v>0</v>
      </c>
      <c r="U2613">
        <v>0</v>
      </c>
      <c r="W2613" t="s">
        <v>62</v>
      </c>
      <c r="AS2613" t="s">
        <v>375</v>
      </c>
    </row>
    <row r="2614" spans="1:45" x14ac:dyDescent="0.35">
      <c r="A2614" t="s">
        <v>45</v>
      </c>
      <c r="B2614" t="s">
        <v>5918</v>
      </c>
      <c r="C2614" t="s">
        <v>47</v>
      </c>
      <c r="D2614" t="s">
        <v>1117</v>
      </c>
      <c r="E2614" t="s">
        <v>1117</v>
      </c>
      <c r="F2614" t="s">
        <v>76</v>
      </c>
      <c r="G2614" t="s">
        <v>1118</v>
      </c>
      <c r="H2614" t="s">
        <v>5947</v>
      </c>
      <c r="J2614" t="str">
        <f>HYPERLINK("https://www.facebook.com/357267201017935/inbox/5367043763373562/","https://www.facebook.com/357267201017935/inbox/5367043763373562/")</f>
        <v>https://www.facebook.com/357267201017935/inbox/5367043763373562/</v>
      </c>
      <c r="O2614">
        <v>0</v>
      </c>
      <c r="P2614">
        <v>0</v>
      </c>
      <c r="Q2614">
        <v>0</v>
      </c>
      <c r="S2614">
        <v>0</v>
      </c>
      <c r="T2614">
        <v>0</v>
      </c>
      <c r="U2614">
        <v>0</v>
      </c>
      <c r="W2614" t="s">
        <v>52</v>
      </c>
    </row>
    <row r="2615" spans="1:45" x14ac:dyDescent="0.35">
      <c r="A2615" t="s">
        <v>45</v>
      </c>
      <c r="B2615" t="s">
        <v>5918</v>
      </c>
      <c r="C2615" t="s">
        <v>63</v>
      </c>
      <c r="D2615" t="s">
        <v>186</v>
      </c>
      <c r="E2615" t="s">
        <v>186</v>
      </c>
      <c r="F2615" t="s">
        <v>49</v>
      </c>
      <c r="G2615" t="s">
        <v>5948</v>
      </c>
      <c r="H2615" t="s">
        <v>5949</v>
      </c>
      <c r="J2615" t="str">
        <f>HYPERLINK("https://www.instagram.com/p/C3SfLgXCrXh/","https://www.instagram.com/p/C3SfLgXCrXh/")</f>
        <v>https://www.instagram.com/p/C3SfLgXCrXh/</v>
      </c>
      <c r="O2615">
        <v>0</v>
      </c>
      <c r="P2615">
        <v>0</v>
      </c>
      <c r="Q2615">
        <v>0</v>
      </c>
      <c r="S2615">
        <v>6</v>
      </c>
      <c r="T2615">
        <v>110</v>
      </c>
      <c r="U2615">
        <v>0</v>
      </c>
      <c r="W2615" t="s">
        <v>106</v>
      </c>
    </row>
    <row r="2616" spans="1:45" x14ac:dyDescent="0.35">
      <c r="A2616" t="s">
        <v>45</v>
      </c>
      <c r="B2616" t="s">
        <v>5918</v>
      </c>
      <c r="C2616" t="s">
        <v>47</v>
      </c>
      <c r="D2616" t="s">
        <v>5950</v>
      </c>
      <c r="E2616" t="s">
        <v>5950</v>
      </c>
      <c r="F2616" t="s">
        <v>76</v>
      </c>
      <c r="G2616" t="s">
        <v>5951</v>
      </c>
      <c r="H2616" t="s">
        <v>5952</v>
      </c>
      <c r="J2616" t="str">
        <f>HYPERLINK("https://www.facebook.com/357267201017935/inbox/7036324029778852/","https://www.facebook.com/357267201017935/inbox/7036324029778852/")</f>
        <v>https://www.facebook.com/357267201017935/inbox/7036324029778852/</v>
      </c>
      <c r="O2616">
        <v>0</v>
      </c>
      <c r="P2616">
        <v>0</v>
      </c>
      <c r="Q2616">
        <v>0</v>
      </c>
      <c r="S2616">
        <v>0</v>
      </c>
      <c r="T2616">
        <v>0</v>
      </c>
      <c r="U2616">
        <v>0</v>
      </c>
      <c r="W2616" t="s">
        <v>52</v>
      </c>
      <c r="AO2616" t="s">
        <v>67</v>
      </c>
      <c r="AS2616" t="s">
        <v>375</v>
      </c>
    </row>
    <row r="2617" spans="1:45" x14ac:dyDescent="0.35">
      <c r="A2617" t="s">
        <v>45</v>
      </c>
      <c r="B2617" t="s">
        <v>5918</v>
      </c>
      <c r="C2617" t="s">
        <v>47</v>
      </c>
      <c r="D2617" t="s">
        <v>3912</v>
      </c>
      <c r="E2617" t="s">
        <v>3912</v>
      </c>
      <c r="F2617" t="s">
        <v>49</v>
      </c>
      <c r="G2617" t="s">
        <v>5953</v>
      </c>
      <c r="H2617" t="s">
        <v>5954</v>
      </c>
      <c r="J2617" t="str">
        <f>HYPERLINK("https://www.facebook.com/454965103328545/posts/768116778680041?comment_id=742968817766691&amp;reply_comment_id=304339092630390","https://www.facebook.com/454965103328545/posts/768116778680041?comment_id=742968817766691&amp;reply_comment_id=304339092630390")</f>
        <v>https://www.facebook.com/454965103328545/posts/768116778680041?comment_id=742968817766691&amp;reply_comment_id=304339092630390</v>
      </c>
      <c r="O2617">
        <v>0</v>
      </c>
      <c r="P2617">
        <v>0</v>
      </c>
      <c r="Q2617">
        <v>0</v>
      </c>
      <c r="S2617">
        <v>0</v>
      </c>
      <c r="T2617">
        <v>0</v>
      </c>
      <c r="U2617">
        <v>0</v>
      </c>
      <c r="W2617" t="s">
        <v>62</v>
      </c>
      <c r="Y2617" t="s">
        <v>5955</v>
      </c>
      <c r="Z2617" t="s">
        <v>613</v>
      </c>
      <c r="AA2617" t="s">
        <v>614</v>
      </c>
      <c r="AS2617" t="s">
        <v>375</v>
      </c>
    </row>
    <row r="2618" spans="1:45" x14ac:dyDescent="0.35">
      <c r="A2618" t="s">
        <v>45</v>
      </c>
      <c r="B2618" t="s">
        <v>5918</v>
      </c>
      <c r="C2618" t="s">
        <v>47</v>
      </c>
      <c r="D2618" t="s">
        <v>5510</v>
      </c>
      <c r="E2618" t="s">
        <v>5510</v>
      </c>
      <c r="F2618" t="s">
        <v>49</v>
      </c>
      <c r="G2618" t="s">
        <v>5956</v>
      </c>
      <c r="H2618" t="s">
        <v>5957</v>
      </c>
      <c r="J2618" t="str">
        <f>HYPERLINK("https://www.facebook.com/454965103328545/posts/768116778680041?comment_id=412060081223490&amp;reply_comment_id=922653012838905","https://www.facebook.com/454965103328545/posts/768116778680041?comment_id=412060081223490&amp;reply_comment_id=922653012838905")</f>
        <v>https://www.facebook.com/454965103328545/posts/768116778680041?comment_id=412060081223490&amp;reply_comment_id=922653012838905</v>
      </c>
      <c r="O2618">
        <v>0</v>
      </c>
      <c r="P2618">
        <v>0</v>
      </c>
      <c r="Q2618">
        <v>0</v>
      </c>
      <c r="S2618">
        <v>0</v>
      </c>
      <c r="T2618">
        <v>0</v>
      </c>
      <c r="U2618">
        <v>0</v>
      </c>
      <c r="W2618" t="s">
        <v>62</v>
      </c>
      <c r="Y2618" t="s">
        <v>5958</v>
      </c>
      <c r="Z2618" t="s">
        <v>613</v>
      </c>
      <c r="AA2618" t="s">
        <v>614</v>
      </c>
    </row>
    <row r="2619" spans="1:45" x14ac:dyDescent="0.35">
      <c r="A2619" t="s">
        <v>45</v>
      </c>
      <c r="B2619" t="s">
        <v>5918</v>
      </c>
      <c r="C2619" t="s">
        <v>47</v>
      </c>
      <c r="D2619" t="s">
        <v>3912</v>
      </c>
      <c r="E2619" t="s">
        <v>3912</v>
      </c>
      <c r="F2619" t="s">
        <v>49</v>
      </c>
      <c r="G2619" t="s">
        <v>5959</v>
      </c>
      <c r="H2619" t="s">
        <v>5960</v>
      </c>
      <c r="J2619" t="str">
        <f>HYPERLINK("https://www.facebook.com/357267201017935/inbox/6704881606256431/","https://www.facebook.com/357267201017935/inbox/6704881606256431/")</f>
        <v>https://www.facebook.com/357267201017935/inbox/6704881606256431/</v>
      </c>
      <c r="O2619">
        <v>0</v>
      </c>
      <c r="P2619">
        <v>0</v>
      </c>
      <c r="Q2619">
        <v>0</v>
      </c>
      <c r="S2619">
        <v>0</v>
      </c>
      <c r="T2619">
        <v>0</v>
      </c>
      <c r="U2619">
        <v>0</v>
      </c>
      <c r="W2619" t="s">
        <v>52</v>
      </c>
    </row>
    <row r="2620" spans="1:45" x14ac:dyDescent="0.35">
      <c r="A2620" t="s">
        <v>45</v>
      </c>
      <c r="B2620" t="s">
        <v>5918</v>
      </c>
      <c r="C2620" t="s">
        <v>47</v>
      </c>
      <c r="D2620" t="s">
        <v>1954</v>
      </c>
      <c r="E2620" t="s">
        <v>1954</v>
      </c>
      <c r="F2620" t="s">
        <v>49</v>
      </c>
      <c r="G2620" t="s">
        <v>5961</v>
      </c>
      <c r="H2620" t="s">
        <v>5962</v>
      </c>
      <c r="J2620" t="str">
        <f>HYPERLINK("https://www.facebook.com/454965103328545/posts/768116778680041?comment_id=747024650722006","https://www.facebook.com/454965103328545/posts/768116778680041?comment_id=747024650722006")</f>
        <v>https://www.facebook.com/454965103328545/posts/768116778680041?comment_id=747024650722006</v>
      </c>
      <c r="O2620">
        <v>0</v>
      </c>
      <c r="P2620">
        <v>0</v>
      </c>
      <c r="Q2620">
        <v>0</v>
      </c>
      <c r="S2620">
        <v>0</v>
      </c>
      <c r="T2620">
        <v>0</v>
      </c>
      <c r="U2620">
        <v>0</v>
      </c>
      <c r="W2620" t="s">
        <v>62</v>
      </c>
      <c r="AS2620" t="s">
        <v>375</v>
      </c>
    </row>
    <row r="2621" spans="1:45" x14ac:dyDescent="0.35">
      <c r="A2621" t="s">
        <v>45</v>
      </c>
      <c r="B2621" t="s">
        <v>5918</v>
      </c>
      <c r="C2621" t="s">
        <v>47</v>
      </c>
      <c r="D2621" t="s">
        <v>45</v>
      </c>
      <c r="E2621" t="s">
        <v>45</v>
      </c>
      <c r="F2621" t="s">
        <v>49</v>
      </c>
      <c r="G2621" t="s">
        <v>5963</v>
      </c>
      <c r="H2621" t="s">
        <v>5964</v>
      </c>
      <c r="J2621" t="str">
        <f>HYPERLINK("https://www.facebook.com/357267201017935/inbox/6988906087853980/","https://www.facebook.com/357267201017935/inbox/6988906087853980/")</f>
        <v>https://www.facebook.com/357267201017935/inbox/6988906087853980/</v>
      </c>
      <c r="O2621">
        <v>0</v>
      </c>
      <c r="P2621">
        <v>0</v>
      </c>
      <c r="Q2621">
        <v>0</v>
      </c>
      <c r="S2621">
        <v>0</v>
      </c>
      <c r="T2621">
        <v>0</v>
      </c>
      <c r="U2621">
        <v>0</v>
      </c>
      <c r="W2621" t="s">
        <v>52</v>
      </c>
    </row>
    <row r="2622" spans="1:45" x14ac:dyDescent="0.35">
      <c r="A2622" t="s">
        <v>45</v>
      </c>
      <c r="B2622" t="s">
        <v>5918</v>
      </c>
      <c r="C2622" t="s">
        <v>139</v>
      </c>
      <c r="D2622" t="s">
        <v>5965</v>
      </c>
      <c r="E2622" t="s">
        <v>5966</v>
      </c>
      <c r="F2622" t="s">
        <v>49</v>
      </c>
      <c r="G2622" t="s">
        <v>5967</v>
      </c>
      <c r="H2622" t="s">
        <v>5968</v>
      </c>
      <c r="J2622" t="str">
        <f>HYPERLINK("https://twitter.com/jkashyap42/status/1757369937750880491","https://twitter.com/jkashyap42/status/1757369937750880491")</f>
        <v>https://twitter.com/jkashyap42/status/1757369937750880491</v>
      </c>
      <c r="K2622" t="s">
        <v>1769</v>
      </c>
      <c r="O2622">
        <v>0</v>
      </c>
      <c r="P2622">
        <v>0</v>
      </c>
      <c r="Q2622">
        <v>12</v>
      </c>
      <c r="S2622">
        <v>0</v>
      </c>
      <c r="T2622">
        <v>0</v>
      </c>
      <c r="U2622">
        <v>0</v>
      </c>
      <c r="W2622" t="s">
        <v>146</v>
      </c>
    </row>
    <row r="2623" spans="1:45" x14ac:dyDescent="0.35">
      <c r="A2623" t="s">
        <v>45</v>
      </c>
      <c r="B2623" t="s">
        <v>5918</v>
      </c>
      <c r="C2623" t="s">
        <v>47</v>
      </c>
      <c r="D2623" t="s">
        <v>45</v>
      </c>
      <c r="E2623" t="s">
        <v>45</v>
      </c>
      <c r="F2623" t="s">
        <v>49</v>
      </c>
      <c r="G2623" t="s">
        <v>5969</v>
      </c>
      <c r="H2623" t="s">
        <v>5970</v>
      </c>
      <c r="J2623" t="str">
        <f>HYPERLINK("https://www.facebook.com/454965103328545/posts/768116778680041?comment_id=3693106410970445&amp;reply_comment_id=1889483771468375","https://www.facebook.com/454965103328545/posts/768116778680041?comment_id=3693106410970445&amp;reply_comment_id=1889483771468375")</f>
        <v>https://www.facebook.com/454965103328545/posts/768116778680041?comment_id=3693106410970445&amp;reply_comment_id=1889483771468375</v>
      </c>
      <c r="O2623">
        <v>0</v>
      </c>
      <c r="P2623">
        <v>0</v>
      </c>
      <c r="Q2623">
        <v>0</v>
      </c>
      <c r="S2623">
        <v>0</v>
      </c>
      <c r="T2623">
        <v>0</v>
      </c>
      <c r="U2623">
        <v>0</v>
      </c>
      <c r="W2623" t="s">
        <v>62</v>
      </c>
    </row>
    <row r="2624" spans="1:45" x14ac:dyDescent="0.35">
      <c r="A2624" t="s">
        <v>45</v>
      </c>
      <c r="B2624" t="s">
        <v>5918</v>
      </c>
      <c r="C2624" t="s">
        <v>47</v>
      </c>
      <c r="D2624" t="s">
        <v>220</v>
      </c>
      <c r="E2624" t="s">
        <v>220</v>
      </c>
      <c r="F2624" t="s">
        <v>49</v>
      </c>
      <c r="G2624" t="s">
        <v>5971</v>
      </c>
      <c r="H2624" t="s">
        <v>5972</v>
      </c>
      <c r="J2624" t="str">
        <f>HYPERLINK("https://www.facebook.com/454965103328545/posts/755939476564438?comment_id=693746702963019&amp;reply_comment_id=720463840223670","https://www.facebook.com/454965103328545/posts/755939476564438?comment_id=693746702963019&amp;reply_comment_id=720463840223670")</f>
        <v>https://www.facebook.com/454965103328545/posts/755939476564438?comment_id=693746702963019&amp;reply_comment_id=720463840223670</v>
      </c>
      <c r="O2624">
        <v>0</v>
      </c>
      <c r="P2624">
        <v>0</v>
      </c>
      <c r="Q2624">
        <v>0</v>
      </c>
      <c r="S2624">
        <v>0</v>
      </c>
      <c r="T2624">
        <v>0</v>
      </c>
      <c r="U2624">
        <v>0</v>
      </c>
      <c r="W2624" t="s">
        <v>62</v>
      </c>
      <c r="AS2624" t="s">
        <v>375</v>
      </c>
    </row>
    <row r="2625" spans="1:45" x14ac:dyDescent="0.35">
      <c r="A2625" t="s">
        <v>45</v>
      </c>
      <c r="B2625" t="s">
        <v>5918</v>
      </c>
      <c r="C2625" t="s">
        <v>63</v>
      </c>
      <c r="D2625" t="s">
        <v>186</v>
      </c>
      <c r="E2625" t="s">
        <v>186</v>
      </c>
      <c r="F2625" t="s">
        <v>49</v>
      </c>
      <c r="G2625" t="s">
        <v>5973</v>
      </c>
      <c r="H2625" t="s">
        <v>5974</v>
      </c>
      <c r="J2625" t="str">
        <f>HYPERLINK("https://www.instagram.com/p/C3STpmmtUC6/","https://www.instagram.com/p/C3STpmmtUC6/")</f>
        <v>https://www.instagram.com/p/C3STpmmtUC6/</v>
      </c>
      <c r="O2625">
        <v>0</v>
      </c>
      <c r="P2625">
        <v>0</v>
      </c>
      <c r="Q2625">
        <v>0</v>
      </c>
      <c r="S2625">
        <v>1</v>
      </c>
      <c r="T2625">
        <v>50</v>
      </c>
      <c r="U2625">
        <v>0</v>
      </c>
      <c r="W2625" t="s">
        <v>106</v>
      </c>
    </row>
    <row r="2626" spans="1:45" x14ac:dyDescent="0.35">
      <c r="A2626" t="s">
        <v>45</v>
      </c>
      <c r="B2626" t="s">
        <v>5918</v>
      </c>
      <c r="C2626" t="s">
        <v>139</v>
      </c>
      <c r="D2626" t="s">
        <v>190</v>
      </c>
      <c r="E2626" t="s">
        <v>45</v>
      </c>
      <c r="F2626" t="s">
        <v>49</v>
      </c>
      <c r="G2626" t="s">
        <v>5975</v>
      </c>
      <c r="H2626" t="s">
        <v>5976</v>
      </c>
      <c r="J2626" t="str">
        <f>HYPERLINK("https://twitter.com/FinoPaymntsBank/status/1757366508152570306","https://twitter.com/FinoPaymntsBank/status/1757366508152570306")</f>
        <v>https://twitter.com/FinoPaymntsBank/status/1757366508152570306</v>
      </c>
      <c r="K2626" t="s">
        <v>145</v>
      </c>
      <c r="O2626">
        <v>0</v>
      </c>
      <c r="P2626">
        <v>0</v>
      </c>
      <c r="Q2626">
        <v>8379</v>
      </c>
      <c r="R2626" t="s">
        <v>193</v>
      </c>
      <c r="S2626">
        <v>0</v>
      </c>
      <c r="T2626">
        <v>0</v>
      </c>
      <c r="U2626">
        <v>0</v>
      </c>
      <c r="W2626" t="s">
        <v>146</v>
      </c>
    </row>
    <row r="2627" spans="1:45" x14ac:dyDescent="0.35">
      <c r="A2627" t="s">
        <v>45</v>
      </c>
      <c r="B2627" t="s">
        <v>5918</v>
      </c>
      <c r="C2627" t="s">
        <v>47</v>
      </c>
      <c r="D2627" t="s">
        <v>45</v>
      </c>
      <c r="E2627" t="s">
        <v>45</v>
      </c>
      <c r="F2627" t="s">
        <v>49</v>
      </c>
      <c r="G2627" t="s">
        <v>5977</v>
      </c>
      <c r="H2627" t="s">
        <v>5978</v>
      </c>
      <c r="J2627" t="str">
        <f>HYPERLINK("https://www.facebook.com/454965103328545/posts/771262205032165","https://www.facebook.com/454965103328545/posts/771262205032165")</f>
        <v>https://www.facebook.com/454965103328545/posts/771262205032165</v>
      </c>
      <c r="O2627">
        <v>0</v>
      </c>
      <c r="P2627">
        <v>0</v>
      </c>
      <c r="Q2627">
        <v>0</v>
      </c>
      <c r="S2627">
        <v>18</v>
      </c>
      <c r="T2627">
        <v>2020</v>
      </c>
      <c r="U2627">
        <v>20</v>
      </c>
      <c r="W2627" t="s">
        <v>106</v>
      </c>
      <c r="AS2627" t="s">
        <v>115</v>
      </c>
    </row>
    <row r="2628" spans="1:45" x14ac:dyDescent="0.35">
      <c r="A2628" t="s">
        <v>45</v>
      </c>
      <c r="B2628" t="s">
        <v>5918</v>
      </c>
      <c r="C2628" t="s">
        <v>47</v>
      </c>
      <c r="D2628" t="s">
        <v>5524</v>
      </c>
      <c r="E2628" t="s">
        <v>5524</v>
      </c>
      <c r="F2628" t="s">
        <v>76</v>
      </c>
      <c r="G2628" t="s">
        <v>5979</v>
      </c>
      <c r="H2628" t="s">
        <v>5980</v>
      </c>
      <c r="J2628" t="str">
        <f>HYPERLINK("https://www.facebook.com/454965103328545/posts/768116778680041?comment_id=742968817766691&amp;reply_comment_id=3693106410970445","https://www.facebook.com/454965103328545/posts/768116778680041?comment_id=742968817766691&amp;reply_comment_id=3693106410970445")</f>
        <v>https://www.facebook.com/454965103328545/posts/768116778680041?comment_id=742968817766691&amp;reply_comment_id=3693106410970445</v>
      </c>
      <c r="O2628">
        <v>0</v>
      </c>
      <c r="P2628">
        <v>0</v>
      </c>
      <c r="Q2628">
        <v>0</v>
      </c>
      <c r="S2628">
        <v>0</v>
      </c>
      <c r="T2628">
        <v>0</v>
      </c>
      <c r="U2628">
        <v>0</v>
      </c>
      <c r="W2628" t="s">
        <v>62</v>
      </c>
      <c r="Y2628" t="s">
        <v>5981</v>
      </c>
      <c r="Z2628" t="s">
        <v>613</v>
      </c>
      <c r="AA2628" t="s">
        <v>614</v>
      </c>
      <c r="AP2628" t="s">
        <v>94</v>
      </c>
      <c r="AS2628" t="s">
        <v>375</v>
      </c>
    </row>
    <row r="2629" spans="1:45" x14ac:dyDescent="0.35">
      <c r="A2629" t="s">
        <v>45</v>
      </c>
      <c r="B2629" t="s">
        <v>5918</v>
      </c>
      <c r="C2629" t="s">
        <v>47</v>
      </c>
      <c r="D2629" t="s">
        <v>246</v>
      </c>
      <c r="E2629" t="s">
        <v>246</v>
      </c>
      <c r="F2629" t="s">
        <v>49</v>
      </c>
      <c r="G2629" t="s">
        <v>247</v>
      </c>
      <c r="H2629" t="s">
        <v>5982</v>
      </c>
      <c r="J2629" t="str">
        <f>HYPERLINK("https://www.facebook.com/454965103328545/posts/763871475771238?comment_id=784429353532261&amp;reply_comment_id=934559198327168","https://www.facebook.com/454965103328545/posts/763871475771238?comment_id=784429353532261&amp;reply_comment_id=934559198327168")</f>
        <v>https://www.facebook.com/454965103328545/posts/763871475771238?comment_id=784429353532261&amp;reply_comment_id=934559198327168</v>
      </c>
      <c r="O2629">
        <v>0</v>
      </c>
      <c r="P2629">
        <v>0</v>
      </c>
      <c r="Q2629">
        <v>0</v>
      </c>
      <c r="S2629">
        <v>0</v>
      </c>
      <c r="T2629">
        <v>0</v>
      </c>
      <c r="U2629">
        <v>0</v>
      </c>
      <c r="W2629" t="s">
        <v>62</v>
      </c>
      <c r="Y2629" t="s">
        <v>5983</v>
      </c>
      <c r="Z2629" t="s">
        <v>613</v>
      </c>
      <c r="AA2629" t="s">
        <v>614</v>
      </c>
    </row>
    <row r="2630" spans="1:45" x14ac:dyDescent="0.35">
      <c r="A2630" t="s">
        <v>45</v>
      </c>
      <c r="B2630" t="s">
        <v>5918</v>
      </c>
      <c r="C2630" t="s">
        <v>47</v>
      </c>
      <c r="D2630" t="s">
        <v>45</v>
      </c>
      <c r="E2630" t="s">
        <v>45</v>
      </c>
      <c r="F2630" t="s">
        <v>49</v>
      </c>
      <c r="G2630" t="s">
        <v>5984</v>
      </c>
      <c r="H2630" t="s">
        <v>5985</v>
      </c>
      <c r="J2630" t="str">
        <f>HYPERLINK("https://www.facebook.com/454965103328545/posts/768116778680041?comment_id=742968817766691&amp;reply_comment_id=1074717847078722","https://www.facebook.com/454965103328545/posts/768116778680041?comment_id=742968817766691&amp;reply_comment_id=1074717847078722")</f>
        <v>https://www.facebook.com/454965103328545/posts/768116778680041?comment_id=742968817766691&amp;reply_comment_id=1074717847078722</v>
      </c>
      <c r="O2630">
        <v>0</v>
      </c>
      <c r="P2630">
        <v>0</v>
      </c>
      <c r="Q2630">
        <v>0</v>
      </c>
      <c r="S2630">
        <v>0</v>
      </c>
      <c r="T2630">
        <v>0</v>
      </c>
      <c r="U2630">
        <v>0</v>
      </c>
      <c r="W2630" t="s">
        <v>62</v>
      </c>
    </row>
    <row r="2631" spans="1:45" x14ac:dyDescent="0.35">
      <c r="A2631" t="s">
        <v>45</v>
      </c>
      <c r="B2631" t="s">
        <v>5918</v>
      </c>
      <c r="C2631" t="s">
        <v>47</v>
      </c>
      <c r="D2631" t="s">
        <v>45</v>
      </c>
      <c r="E2631" t="s">
        <v>45</v>
      </c>
      <c r="F2631" t="s">
        <v>49</v>
      </c>
      <c r="G2631" t="s">
        <v>5986</v>
      </c>
      <c r="H2631" t="s">
        <v>5987</v>
      </c>
      <c r="J2631" t="str">
        <f>HYPERLINK("https://www.facebook.com/454965103328545/posts/681847570640296?comment_id=901031334892743&amp;reply_comment_id=402698248917721","https://www.facebook.com/454965103328545/posts/681847570640296?comment_id=901031334892743&amp;reply_comment_id=402698248917721")</f>
        <v>https://www.facebook.com/454965103328545/posts/681847570640296?comment_id=901031334892743&amp;reply_comment_id=402698248917721</v>
      </c>
      <c r="O2631">
        <v>0</v>
      </c>
      <c r="P2631">
        <v>0</v>
      </c>
      <c r="Q2631">
        <v>0</v>
      </c>
      <c r="S2631">
        <v>0</v>
      </c>
      <c r="T2631">
        <v>0</v>
      </c>
      <c r="U2631">
        <v>0</v>
      </c>
      <c r="W2631" t="s">
        <v>62</v>
      </c>
    </row>
    <row r="2632" spans="1:45" x14ac:dyDescent="0.35">
      <c r="A2632" t="s">
        <v>45</v>
      </c>
      <c r="B2632" t="s">
        <v>5918</v>
      </c>
      <c r="C2632" t="s">
        <v>139</v>
      </c>
      <c r="D2632" t="s">
        <v>5094</v>
      </c>
      <c r="E2632" t="s">
        <v>5095</v>
      </c>
      <c r="F2632" t="s">
        <v>49</v>
      </c>
      <c r="G2632" t="s">
        <v>5988</v>
      </c>
      <c r="H2632" t="s">
        <v>5989</v>
      </c>
      <c r="J2632" t="str">
        <f>HYPERLINK("https://twitter.com/Sanjay__Ahirwar/status/1757358266105872615","https://twitter.com/Sanjay__Ahirwar/status/1757358266105872615")</f>
        <v>https://twitter.com/Sanjay__Ahirwar/status/1757358266105872615</v>
      </c>
      <c r="K2632" t="s">
        <v>145</v>
      </c>
      <c r="O2632">
        <v>0</v>
      </c>
      <c r="P2632">
        <v>0</v>
      </c>
      <c r="Q2632">
        <v>51</v>
      </c>
      <c r="R2632" t="s">
        <v>3319</v>
      </c>
      <c r="S2632">
        <v>0</v>
      </c>
      <c r="T2632">
        <v>0</v>
      </c>
      <c r="U2632">
        <v>0</v>
      </c>
      <c r="W2632" t="s">
        <v>146</v>
      </c>
      <c r="Y2632" t="s">
        <v>5990</v>
      </c>
      <c r="Z2632" t="s">
        <v>613</v>
      </c>
      <c r="AA2632" t="s">
        <v>614</v>
      </c>
    </row>
    <row r="2633" spans="1:45" x14ac:dyDescent="0.35">
      <c r="A2633" t="s">
        <v>45</v>
      </c>
      <c r="B2633" t="s">
        <v>5918</v>
      </c>
      <c r="C2633" t="s">
        <v>47</v>
      </c>
      <c r="D2633" t="s">
        <v>45</v>
      </c>
      <c r="E2633" t="s">
        <v>45</v>
      </c>
      <c r="F2633" t="s">
        <v>49</v>
      </c>
      <c r="G2633" t="s">
        <v>5991</v>
      </c>
      <c r="H2633" t="s">
        <v>5992</v>
      </c>
      <c r="J2633" t="str">
        <f>HYPERLINK("https://www.facebook.com/357267201017935/inbox/7028845197193402/","https://www.facebook.com/357267201017935/inbox/7028845197193402/")</f>
        <v>https://www.facebook.com/357267201017935/inbox/7028845197193402/</v>
      </c>
      <c r="O2633">
        <v>0</v>
      </c>
      <c r="P2633">
        <v>0</v>
      </c>
      <c r="Q2633">
        <v>0</v>
      </c>
      <c r="S2633">
        <v>0</v>
      </c>
      <c r="T2633">
        <v>0</v>
      </c>
      <c r="U2633">
        <v>0</v>
      </c>
      <c r="W2633" t="s">
        <v>52</v>
      </c>
    </row>
    <row r="2634" spans="1:45" x14ac:dyDescent="0.35">
      <c r="A2634" t="s">
        <v>45</v>
      </c>
      <c r="B2634" t="s">
        <v>5918</v>
      </c>
      <c r="C2634" t="s">
        <v>47</v>
      </c>
      <c r="D2634" t="s">
        <v>45</v>
      </c>
      <c r="E2634" t="s">
        <v>45</v>
      </c>
      <c r="F2634" t="s">
        <v>49</v>
      </c>
      <c r="G2634" t="s">
        <v>5993</v>
      </c>
      <c r="H2634" t="s">
        <v>5994</v>
      </c>
      <c r="J2634" t="str">
        <f>HYPERLINK("https://www.facebook.com/357267201017935/posts/3069910089753619/?comment_id=420633470336919&amp;reply_comment_id=423291176716542","https://www.facebook.com/357267201017935/posts/3069910089753619/?comment_id=420633470336919&amp;reply_comment_id=423291176716542")</f>
        <v>https://www.facebook.com/357267201017935/posts/3069910089753619/?comment_id=420633470336919&amp;reply_comment_id=423291176716542</v>
      </c>
      <c r="O2634">
        <v>0</v>
      </c>
      <c r="P2634">
        <v>0</v>
      </c>
      <c r="Q2634">
        <v>0</v>
      </c>
      <c r="S2634">
        <v>0</v>
      </c>
      <c r="T2634">
        <v>0</v>
      </c>
      <c r="U2634">
        <v>0</v>
      </c>
      <c r="W2634" t="s">
        <v>62</v>
      </c>
    </row>
    <row r="2635" spans="1:45" x14ac:dyDescent="0.35">
      <c r="A2635" t="s">
        <v>45</v>
      </c>
      <c r="B2635" t="s">
        <v>5918</v>
      </c>
      <c r="C2635" t="s">
        <v>47</v>
      </c>
      <c r="D2635" t="s">
        <v>45</v>
      </c>
      <c r="E2635" t="s">
        <v>45</v>
      </c>
      <c r="F2635" t="s">
        <v>49</v>
      </c>
      <c r="G2635" t="s">
        <v>5995</v>
      </c>
      <c r="H2635" t="s">
        <v>5996</v>
      </c>
      <c r="J2635" t="str">
        <f>HYPERLINK("https://www.facebook.com/357267201017935/posts/3069910089753619/?comment_id=2701556100000191&amp;reply_comment_id=308239088913950","https://www.facebook.com/357267201017935/posts/3069910089753619/?comment_id=2701556100000191&amp;reply_comment_id=308239088913950")</f>
        <v>https://www.facebook.com/357267201017935/posts/3069910089753619/?comment_id=2701556100000191&amp;reply_comment_id=308239088913950</v>
      </c>
      <c r="O2635">
        <v>0</v>
      </c>
      <c r="P2635">
        <v>0</v>
      </c>
      <c r="Q2635">
        <v>0</v>
      </c>
      <c r="S2635">
        <v>0</v>
      </c>
      <c r="T2635">
        <v>0</v>
      </c>
      <c r="U2635">
        <v>0</v>
      </c>
      <c r="W2635" t="s">
        <v>62</v>
      </c>
    </row>
    <row r="2636" spans="1:45" x14ac:dyDescent="0.35">
      <c r="A2636" t="s">
        <v>45</v>
      </c>
      <c r="B2636" t="s">
        <v>5918</v>
      </c>
      <c r="C2636" t="s">
        <v>47</v>
      </c>
      <c r="D2636" t="s">
        <v>45</v>
      </c>
      <c r="E2636" t="s">
        <v>45</v>
      </c>
      <c r="F2636" t="s">
        <v>49</v>
      </c>
      <c r="G2636" t="s">
        <v>5997</v>
      </c>
      <c r="H2636" t="s">
        <v>5998</v>
      </c>
      <c r="J2636" t="str">
        <f>HYPERLINK("https://www.facebook.com/454965103328545/videos/3697954183759550?comment_id=697488382542596&amp;reply_comment_id=1587530915336566","https://www.facebook.com/454965103328545/videos/3697954183759550?comment_id=697488382542596&amp;reply_comment_id=1587530915336566")</f>
        <v>https://www.facebook.com/454965103328545/videos/3697954183759550?comment_id=697488382542596&amp;reply_comment_id=1587530915336566</v>
      </c>
      <c r="O2636">
        <v>0</v>
      </c>
      <c r="P2636">
        <v>0</v>
      </c>
      <c r="Q2636">
        <v>0</v>
      </c>
      <c r="S2636">
        <v>0</v>
      </c>
      <c r="T2636">
        <v>0</v>
      </c>
      <c r="U2636">
        <v>0</v>
      </c>
      <c r="W2636" t="s">
        <v>62</v>
      </c>
    </row>
    <row r="2637" spans="1:45" x14ac:dyDescent="0.35">
      <c r="A2637" t="s">
        <v>45</v>
      </c>
      <c r="B2637" t="s">
        <v>5918</v>
      </c>
      <c r="C2637" t="s">
        <v>47</v>
      </c>
      <c r="D2637" t="s">
        <v>45</v>
      </c>
      <c r="E2637" t="s">
        <v>45</v>
      </c>
      <c r="F2637" t="s">
        <v>49</v>
      </c>
      <c r="G2637" t="s">
        <v>5999</v>
      </c>
      <c r="H2637" t="s">
        <v>6000</v>
      </c>
      <c r="J2637" t="str">
        <f>HYPERLINK("https://www.facebook.com/454965103328545/posts/763871475771238?comment_id=915966793321244&amp;reply_comment_id=935039678203491","https://www.facebook.com/454965103328545/posts/763871475771238?comment_id=915966793321244&amp;reply_comment_id=935039678203491")</f>
        <v>https://www.facebook.com/454965103328545/posts/763871475771238?comment_id=915966793321244&amp;reply_comment_id=935039678203491</v>
      </c>
      <c r="O2637">
        <v>0</v>
      </c>
      <c r="P2637">
        <v>0</v>
      </c>
      <c r="Q2637">
        <v>0</v>
      </c>
      <c r="S2637">
        <v>0</v>
      </c>
      <c r="T2637">
        <v>0</v>
      </c>
      <c r="U2637">
        <v>0</v>
      </c>
      <c r="W2637" t="s">
        <v>62</v>
      </c>
    </row>
    <row r="2638" spans="1:45" x14ac:dyDescent="0.35">
      <c r="A2638" t="s">
        <v>45</v>
      </c>
      <c r="B2638" t="s">
        <v>5918</v>
      </c>
      <c r="C2638" t="s">
        <v>47</v>
      </c>
      <c r="D2638" t="s">
        <v>45</v>
      </c>
      <c r="E2638" t="s">
        <v>45</v>
      </c>
      <c r="F2638" t="s">
        <v>49</v>
      </c>
      <c r="G2638" t="s">
        <v>6001</v>
      </c>
      <c r="H2638" t="s">
        <v>6002</v>
      </c>
      <c r="J2638" t="str">
        <f>HYPERLINK("https://www.facebook.com/454965103328545/posts/755939476564438?comment_id=693746702963019&amp;reply_comment_id=911238773922218","https://www.facebook.com/454965103328545/posts/755939476564438?comment_id=693746702963019&amp;reply_comment_id=911238773922218")</f>
        <v>https://www.facebook.com/454965103328545/posts/755939476564438?comment_id=693746702963019&amp;reply_comment_id=911238773922218</v>
      </c>
      <c r="O2638">
        <v>0</v>
      </c>
      <c r="P2638">
        <v>0</v>
      </c>
      <c r="Q2638">
        <v>0</v>
      </c>
      <c r="S2638">
        <v>0</v>
      </c>
      <c r="T2638">
        <v>0</v>
      </c>
      <c r="U2638">
        <v>0</v>
      </c>
      <c r="W2638" t="s">
        <v>62</v>
      </c>
    </row>
    <row r="2639" spans="1:45" x14ac:dyDescent="0.35">
      <c r="A2639" t="s">
        <v>45</v>
      </c>
      <c r="B2639" t="s">
        <v>5918</v>
      </c>
      <c r="C2639" t="s">
        <v>139</v>
      </c>
      <c r="D2639" t="s">
        <v>6003</v>
      </c>
      <c r="E2639" t="s">
        <v>6004</v>
      </c>
      <c r="F2639" t="s">
        <v>49</v>
      </c>
      <c r="G2639" t="s">
        <v>6005</v>
      </c>
      <c r="H2639" t="s">
        <v>6006</v>
      </c>
      <c r="J2639" t="str">
        <f>HYPERLINK("https://twitter.com/ritzshubu/status/1757354654319497476","https://twitter.com/ritzshubu/status/1757354654319497476")</f>
        <v>https://twitter.com/ritzshubu/status/1757354654319497476</v>
      </c>
      <c r="K2639" t="s">
        <v>145</v>
      </c>
      <c r="O2639">
        <v>0</v>
      </c>
      <c r="P2639">
        <v>0</v>
      </c>
      <c r="Q2639">
        <v>18</v>
      </c>
      <c r="R2639" t="s">
        <v>4256</v>
      </c>
      <c r="S2639">
        <v>0</v>
      </c>
      <c r="T2639">
        <v>0</v>
      </c>
      <c r="U2639">
        <v>0</v>
      </c>
      <c r="W2639" t="s">
        <v>146</v>
      </c>
      <c r="Y2639" t="s">
        <v>6007</v>
      </c>
      <c r="Z2639" t="s">
        <v>613</v>
      </c>
      <c r="AA2639" t="s">
        <v>614</v>
      </c>
    </row>
    <row r="2640" spans="1:45" x14ac:dyDescent="0.35">
      <c r="A2640" t="s">
        <v>45</v>
      </c>
      <c r="B2640" t="s">
        <v>5918</v>
      </c>
      <c r="C2640" t="s">
        <v>47</v>
      </c>
      <c r="D2640" t="s">
        <v>45</v>
      </c>
      <c r="E2640" t="s">
        <v>45</v>
      </c>
      <c r="F2640" t="s">
        <v>49</v>
      </c>
      <c r="G2640" t="s">
        <v>6008</v>
      </c>
      <c r="H2640" t="s">
        <v>6009</v>
      </c>
      <c r="J2640" t="str">
        <f>HYPERLINK("https://www.facebook.com/357267201017935/inbox/7032676453476943/","https://www.facebook.com/357267201017935/inbox/7032676453476943/")</f>
        <v>https://www.facebook.com/357267201017935/inbox/7032676453476943/</v>
      </c>
      <c r="O2640">
        <v>0</v>
      </c>
      <c r="P2640">
        <v>0</v>
      </c>
      <c r="Q2640">
        <v>0</v>
      </c>
      <c r="S2640">
        <v>0</v>
      </c>
      <c r="T2640">
        <v>0</v>
      </c>
      <c r="U2640">
        <v>0</v>
      </c>
      <c r="W2640" t="s">
        <v>52</v>
      </c>
    </row>
    <row r="2641" spans="1:45" x14ac:dyDescent="0.35">
      <c r="A2641" t="s">
        <v>45</v>
      </c>
      <c r="B2641" t="s">
        <v>5918</v>
      </c>
      <c r="C2641" t="s">
        <v>47</v>
      </c>
      <c r="D2641" t="s">
        <v>45</v>
      </c>
      <c r="E2641" t="s">
        <v>45</v>
      </c>
      <c r="F2641" t="s">
        <v>49</v>
      </c>
      <c r="G2641" t="s">
        <v>6010</v>
      </c>
      <c r="H2641" t="s">
        <v>6011</v>
      </c>
      <c r="J2641" t="str">
        <f>HYPERLINK("https://www.facebook.com/454965103328545/posts/755939476564438?comment_id=7059624540798127&amp;reply_comment_id=421005526933426","https://www.facebook.com/454965103328545/posts/755939476564438?comment_id=7059624540798127&amp;reply_comment_id=421005526933426")</f>
        <v>https://www.facebook.com/454965103328545/posts/755939476564438?comment_id=7059624540798127&amp;reply_comment_id=421005526933426</v>
      </c>
      <c r="O2641">
        <v>0</v>
      </c>
      <c r="P2641">
        <v>0</v>
      </c>
      <c r="Q2641">
        <v>0</v>
      </c>
      <c r="S2641">
        <v>0</v>
      </c>
      <c r="T2641">
        <v>0</v>
      </c>
      <c r="U2641">
        <v>0</v>
      </c>
      <c r="W2641" t="s">
        <v>62</v>
      </c>
    </row>
    <row r="2642" spans="1:45" x14ac:dyDescent="0.35">
      <c r="A2642" t="s">
        <v>45</v>
      </c>
      <c r="B2642" t="s">
        <v>5918</v>
      </c>
      <c r="C2642" t="s">
        <v>47</v>
      </c>
      <c r="D2642" t="s">
        <v>45</v>
      </c>
      <c r="E2642" t="s">
        <v>45</v>
      </c>
      <c r="F2642" t="s">
        <v>49</v>
      </c>
      <c r="G2642" t="s">
        <v>6012</v>
      </c>
      <c r="H2642" t="s">
        <v>6013</v>
      </c>
      <c r="J2642" t="str">
        <f>HYPERLINK("https://www.facebook.com/454965103328545/posts/755939476564438?comment_id=765813341636662&amp;reply_comment_id=1131781714511244","https://www.facebook.com/454965103328545/posts/755939476564438?comment_id=765813341636662&amp;reply_comment_id=1131781714511244")</f>
        <v>https://www.facebook.com/454965103328545/posts/755939476564438?comment_id=765813341636662&amp;reply_comment_id=1131781714511244</v>
      </c>
      <c r="O2642">
        <v>0</v>
      </c>
      <c r="P2642">
        <v>0</v>
      </c>
      <c r="Q2642">
        <v>0</v>
      </c>
      <c r="S2642">
        <v>0</v>
      </c>
      <c r="T2642">
        <v>0</v>
      </c>
      <c r="U2642">
        <v>0</v>
      </c>
      <c r="W2642" t="s">
        <v>62</v>
      </c>
    </row>
    <row r="2643" spans="1:45" x14ac:dyDescent="0.35">
      <c r="A2643" t="s">
        <v>45</v>
      </c>
      <c r="B2643" t="s">
        <v>5918</v>
      </c>
      <c r="C2643" t="s">
        <v>47</v>
      </c>
      <c r="D2643" t="s">
        <v>5939</v>
      </c>
      <c r="E2643" t="s">
        <v>5939</v>
      </c>
      <c r="F2643" t="s">
        <v>49</v>
      </c>
      <c r="G2643" t="s">
        <v>6014</v>
      </c>
      <c r="H2643" t="s">
        <v>6015</v>
      </c>
      <c r="J2643" t="str">
        <f>HYPERLINK("https://www.facebook.com/357267201017935/inbox/6988906087853980/","https://www.facebook.com/357267201017935/inbox/6988906087853980/")</f>
        <v>https://www.facebook.com/357267201017935/inbox/6988906087853980/</v>
      </c>
      <c r="O2643">
        <v>0</v>
      </c>
      <c r="P2643">
        <v>0</v>
      </c>
      <c r="Q2643">
        <v>0</v>
      </c>
      <c r="S2643">
        <v>0</v>
      </c>
      <c r="T2643">
        <v>0</v>
      </c>
      <c r="U2643">
        <v>0</v>
      </c>
      <c r="W2643" t="s">
        <v>52</v>
      </c>
      <c r="Y2643" t="s">
        <v>6016</v>
      </c>
      <c r="Z2643" t="s">
        <v>613</v>
      </c>
      <c r="AA2643" t="s">
        <v>614</v>
      </c>
      <c r="AS2643" t="s">
        <v>375</v>
      </c>
    </row>
    <row r="2644" spans="1:45" x14ac:dyDescent="0.35">
      <c r="A2644" t="s">
        <v>45</v>
      </c>
      <c r="B2644" t="s">
        <v>5918</v>
      </c>
      <c r="C2644" t="s">
        <v>139</v>
      </c>
      <c r="D2644" t="s">
        <v>6003</v>
      </c>
      <c r="E2644" t="s">
        <v>6004</v>
      </c>
      <c r="F2644" t="s">
        <v>49</v>
      </c>
      <c r="G2644" t="s">
        <v>6017</v>
      </c>
      <c r="H2644" t="s">
        <v>6018</v>
      </c>
      <c r="J2644" t="str">
        <f>HYPERLINK("https://twitter.com/ritzshubu/status/1757353466630934788","https://twitter.com/ritzshubu/status/1757353466630934788")</f>
        <v>https://twitter.com/ritzshubu/status/1757353466630934788</v>
      </c>
      <c r="K2644" t="s">
        <v>145</v>
      </c>
      <c r="O2644">
        <v>0</v>
      </c>
      <c r="P2644">
        <v>0</v>
      </c>
      <c r="Q2644">
        <v>18</v>
      </c>
      <c r="R2644" t="s">
        <v>4256</v>
      </c>
      <c r="S2644">
        <v>0</v>
      </c>
      <c r="T2644">
        <v>0</v>
      </c>
      <c r="U2644">
        <v>0</v>
      </c>
      <c r="W2644" t="s">
        <v>146</v>
      </c>
    </row>
    <row r="2645" spans="1:45" x14ac:dyDescent="0.35">
      <c r="A2645" t="s">
        <v>45</v>
      </c>
      <c r="B2645" t="s">
        <v>5918</v>
      </c>
      <c r="C2645" t="s">
        <v>47</v>
      </c>
      <c r="D2645" t="s">
        <v>45</v>
      </c>
      <c r="E2645" t="s">
        <v>45</v>
      </c>
      <c r="F2645" t="s">
        <v>49</v>
      </c>
      <c r="G2645" t="s">
        <v>6019</v>
      </c>
      <c r="H2645" t="s">
        <v>6020</v>
      </c>
      <c r="J2645" t="str">
        <f>HYPERLINK("https://www.facebook.com/357267201017935/inbox/6988906087853980/","https://www.facebook.com/357267201017935/inbox/6988906087853980/")</f>
        <v>https://www.facebook.com/357267201017935/inbox/6988906087853980/</v>
      </c>
      <c r="O2645">
        <v>0</v>
      </c>
      <c r="P2645">
        <v>0</v>
      </c>
      <c r="Q2645">
        <v>0</v>
      </c>
      <c r="S2645">
        <v>0</v>
      </c>
      <c r="T2645">
        <v>0</v>
      </c>
      <c r="U2645">
        <v>0</v>
      </c>
      <c r="W2645" t="s">
        <v>52</v>
      </c>
    </row>
    <row r="2646" spans="1:45" x14ac:dyDescent="0.35">
      <c r="A2646" t="s">
        <v>45</v>
      </c>
      <c r="B2646" t="s">
        <v>5918</v>
      </c>
      <c r="C2646" t="s">
        <v>139</v>
      </c>
      <c r="D2646" t="s">
        <v>190</v>
      </c>
      <c r="E2646" t="s">
        <v>45</v>
      </c>
      <c r="F2646" t="s">
        <v>49</v>
      </c>
      <c r="G2646" t="s">
        <v>6021</v>
      </c>
      <c r="H2646" t="s">
        <v>6022</v>
      </c>
      <c r="J2646" t="str">
        <f>HYPERLINK("https://twitter.com/FinoPaymntsBank/status/1757353169221550560","https://twitter.com/FinoPaymntsBank/status/1757353169221550560")</f>
        <v>https://twitter.com/FinoPaymntsBank/status/1757353169221550560</v>
      </c>
      <c r="K2646" t="s">
        <v>145</v>
      </c>
      <c r="O2646">
        <v>0</v>
      </c>
      <c r="P2646">
        <v>0</v>
      </c>
      <c r="Q2646">
        <v>8379</v>
      </c>
      <c r="R2646" t="s">
        <v>193</v>
      </c>
      <c r="S2646">
        <v>0</v>
      </c>
      <c r="T2646">
        <v>0</v>
      </c>
      <c r="U2646">
        <v>0</v>
      </c>
      <c r="W2646" t="s">
        <v>146</v>
      </c>
    </row>
    <row r="2647" spans="1:45" x14ac:dyDescent="0.35">
      <c r="A2647" t="s">
        <v>45</v>
      </c>
      <c r="B2647" t="s">
        <v>5918</v>
      </c>
      <c r="C2647" t="s">
        <v>139</v>
      </c>
      <c r="D2647" t="s">
        <v>190</v>
      </c>
      <c r="E2647" t="s">
        <v>45</v>
      </c>
      <c r="F2647" t="s">
        <v>49</v>
      </c>
      <c r="G2647" t="s">
        <v>6023</v>
      </c>
      <c r="H2647" t="s">
        <v>6024</v>
      </c>
      <c r="J2647" t="str">
        <f>HYPERLINK("https://twitter.com/FinoPaymntsBank/status/1757353011305951520","https://twitter.com/FinoPaymntsBank/status/1757353011305951520")</f>
        <v>https://twitter.com/FinoPaymntsBank/status/1757353011305951520</v>
      </c>
      <c r="K2647" t="s">
        <v>145</v>
      </c>
      <c r="O2647">
        <v>0</v>
      </c>
      <c r="P2647">
        <v>0</v>
      </c>
      <c r="Q2647">
        <v>8379</v>
      </c>
      <c r="R2647" t="s">
        <v>193</v>
      </c>
      <c r="S2647">
        <v>0</v>
      </c>
      <c r="T2647">
        <v>0</v>
      </c>
      <c r="U2647">
        <v>0</v>
      </c>
      <c r="W2647" t="s">
        <v>146</v>
      </c>
    </row>
    <row r="2648" spans="1:45" x14ac:dyDescent="0.35">
      <c r="A2648" t="s">
        <v>45</v>
      </c>
      <c r="B2648" t="s">
        <v>5918</v>
      </c>
      <c r="C2648" t="s">
        <v>47</v>
      </c>
      <c r="D2648" t="s">
        <v>45</v>
      </c>
      <c r="E2648" t="s">
        <v>45</v>
      </c>
      <c r="F2648" t="s">
        <v>49</v>
      </c>
      <c r="G2648" t="s">
        <v>6025</v>
      </c>
      <c r="H2648" t="s">
        <v>6026</v>
      </c>
      <c r="J2648" t="str">
        <f>HYPERLINK("https://www.facebook.com/454965103328545/posts/768116778680041?comment_id=985720549931358&amp;reply_comment_id=1835446886908346","https://www.facebook.com/454965103328545/posts/768116778680041?comment_id=985720549931358&amp;reply_comment_id=1835446886908346")</f>
        <v>https://www.facebook.com/454965103328545/posts/768116778680041?comment_id=985720549931358&amp;reply_comment_id=1835446886908346</v>
      </c>
      <c r="O2648">
        <v>0</v>
      </c>
      <c r="P2648">
        <v>0</v>
      </c>
      <c r="Q2648">
        <v>0</v>
      </c>
      <c r="S2648">
        <v>0</v>
      </c>
      <c r="T2648">
        <v>0</v>
      </c>
      <c r="U2648">
        <v>0</v>
      </c>
      <c r="W2648" t="s">
        <v>62</v>
      </c>
    </row>
    <row r="2649" spans="1:45" x14ac:dyDescent="0.35">
      <c r="A2649" t="s">
        <v>45</v>
      </c>
      <c r="B2649" t="s">
        <v>5918</v>
      </c>
      <c r="C2649" t="s">
        <v>139</v>
      </c>
      <c r="D2649" t="s">
        <v>190</v>
      </c>
      <c r="E2649" t="s">
        <v>45</v>
      </c>
      <c r="F2649" t="s">
        <v>49</v>
      </c>
      <c r="G2649" t="s">
        <v>6027</v>
      </c>
      <c r="H2649" t="s">
        <v>6028</v>
      </c>
      <c r="J2649" t="str">
        <f>HYPERLINK("https://twitter.com/FinoPaymntsBank/status/1757352594887024735","https://twitter.com/FinoPaymntsBank/status/1757352594887024735")</f>
        <v>https://twitter.com/FinoPaymntsBank/status/1757352594887024735</v>
      </c>
      <c r="K2649" t="s">
        <v>145</v>
      </c>
      <c r="O2649">
        <v>0</v>
      </c>
      <c r="P2649">
        <v>0</v>
      </c>
      <c r="Q2649">
        <v>8379</v>
      </c>
      <c r="R2649" t="s">
        <v>193</v>
      </c>
      <c r="S2649">
        <v>0</v>
      </c>
      <c r="T2649">
        <v>0</v>
      </c>
      <c r="U2649">
        <v>0</v>
      </c>
      <c r="W2649" t="s">
        <v>146</v>
      </c>
    </row>
    <row r="2650" spans="1:45" x14ac:dyDescent="0.35">
      <c r="A2650" t="s">
        <v>45</v>
      </c>
      <c r="B2650" t="s">
        <v>5918</v>
      </c>
      <c r="C2650" t="s">
        <v>47</v>
      </c>
      <c r="D2650" t="s">
        <v>5510</v>
      </c>
      <c r="E2650" t="s">
        <v>5510</v>
      </c>
      <c r="F2650" t="s">
        <v>49</v>
      </c>
      <c r="G2650" t="s">
        <v>6029</v>
      </c>
      <c r="H2650" t="s">
        <v>6030</v>
      </c>
      <c r="J2650" t="str">
        <f>HYPERLINK("https://www.facebook.com/454965103328545/posts/768116778680041?comment_id=412060081223490&amp;reply_comment_id=985720549931358","https://www.facebook.com/454965103328545/posts/768116778680041?comment_id=412060081223490&amp;reply_comment_id=985720549931358")</f>
        <v>https://www.facebook.com/454965103328545/posts/768116778680041?comment_id=412060081223490&amp;reply_comment_id=985720549931358</v>
      </c>
      <c r="O2650">
        <v>0</v>
      </c>
      <c r="P2650">
        <v>0</v>
      </c>
      <c r="Q2650">
        <v>0</v>
      </c>
      <c r="S2650">
        <v>0</v>
      </c>
      <c r="T2650">
        <v>0</v>
      </c>
      <c r="U2650">
        <v>0</v>
      </c>
      <c r="W2650" t="s">
        <v>62</v>
      </c>
      <c r="AS2650" t="s">
        <v>375</v>
      </c>
    </row>
    <row r="2651" spans="1:45" x14ac:dyDescent="0.35">
      <c r="A2651" t="s">
        <v>45</v>
      </c>
      <c r="B2651" t="s">
        <v>5918</v>
      </c>
      <c r="C2651" t="s">
        <v>139</v>
      </c>
      <c r="D2651" t="s">
        <v>5094</v>
      </c>
      <c r="E2651" t="s">
        <v>5095</v>
      </c>
      <c r="F2651" t="s">
        <v>142</v>
      </c>
      <c r="G2651" t="s">
        <v>6031</v>
      </c>
      <c r="H2651" t="s">
        <v>6032</v>
      </c>
      <c r="J2651" t="str">
        <f>HYPERLINK("https://twitter.com/Sanjay__Ahirwar/status/1757342703090815329","https://twitter.com/Sanjay__Ahirwar/status/1757342703090815329")</f>
        <v>https://twitter.com/Sanjay__Ahirwar/status/1757342703090815329</v>
      </c>
      <c r="K2651" t="s">
        <v>145</v>
      </c>
      <c r="O2651">
        <v>0</v>
      </c>
      <c r="P2651">
        <v>0</v>
      </c>
      <c r="Q2651">
        <v>52</v>
      </c>
      <c r="R2651" t="s">
        <v>3319</v>
      </c>
      <c r="S2651">
        <v>0</v>
      </c>
      <c r="T2651">
        <v>0</v>
      </c>
      <c r="U2651">
        <v>0</v>
      </c>
      <c r="W2651" t="s">
        <v>146</v>
      </c>
      <c r="AS2651" t="s">
        <v>375</v>
      </c>
    </row>
    <row r="2652" spans="1:45" x14ac:dyDescent="0.35">
      <c r="A2652" t="s">
        <v>45</v>
      </c>
      <c r="B2652" t="s">
        <v>5918</v>
      </c>
      <c r="C2652" t="s">
        <v>47</v>
      </c>
      <c r="D2652" t="s">
        <v>5510</v>
      </c>
      <c r="E2652" t="s">
        <v>5510</v>
      </c>
      <c r="F2652" t="s">
        <v>49</v>
      </c>
      <c r="G2652" t="s">
        <v>6033</v>
      </c>
      <c r="H2652" t="s">
        <v>6034</v>
      </c>
      <c r="J2652" t="str">
        <f>HYPERLINK("https://www.facebook.com/454965103328545/posts/768116778680041?comment_id=707796337865737","https://www.facebook.com/454965103328545/posts/768116778680041?comment_id=707796337865737")</f>
        <v>https://www.facebook.com/454965103328545/posts/768116778680041?comment_id=707796337865737</v>
      </c>
      <c r="O2652">
        <v>0</v>
      </c>
      <c r="P2652">
        <v>0</v>
      </c>
      <c r="Q2652">
        <v>0</v>
      </c>
      <c r="S2652">
        <v>0</v>
      </c>
      <c r="T2652">
        <v>0</v>
      </c>
      <c r="U2652">
        <v>0</v>
      </c>
      <c r="W2652" t="s">
        <v>62</v>
      </c>
    </row>
    <row r="2653" spans="1:45" x14ac:dyDescent="0.35">
      <c r="A2653" t="s">
        <v>45</v>
      </c>
      <c r="B2653" t="s">
        <v>5918</v>
      </c>
      <c r="C2653" t="s">
        <v>47</v>
      </c>
      <c r="D2653" t="s">
        <v>5510</v>
      </c>
      <c r="E2653" t="s">
        <v>5510</v>
      </c>
      <c r="F2653" t="s">
        <v>49</v>
      </c>
      <c r="G2653" t="s">
        <v>6035</v>
      </c>
      <c r="H2653" t="s">
        <v>6036</v>
      </c>
      <c r="J2653" t="str">
        <f>HYPERLINK("https://www.facebook.com/454965103328545/posts/766283632196689?comment_id=3704154666574847","https://www.facebook.com/454965103328545/posts/766283632196689?comment_id=3704154666574847")</f>
        <v>https://www.facebook.com/454965103328545/posts/766283632196689?comment_id=3704154666574847</v>
      </c>
      <c r="O2653">
        <v>0</v>
      </c>
      <c r="P2653">
        <v>0</v>
      </c>
      <c r="Q2653">
        <v>0</v>
      </c>
      <c r="S2653">
        <v>0</v>
      </c>
      <c r="T2653">
        <v>0</v>
      </c>
      <c r="U2653">
        <v>0</v>
      </c>
      <c r="W2653" t="s">
        <v>62</v>
      </c>
    </row>
    <row r="2654" spans="1:45" x14ac:dyDescent="0.35">
      <c r="A2654" t="s">
        <v>45</v>
      </c>
      <c r="B2654" t="s">
        <v>5918</v>
      </c>
      <c r="C2654" t="s">
        <v>47</v>
      </c>
      <c r="D2654" t="s">
        <v>5510</v>
      </c>
      <c r="E2654" t="s">
        <v>5510</v>
      </c>
      <c r="F2654" t="s">
        <v>49</v>
      </c>
      <c r="G2654" t="s">
        <v>6037</v>
      </c>
      <c r="H2654" t="s">
        <v>6038</v>
      </c>
      <c r="J2654" t="str">
        <f>HYPERLINK("https://www.facebook.com/357267201017935/inbox/7019533061457949/","https://www.facebook.com/357267201017935/inbox/7019533061457949/")</f>
        <v>https://www.facebook.com/357267201017935/inbox/7019533061457949/</v>
      </c>
      <c r="O2654">
        <v>0</v>
      </c>
      <c r="P2654">
        <v>0</v>
      </c>
      <c r="Q2654">
        <v>0</v>
      </c>
      <c r="S2654">
        <v>0</v>
      </c>
      <c r="T2654">
        <v>0</v>
      </c>
      <c r="U2654">
        <v>0</v>
      </c>
      <c r="W2654" t="s">
        <v>52</v>
      </c>
      <c r="Y2654" t="s">
        <v>6039</v>
      </c>
      <c r="Z2654" t="s">
        <v>613</v>
      </c>
      <c r="AA2654" t="s">
        <v>614</v>
      </c>
    </row>
    <row r="2655" spans="1:45" x14ac:dyDescent="0.35">
      <c r="A2655" t="s">
        <v>45</v>
      </c>
      <c r="B2655" t="s">
        <v>5918</v>
      </c>
      <c r="C2655" t="s">
        <v>139</v>
      </c>
      <c r="D2655" t="s">
        <v>6003</v>
      </c>
      <c r="E2655" t="s">
        <v>6004</v>
      </c>
      <c r="F2655" t="s">
        <v>142</v>
      </c>
      <c r="G2655" t="s">
        <v>6040</v>
      </c>
      <c r="H2655" t="s">
        <v>6041</v>
      </c>
      <c r="J2655" t="str">
        <f>HYPERLINK("https://twitter.com/ritzshubu/status/1757339998649463208","https://twitter.com/ritzshubu/status/1757339998649463208")</f>
        <v>https://twitter.com/ritzshubu/status/1757339998649463208</v>
      </c>
      <c r="K2655" t="s">
        <v>145</v>
      </c>
      <c r="O2655">
        <v>0</v>
      </c>
      <c r="P2655">
        <v>0</v>
      </c>
      <c r="Q2655">
        <v>18</v>
      </c>
      <c r="R2655" t="s">
        <v>4256</v>
      </c>
      <c r="S2655">
        <v>0</v>
      </c>
      <c r="T2655">
        <v>0</v>
      </c>
      <c r="U2655">
        <v>0</v>
      </c>
      <c r="W2655" t="s">
        <v>146</v>
      </c>
      <c r="AS2655" t="s">
        <v>375</v>
      </c>
    </row>
    <row r="2656" spans="1:45" x14ac:dyDescent="0.35">
      <c r="A2656" t="s">
        <v>45</v>
      </c>
      <c r="B2656" t="s">
        <v>5918</v>
      </c>
      <c r="C2656" t="s">
        <v>139</v>
      </c>
      <c r="D2656" t="s">
        <v>2806</v>
      </c>
      <c r="E2656" t="s">
        <v>2807</v>
      </c>
      <c r="F2656" t="s">
        <v>49</v>
      </c>
      <c r="G2656" t="s">
        <v>6042</v>
      </c>
      <c r="H2656" t="s">
        <v>6043</v>
      </c>
      <c r="J2656" t="str">
        <f>HYPERLINK("https://twitter.com/AjjuXda/status/1757337143205118241","https://twitter.com/AjjuXda/status/1757337143205118241")</f>
        <v>https://twitter.com/AjjuXda/status/1757337143205118241</v>
      </c>
      <c r="O2656">
        <v>0</v>
      </c>
      <c r="P2656">
        <v>0</v>
      </c>
      <c r="Q2656">
        <v>4</v>
      </c>
      <c r="S2656">
        <v>0</v>
      </c>
      <c r="T2656">
        <v>0</v>
      </c>
      <c r="U2656">
        <v>0</v>
      </c>
      <c r="W2656" t="s">
        <v>146</v>
      </c>
      <c r="Y2656" t="s">
        <v>6044</v>
      </c>
      <c r="Z2656" t="s">
        <v>613</v>
      </c>
      <c r="AA2656" t="s">
        <v>614</v>
      </c>
      <c r="AS2656" t="s">
        <v>375</v>
      </c>
    </row>
    <row r="2657" spans="1:45" x14ac:dyDescent="0.35">
      <c r="A2657" t="s">
        <v>45</v>
      </c>
      <c r="B2657" t="s">
        <v>5918</v>
      </c>
      <c r="C2657" t="s">
        <v>139</v>
      </c>
      <c r="D2657" t="s">
        <v>2806</v>
      </c>
      <c r="E2657" t="s">
        <v>2807</v>
      </c>
      <c r="F2657" t="s">
        <v>49</v>
      </c>
      <c r="G2657" t="s">
        <v>6045</v>
      </c>
      <c r="H2657" t="s">
        <v>6046</v>
      </c>
      <c r="J2657" t="str">
        <f>HYPERLINK("https://twitter.com/AjjuXda/status/1757336912270967287","https://twitter.com/AjjuXda/status/1757336912270967287")</f>
        <v>https://twitter.com/AjjuXda/status/1757336912270967287</v>
      </c>
      <c r="O2657">
        <v>0</v>
      </c>
      <c r="P2657">
        <v>0</v>
      </c>
      <c r="Q2657">
        <v>4</v>
      </c>
      <c r="S2657">
        <v>0</v>
      </c>
      <c r="T2657">
        <v>0</v>
      </c>
      <c r="U2657">
        <v>0</v>
      </c>
      <c r="W2657" t="s">
        <v>146</v>
      </c>
      <c r="AS2657" t="s">
        <v>375</v>
      </c>
    </row>
    <row r="2658" spans="1:45" x14ac:dyDescent="0.35">
      <c r="A2658" t="s">
        <v>45</v>
      </c>
      <c r="B2658" t="s">
        <v>5918</v>
      </c>
      <c r="C2658" t="s">
        <v>47</v>
      </c>
      <c r="D2658" t="s">
        <v>98</v>
      </c>
      <c r="E2658" t="s">
        <v>98</v>
      </c>
      <c r="F2658" t="s">
        <v>49</v>
      </c>
      <c r="G2658" t="s">
        <v>3343</v>
      </c>
      <c r="H2658" t="s">
        <v>6047</v>
      </c>
      <c r="J2658" t="str">
        <f>HYPERLINK("https://www.facebook.com/454965103328545/posts/766283632196689?comment_id=1115131682825794","https://www.facebook.com/454965103328545/posts/766283632196689?comment_id=1115131682825794")</f>
        <v>https://www.facebook.com/454965103328545/posts/766283632196689?comment_id=1115131682825794</v>
      </c>
      <c r="O2658">
        <v>0</v>
      </c>
      <c r="P2658">
        <v>0</v>
      </c>
      <c r="Q2658">
        <v>0</v>
      </c>
      <c r="S2658">
        <v>0</v>
      </c>
      <c r="T2658">
        <v>0</v>
      </c>
      <c r="U2658">
        <v>0</v>
      </c>
      <c r="W2658" t="s">
        <v>62</v>
      </c>
    </row>
    <row r="2659" spans="1:45" x14ac:dyDescent="0.35">
      <c r="A2659" t="s">
        <v>45</v>
      </c>
      <c r="B2659" t="s">
        <v>5918</v>
      </c>
      <c r="C2659" t="s">
        <v>102</v>
      </c>
      <c r="D2659" t="s">
        <v>965</v>
      </c>
      <c r="E2659" t="s">
        <v>965</v>
      </c>
      <c r="F2659" t="s">
        <v>49</v>
      </c>
      <c r="G2659" t="s">
        <v>6048</v>
      </c>
      <c r="H2659" t="s">
        <v>6049</v>
      </c>
      <c r="J2659" t="str">
        <f>HYPERLINK("https://www.linkedin.com/feed/update/urn:li:ugcPost:7163068889285824512","https://www.linkedin.com/feed/update/urn:li:ugcPost:7163068889285824512")</f>
        <v>https://www.linkedin.com/feed/update/urn:li:ugcPost:7163068889285824512</v>
      </c>
      <c r="O2659">
        <v>0</v>
      </c>
      <c r="P2659">
        <v>0</v>
      </c>
      <c r="Q2659">
        <v>0</v>
      </c>
      <c r="S2659">
        <v>3</v>
      </c>
      <c r="T2659">
        <v>59</v>
      </c>
      <c r="U2659">
        <v>0</v>
      </c>
      <c r="W2659" t="s">
        <v>106</v>
      </c>
    </row>
    <row r="2660" spans="1:45" x14ac:dyDescent="0.35">
      <c r="A2660" t="s">
        <v>45</v>
      </c>
      <c r="B2660" t="s">
        <v>5918</v>
      </c>
      <c r="C2660" t="s">
        <v>102</v>
      </c>
      <c r="D2660" t="s">
        <v>965</v>
      </c>
      <c r="E2660" t="s">
        <v>965</v>
      </c>
      <c r="F2660" t="s">
        <v>49</v>
      </c>
      <c r="G2660" t="s">
        <v>6050</v>
      </c>
      <c r="H2660" t="s">
        <v>6051</v>
      </c>
      <c r="J2660" t="str">
        <f>HYPERLINK("https://www.linkedin.com/feed/update/urn:li:share:7163066536541327361","https://www.linkedin.com/feed/update/urn:li:share:7163066536541327361")</f>
        <v>https://www.linkedin.com/feed/update/urn:li:share:7163066536541327361</v>
      </c>
      <c r="O2660">
        <v>0</v>
      </c>
      <c r="P2660">
        <v>0</v>
      </c>
      <c r="Q2660">
        <v>0</v>
      </c>
      <c r="S2660">
        <v>1</v>
      </c>
      <c r="T2660">
        <v>97</v>
      </c>
      <c r="U2660">
        <v>0</v>
      </c>
      <c r="W2660" t="s">
        <v>106</v>
      </c>
    </row>
    <row r="2661" spans="1:45" x14ac:dyDescent="0.35">
      <c r="A2661" t="s">
        <v>45</v>
      </c>
      <c r="B2661" t="s">
        <v>5918</v>
      </c>
      <c r="C2661" t="s">
        <v>139</v>
      </c>
      <c r="D2661" t="s">
        <v>6052</v>
      </c>
      <c r="E2661" t="s">
        <v>6053</v>
      </c>
      <c r="F2661" t="s">
        <v>49</v>
      </c>
      <c r="G2661" t="s">
        <v>6054</v>
      </c>
      <c r="H2661" t="s">
        <v>6055</v>
      </c>
      <c r="J2661" t="str">
        <f>HYPERLINK("https://twitter.com/kuma74413/status/1757298958496399478","https://twitter.com/kuma74413/status/1757298958496399478")</f>
        <v>https://twitter.com/kuma74413/status/1757298958496399478</v>
      </c>
      <c r="K2661" t="s">
        <v>145</v>
      </c>
      <c r="O2661">
        <v>0</v>
      </c>
      <c r="P2661">
        <v>0</v>
      </c>
      <c r="Q2661">
        <v>27</v>
      </c>
      <c r="S2661">
        <v>0</v>
      </c>
      <c r="T2661">
        <v>0</v>
      </c>
      <c r="U2661">
        <v>0</v>
      </c>
      <c r="W2661" t="s">
        <v>146</v>
      </c>
      <c r="AO2661" t="s">
        <v>119</v>
      </c>
      <c r="AP2661" t="s">
        <v>101</v>
      </c>
      <c r="AS2661" t="s">
        <v>375</v>
      </c>
    </row>
    <row r="2662" spans="1:45" x14ac:dyDescent="0.35">
      <c r="A2662" t="s">
        <v>45</v>
      </c>
      <c r="B2662" t="s">
        <v>5918</v>
      </c>
      <c r="C2662" t="s">
        <v>47</v>
      </c>
      <c r="D2662" t="s">
        <v>5939</v>
      </c>
      <c r="E2662" t="s">
        <v>5939</v>
      </c>
      <c r="F2662" t="s">
        <v>49</v>
      </c>
      <c r="G2662" t="s">
        <v>2767</v>
      </c>
      <c r="H2662" t="s">
        <v>6056</v>
      </c>
      <c r="J2662" t="str">
        <f>HYPERLINK("https://www.facebook.com/357267201017935/inbox/6988906087853980/","https://www.facebook.com/357267201017935/inbox/6988906087853980/")</f>
        <v>https://www.facebook.com/357267201017935/inbox/6988906087853980/</v>
      </c>
      <c r="O2662">
        <v>0</v>
      </c>
      <c r="P2662">
        <v>0</v>
      </c>
      <c r="Q2662">
        <v>0</v>
      </c>
      <c r="S2662">
        <v>0</v>
      </c>
      <c r="T2662">
        <v>0</v>
      </c>
      <c r="U2662">
        <v>0</v>
      </c>
      <c r="W2662" t="s">
        <v>52</v>
      </c>
    </row>
    <row r="2663" spans="1:45" x14ac:dyDescent="0.35">
      <c r="A2663" t="s">
        <v>45</v>
      </c>
      <c r="B2663" t="s">
        <v>5918</v>
      </c>
      <c r="C2663" t="s">
        <v>47</v>
      </c>
      <c r="D2663" t="s">
        <v>5939</v>
      </c>
      <c r="E2663" t="s">
        <v>5939</v>
      </c>
      <c r="F2663" t="s">
        <v>49</v>
      </c>
      <c r="G2663" t="s">
        <v>6057</v>
      </c>
      <c r="H2663" t="s">
        <v>6058</v>
      </c>
      <c r="J2663" t="str">
        <f>HYPERLINK("https://www.facebook.com/357267201017935/inbox/6988906087853980/","https://www.facebook.com/357267201017935/inbox/6988906087853980/")</f>
        <v>https://www.facebook.com/357267201017935/inbox/6988906087853980/</v>
      </c>
      <c r="O2663">
        <v>0</v>
      </c>
      <c r="P2663">
        <v>0</v>
      </c>
      <c r="Q2663">
        <v>0</v>
      </c>
      <c r="S2663">
        <v>0</v>
      </c>
      <c r="T2663">
        <v>0</v>
      </c>
      <c r="U2663">
        <v>0</v>
      </c>
      <c r="W2663" t="s">
        <v>52</v>
      </c>
      <c r="AS2663" t="s">
        <v>375</v>
      </c>
    </row>
    <row r="2664" spans="1:45" x14ac:dyDescent="0.35">
      <c r="A2664" t="s">
        <v>45</v>
      </c>
      <c r="B2664" t="s">
        <v>5918</v>
      </c>
      <c r="C2664" t="s">
        <v>139</v>
      </c>
      <c r="D2664" t="s">
        <v>6059</v>
      </c>
      <c r="E2664" t="s">
        <v>6060</v>
      </c>
      <c r="F2664" t="s">
        <v>49</v>
      </c>
      <c r="G2664" t="s">
        <v>6061</v>
      </c>
      <c r="H2664" t="s">
        <v>6062</v>
      </c>
      <c r="J2664" t="str">
        <f>HYPERLINK("https://twitter.com/BombayKaBangda/status/1757263000107638840","https://twitter.com/BombayKaBangda/status/1757263000107638840")</f>
        <v>https://twitter.com/BombayKaBangda/status/1757263000107638840</v>
      </c>
      <c r="K2664" t="s">
        <v>145</v>
      </c>
      <c r="O2664">
        <v>0</v>
      </c>
      <c r="P2664">
        <v>0</v>
      </c>
      <c r="Q2664">
        <v>737</v>
      </c>
      <c r="R2664" t="s">
        <v>1247</v>
      </c>
      <c r="S2664">
        <v>0</v>
      </c>
      <c r="T2664">
        <v>0</v>
      </c>
      <c r="U2664">
        <v>0</v>
      </c>
      <c r="W2664" t="s">
        <v>552</v>
      </c>
    </row>
    <row r="2665" spans="1:45" x14ac:dyDescent="0.35">
      <c r="A2665" t="s">
        <v>45</v>
      </c>
      <c r="B2665" t="s">
        <v>5918</v>
      </c>
      <c r="C2665" t="s">
        <v>58</v>
      </c>
      <c r="D2665" t="s">
        <v>6063</v>
      </c>
      <c r="E2665" t="s">
        <v>6063</v>
      </c>
      <c r="F2665" t="s">
        <v>49</v>
      </c>
      <c r="G2665" t="s">
        <v>6064</v>
      </c>
      <c r="H2665" t="s">
        <v>6065</v>
      </c>
      <c r="J2665" t="str">
        <f>HYPERLINK("https://www.youtube.com/watch?v=rv2dJZza1ts","https://www.youtube.com/watch?v=rv2dJZza1ts")</f>
        <v>https://www.youtube.com/watch?v=rv2dJZza1ts</v>
      </c>
      <c r="O2665">
        <v>0</v>
      </c>
      <c r="P2665">
        <v>0</v>
      </c>
      <c r="Q2665">
        <v>0</v>
      </c>
      <c r="S2665">
        <v>0</v>
      </c>
      <c r="T2665">
        <v>0</v>
      </c>
      <c r="U2665">
        <v>0</v>
      </c>
      <c r="W2665" t="s">
        <v>106</v>
      </c>
      <c r="AO2665" t="s">
        <v>67</v>
      </c>
    </row>
    <row r="2666" spans="1:45" x14ac:dyDescent="0.35">
      <c r="A2666" t="s">
        <v>45</v>
      </c>
      <c r="B2666" t="s">
        <v>5918</v>
      </c>
      <c r="C2666" t="s">
        <v>47</v>
      </c>
      <c r="D2666" t="s">
        <v>6066</v>
      </c>
      <c r="E2666" t="s">
        <v>6066</v>
      </c>
      <c r="F2666" t="s">
        <v>49</v>
      </c>
      <c r="G2666" t="s">
        <v>6067</v>
      </c>
      <c r="H2666" t="s">
        <v>6068</v>
      </c>
      <c r="J2666" t="str">
        <f>HYPERLINK("https://www.facebook.com/454965103328545/posts/755939476564438?comment_id=765813341636662","https://www.facebook.com/454965103328545/posts/755939476564438?comment_id=765813341636662")</f>
        <v>https://www.facebook.com/454965103328545/posts/755939476564438?comment_id=765813341636662</v>
      </c>
      <c r="O2666">
        <v>0</v>
      </c>
      <c r="P2666">
        <v>0</v>
      </c>
      <c r="Q2666">
        <v>0</v>
      </c>
      <c r="S2666">
        <v>0</v>
      </c>
      <c r="T2666">
        <v>0</v>
      </c>
      <c r="U2666">
        <v>0</v>
      </c>
      <c r="W2666" t="s">
        <v>62</v>
      </c>
      <c r="AP2666" t="s">
        <v>94</v>
      </c>
      <c r="AS2666" t="s">
        <v>375</v>
      </c>
    </row>
    <row r="2667" spans="1:45" x14ac:dyDescent="0.35">
      <c r="A2667" t="s">
        <v>45</v>
      </c>
      <c r="B2667" t="s">
        <v>5918</v>
      </c>
      <c r="C2667" t="s">
        <v>58</v>
      </c>
      <c r="D2667" t="s">
        <v>6069</v>
      </c>
      <c r="E2667" t="s">
        <v>6069</v>
      </c>
      <c r="F2667" t="s">
        <v>49</v>
      </c>
      <c r="G2667" t="s">
        <v>6070</v>
      </c>
      <c r="H2667" t="s">
        <v>6071</v>
      </c>
      <c r="J2667" t="str">
        <f>HYPERLINK("https://www.youtube.com/watch?v=DD3L29w9F5M&amp;lc=UgwjvrZu2A71sJu-olJ4AaABAg","https://www.youtube.com/watch?v=DD3L29w9F5M&amp;lc=UgwjvrZu2A71sJu-olJ4AaABAg")</f>
        <v>https://www.youtube.com/watch?v=DD3L29w9F5M&amp;lc=UgwjvrZu2A71sJu-olJ4AaABAg</v>
      </c>
      <c r="O2667">
        <v>0</v>
      </c>
      <c r="P2667">
        <v>0</v>
      </c>
      <c r="Q2667">
        <v>0</v>
      </c>
      <c r="S2667">
        <v>0</v>
      </c>
      <c r="T2667">
        <v>0</v>
      </c>
      <c r="U2667">
        <v>0</v>
      </c>
      <c r="W2667" t="s">
        <v>62</v>
      </c>
    </row>
    <row r="2668" spans="1:45" x14ac:dyDescent="0.35">
      <c r="A2668" t="s">
        <v>45</v>
      </c>
      <c r="B2668" t="s">
        <v>5918</v>
      </c>
      <c r="C2668" t="s">
        <v>139</v>
      </c>
      <c r="D2668" t="s">
        <v>190</v>
      </c>
      <c r="E2668" t="s">
        <v>45</v>
      </c>
      <c r="F2668" t="s">
        <v>49</v>
      </c>
      <c r="G2668" t="s">
        <v>5915</v>
      </c>
      <c r="H2668" t="s">
        <v>6072</v>
      </c>
      <c r="J2668" t="str">
        <f>HYPERLINK("https://twitter.com/FinoPaymntsBank/status/1757231575287435446","https://twitter.com/FinoPaymntsBank/status/1757231575287435446")</f>
        <v>https://twitter.com/FinoPaymntsBank/status/1757231575287435446</v>
      </c>
      <c r="K2668" t="s">
        <v>145</v>
      </c>
      <c r="O2668">
        <v>0</v>
      </c>
      <c r="P2668">
        <v>0</v>
      </c>
      <c r="Q2668">
        <v>8377</v>
      </c>
      <c r="R2668" t="s">
        <v>193</v>
      </c>
      <c r="S2668">
        <v>0</v>
      </c>
      <c r="T2668">
        <v>0</v>
      </c>
      <c r="U2668">
        <v>0</v>
      </c>
      <c r="W2668" t="s">
        <v>146</v>
      </c>
    </row>
    <row r="2669" spans="1:45" x14ac:dyDescent="0.35">
      <c r="A2669" t="s">
        <v>45</v>
      </c>
      <c r="B2669" t="s">
        <v>5918</v>
      </c>
      <c r="C2669" t="s">
        <v>58</v>
      </c>
      <c r="D2669" t="s">
        <v>6073</v>
      </c>
      <c r="E2669" t="s">
        <v>6073</v>
      </c>
      <c r="F2669" t="s">
        <v>49</v>
      </c>
      <c r="G2669" t="s">
        <v>6074</v>
      </c>
      <c r="H2669" t="s">
        <v>6075</v>
      </c>
      <c r="J2669" t="str">
        <f>HYPERLINK("https://www.youtube.com/watch?v=wyViJw0NOYM","https://www.youtube.com/watch?v=wyViJw0NOYM")</f>
        <v>https://www.youtube.com/watch?v=wyViJw0NOYM</v>
      </c>
      <c r="O2669">
        <v>0</v>
      </c>
      <c r="P2669">
        <v>0</v>
      </c>
      <c r="Q2669">
        <v>0</v>
      </c>
      <c r="S2669">
        <v>0</v>
      </c>
      <c r="T2669">
        <v>0</v>
      </c>
      <c r="U2669">
        <v>0</v>
      </c>
      <c r="W2669" t="s">
        <v>106</v>
      </c>
    </row>
    <row r="2670" spans="1:45" x14ac:dyDescent="0.35">
      <c r="A2670" t="s">
        <v>45</v>
      </c>
      <c r="B2670" t="s">
        <v>5918</v>
      </c>
      <c r="C2670" t="s">
        <v>63</v>
      </c>
      <c r="D2670" t="s">
        <v>186</v>
      </c>
      <c r="E2670" t="s">
        <v>186</v>
      </c>
      <c r="F2670" t="s">
        <v>49</v>
      </c>
      <c r="G2670" t="s">
        <v>6076</v>
      </c>
      <c r="H2670" t="s">
        <v>6077</v>
      </c>
      <c r="J2670" t="str">
        <f>HYPERLINK("https://www.instagram.com/p/C3RV2rJP1SA/","https://www.instagram.com/p/C3RV2rJP1SA/")</f>
        <v>https://www.instagram.com/p/C3RV2rJP1SA/</v>
      </c>
      <c r="O2670">
        <v>0</v>
      </c>
      <c r="P2670">
        <v>0</v>
      </c>
      <c r="Q2670">
        <v>0</v>
      </c>
      <c r="S2670">
        <v>0</v>
      </c>
      <c r="T2670">
        <v>65</v>
      </c>
      <c r="U2670">
        <v>0</v>
      </c>
      <c r="W2670" t="s">
        <v>106</v>
      </c>
    </row>
    <row r="2671" spans="1:45" x14ac:dyDescent="0.35">
      <c r="A2671" t="s">
        <v>45</v>
      </c>
      <c r="B2671" t="s">
        <v>5918</v>
      </c>
      <c r="C2671" t="s">
        <v>47</v>
      </c>
      <c r="D2671" t="s">
        <v>45</v>
      </c>
      <c r="E2671" t="s">
        <v>45</v>
      </c>
      <c r="F2671" t="s">
        <v>49</v>
      </c>
      <c r="G2671" t="s">
        <v>6076</v>
      </c>
      <c r="H2671" t="s">
        <v>6078</v>
      </c>
      <c r="J2671" t="str">
        <f>HYPERLINK("https://www.facebook.com/357267201017935_766283632196689","https://www.facebook.com/357267201017935_766283632196689")</f>
        <v>https://www.facebook.com/357267201017935_766283632196689</v>
      </c>
      <c r="O2671">
        <v>0</v>
      </c>
      <c r="P2671">
        <v>0</v>
      </c>
      <c r="Q2671">
        <v>0</v>
      </c>
      <c r="S2671">
        <v>2</v>
      </c>
      <c r="T2671">
        <v>55</v>
      </c>
      <c r="U2671">
        <v>1</v>
      </c>
      <c r="W2671" t="s">
        <v>106</v>
      </c>
    </row>
    <row r="2672" spans="1:45" x14ac:dyDescent="0.35">
      <c r="A2672" t="s">
        <v>45</v>
      </c>
      <c r="B2672" t="s">
        <v>6079</v>
      </c>
      <c r="C2672" t="s">
        <v>58</v>
      </c>
      <c r="D2672" t="s">
        <v>5485</v>
      </c>
      <c r="E2672" t="s">
        <v>5485</v>
      </c>
      <c r="F2672" t="s">
        <v>76</v>
      </c>
      <c r="G2672" t="s">
        <v>6080</v>
      </c>
      <c r="H2672" t="s">
        <v>6081</v>
      </c>
      <c r="J2672" t="str">
        <f>HYPERLINK("https://www.youtube.com/watch?v=EYdYgF0EKUg","https://www.youtube.com/watch?v=EYdYgF0EKUg")</f>
        <v>https://www.youtube.com/watch?v=EYdYgF0EKUg</v>
      </c>
      <c r="O2672">
        <v>0</v>
      </c>
      <c r="P2672">
        <v>0</v>
      </c>
      <c r="Q2672">
        <v>0</v>
      </c>
      <c r="S2672">
        <v>0</v>
      </c>
      <c r="T2672">
        <v>0</v>
      </c>
      <c r="U2672">
        <v>0</v>
      </c>
      <c r="W2672" t="s">
        <v>106</v>
      </c>
      <c r="AP2672" t="s">
        <v>101</v>
      </c>
    </row>
    <row r="2673" spans="1:45" x14ac:dyDescent="0.35">
      <c r="A2673" t="s">
        <v>45</v>
      </c>
      <c r="B2673" t="s">
        <v>6079</v>
      </c>
      <c r="C2673" t="s">
        <v>47</v>
      </c>
      <c r="D2673" t="s">
        <v>6082</v>
      </c>
      <c r="E2673" t="s">
        <v>6082</v>
      </c>
      <c r="F2673" t="s">
        <v>49</v>
      </c>
      <c r="G2673" t="s">
        <v>6083</v>
      </c>
      <c r="H2673" t="s">
        <v>6084</v>
      </c>
      <c r="J2673" t="str">
        <f>HYPERLINK("https://www.facebook.com/454965103328545/posts/755939476564438?comment_id=7059624540798127","https://www.facebook.com/454965103328545/posts/755939476564438?comment_id=7059624540798127")</f>
        <v>https://www.facebook.com/454965103328545/posts/755939476564438?comment_id=7059624540798127</v>
      </c>
      <c r="O2673">
        <v>0</v>
      </c>
      <c r="P2673">
        <v>0</v>
      </c>
      <c r="Q2673">
        <v>0</v>
      </c>
      <c r="S2673">
        <v>0</v>
      </c>
      <c r="T2673">
        <v>0</v>
      </c>
      <c r="U2673">
        <v>0</v>
      </c>
      <c r="W2673" t="s">
        <v>62</v>
      </c>
      <c r="AS2673" t="s">
        <v>375</v>
      </c>
    </row>
    <row r="2674" spans="1:45" x14ac:dyDescent="0.35">
      <c r="A2674" t="s">
        <v>45</v>
      </c>
      <c r="B2674" t="s">
        <v>6079</v>
      </c>
      <c r="C2674" t="s">
        <v>58</v>
      </c>
      <c r="D2674" t="s">
        <v>6085</v>
      </c>
      <c r="E2674" t="s">
        <v>6085</v>
      </c>
      <c r="F2674" t="s">
        <v>49</v>
      </c>
      <c r="G2674" t="s">
        <v>6086</v>
      </c>
      <c r="H2674" t="s">
        <v>6087</v>
      </c>
      <c r="J2674" t="str">
        <f>HYPERLINK("https://www.youtube.com/watch?v=lxuDDfPqPY8","https://www.youtube.com/watch?v=lxuDDfPqPY8")</f>
        <v>https://www.youtube.com/watch?v=lxuDDfPqPY8</v>
      </c>
      <c r="O2674">
        <v>0</v>
      </c>
      <c r="P2674">
        <v>0</v>
      </c>
      <c r="Q2674">
        <v>0</v>
      </c>
      <c r="S2674">
        <v>0</v>
      </c>
      <c r="T2674">
        <v>0</v>
      </c>
      <c r="U2674">
        <v>0</v>
      </c>
      <c r="W2674" t="s">
        <v>106</v>
      </c>
    </row>
    <row r="2675" spans="1:45" x14ac:dyDescent="0.35">
      <c r="A2675" t="s">
        <v>45</v>
      </c>
      <c r="B2675" t="s">
        <v>6079</v>
      </c>
      <c r="C2675" t="s">
        <v>47</v>
      </c>
      <c r="D2675" t="s">
        <v>45</v>
      </c>
      <c r="E2675" t="s">
        <v>45</v>
      </c>
      <c r="F2675" t="s">
        <v>49</v>
      </c>
      <c r="H2675" t="s">
        <v>6088</v>
      </c>
      <c r="J2675" t="str">
        <f>HYPERLINK("https://www.facebook.com/357267201017935_399187775933661","https://www.facebook.com/357267201017935_399187775933661")</f>
        <v>https://www.facebook.com/357267201017935_399187775933661</v>
      </c>
      <c r="O2675">
        <v>0</v>
      </c>
      <c r="P2675">
        <v>0</v>
      </c>
      <c r="Q2675">
        <v>0</v>
      </c>
      <c r="S2675">
        <v>0</v>
      </c>
      <c r="T2675">
        <v>0</v>
      </c>
      <c r="U2675">
        <v>0</v>
      </c>
      <c r="W2675" t="s">
        <v>106</v>
      </c>
      <c r="AS2675" t="s">
        <v>115</v>
      </c>
    </row>
    <row r="2676" spans="1:45" x14ac:dyDescent="0.35">
      <c r="A2676" t="s">
        <v>45</v>
      </c>
      <c r="B2676" t="s">
        <v>6079</v>
      </c>
      <c r="C2676" t="s">
        <v>47</v>
      </c>
      <c r="D2676" t="s">
        <v>45</v>
      </c>
      <c r="E2676" t="s">
        <v>45</v>
      </c>
      <c r="F2676" t="s">
        <v>49</v>
      </c>
      <c r="H2676" t="s">
        <v>6089</v>
      </c>
      <c r="J2676" t="str">
        <f>HYPERLINK("https://www.facebook.com/357267201017935_906160971300754","https://www.facebook.com/357267201017935_906160971300754")</f>
        <v>https://www.facebook.com/357267201017935_906160971300754</v>
      </c>
      <c r="O2676">
        <v>0</v>
      </c>
      <c r="P2676">
        <v>0</v>
      </c>
      <c r="Q2676">
        <v>0</v>
      </c>
      <c r="S2676">
        <v>0</v>
      </c>
      <c r="T2676">
        <v>0</v>
      </c>
      <c r="U2676">
        <v>0</v>
      </c>
      <c r="W2676" t="s">
        <v>106</v>
      </c>
      <c r="AS2676" t="s">
        <v>115</v>
      </c>
    </row>
    <row r="2677" spans="1:45" x14ac:dyDescent="0.35">
      <c r="A2677" t="s">
        <v>45</v>
      </c>
      <c r="B2677" t="s">
        <v>6079</v>
      </c>
      <c r="C2677" t="s">
        <v>47</v>
      </c>
      <c r="D2677" t="s">
        <v>6090</v>
      </c>
      <c r="E2677" t="s">
        <v>6090</v>
      </c>
      <c r="F2677" t="s">
        <v>49</v>
      </c>
      <c r="G2677" t="s">
        <v>6091</v>
      </c>
      <c r="H2677" t="s">
        <v>6092</v>
      </c>
      <c r="J2677" t="str">
        <f>HYPERLINK("https://www.facebook.com/357267201017935/inbox/7032676453476943/","https://www.facebook.com/357267201017935/inbox/7032676453476943/")</f>
        <v>https://www.facebook.com/357267201017935/inbox/7032676453476943/</v>
      </c>
      <c r="O2677">
        <v>0</v>
      </c>
      <c r="P2677">
        <v>0</v>
      </c>
      <c r="Q2677">
        <v>0</v>
      </c>
      <c r="S2677">
        <v>0</v>
      </c>
      <c r="T2677">
        <v>0</v>
      </c>
      <c r="U2677">
        <v>0</v>
      </c>
      <c r="W2677" t="s">
        <v>52</v>
      </c>
      <c r="AO2677" t="s">
        <v>119</v>
      </c>
      <c r="AP2677" t="s">
        <v>101</v>
      </c>
      <c r="AS2677" t="s">
        <v>375</v>
      </c>
    </row>
    <row r="2678" spans="1:45" x14ac:dyDescent="0.35">
      <c r="A2678" t="s">
        <v>45</v>
      </c>
      <c r="B2678" t="s">
        <v>6079</v>
      </c>
      <c r="C2678" t="s">
        <v>47</v>
      </c>
      <c r="D2678" t="s">
        <v>45</v>
      </c>
      <c r="E2678" t="s">
        <v>45</v>
      </c>
      <c r="F2678" t="s">
        <v>49</v>
      </c>
      <c r="H2678" t="s">
        <v>6093</v>
      </c>
      <c r="J2678" t="str">
        <f>HYPERLINK("https://www.facebook.com/357267201017935_241630072333925","https://www.facebook.com/357267201017935_241630072333925")</f>
        <v>https://www.facebook.com/357267201017935_241630072333925</v>
      </c>
      <c r="O2678">
        <v>0</v>
      </c>
      <c r="P2678">
        <v>0</v>
      </c>
      <c r="Q2678">
        <v>0</v>
      </c>
      <c r="S2678">
        <v>0</v>
      </c>
      <c r="T2678">
        <v>0</v>
      </c>
      <c r="U2678">
        <v>0</v>
      </c>
      <c r="W2678" t="s">
        <v>106</v>
      </c>
      <c r="AS2678" t="s">
        <v>115</v>
      </c>
    </row>
    <row r="2679" spans="1:45" x14ac:dyDescent="0.35">
      <c r="A2679" t="s">
        <v>45</v>
      </c>
      <c r="B2679" t="s">
        <v>6079</v>
      </c>
      <c r="C2679" t="s">
        <v>47</v>
      </c>
      <c r="D2679" t="s">
        <v>220</v>
      </c>
      <c r="E2679" t="s">
        <v>220</v>
      </c>
      <c r="F2679" t="s">
        <v>49</v>
      </c>
      <c r="G2679" t="s">
        <v>6094</v>
      </c>
      <c r="H2679" t="s">
        <v>6095</v>
      </c>
      <c r="J2679" t="str">
        <f>HYPERLINK("https://www.facebook.com/454965103328545/posts/755939476564438?comment_id=693746702963019","https://www.facebook.com/454965103328545/posts/755939476564438?comment_id=693746702963019")</f>
        <v>https://www.facebook.com/454965103328545/posts/755939476564438?comment_id=693746702963019</v>
      </c>
      <c r="O2679">
        <v>0</v>
      </c>
      <c r="P2679">
        <v>0</v>
      </c>
      <c r="Q2679">
        <v>0</v>
      </c>
      <c r="S2679">
        <v>0</v>
      </c>
      <c r="T2679">
        <v>0</v>
      </c>
      <c r="U2679">
        <v>0</v>
      </c>
      <c r="W2679" t="s">
        <v>62</v>
      </c>
      <c r="AO2679" t="s">
        <v>119</v>
      </c>
      <c r="AP2679" t="s">
        <v>101</v>
      </c>
      <c r="AS2679" t="s">
        <v>375</v>
      </c>
    </row>
    <row r="2680" spans="1:45" x14ac:dyDescent="0.35">
      <c r="A2680" t="s">
        <v>45</v>
      </c>
      <c r="B2680" t="s">
        <v>6079</v>
      </c>
      <c r="C2680" t="s">
        <v>139</v>
      </c>
      <c r="D2680" t="s">
        <v>6052</v>
      </c>
      <c r="E2680" t="s">
        <v>6053</v>
      </c>
      <c r="F2680" t="s">
        <v>49</v>
      </c>
      <c r="G2680" t="s">
        <v>6096</v>
      </c>
      <c r="H2680" t="s">
        <v>6097</v>
      </c>
      <c r="J2680" t="str">
        <f>HYPERLINK("https://twitter.com/kuma74413/status/1757010314392932840","https://twitter.com/kuma74413/status/1757010314392932840")</f>
        <v>https://twitter.com/kuma74413/status/1757010314392932840</v>
      </c>
      <c r="K2680" t="s">
        <v>145</v>
      </c>
      <c r="O2680">
        <v>0</v>
      </c>
      <c r="P2680">
        <v>0</v>
      </c>
      <c r="Q2680">
        <v>25</v>
      </c>
      <c r="S2680">
        <v>0</v>
      </c>
      <c r="T2680">
        <v>0</v>
      </c>
      <c r="U2680">
        <v>0</v>
      </c>
      <c r="W2680" t="s">
        <v>146</v>
      </c>
      <c r="AO2680" t="s">
        <v>119</v>
      </c>
      <c r="AP2680" t="s">
        <v>101</v>
      </c>
      <c r="AS2680" t="s">
        <v>375</v>
      </c>
    </row>
    <row r="2681" spans="1:45" x14ac:dyDescent="0.35">
      <c r="A2681" t="s">
        <v>45</v>
      </c>
      <c r="B2681" t="s">
        <v>6079</v>
      </c>
      <c r="C2681" t="s">
        <v>47</v>
      </c>
      <c r="D2681" t="s">
        <v>246</v>
      </c>
      <c r="E2681" t="s">
        <v>246</v>
      </c>
      <c r="F2681" t="s">
        <v>49</v>
      </c>
      <c r="G2681" t="s">
        <v>6098</v>
      </c>
      <c r="H2681" t="s">
        <v>6099</v>
      </c>
      <c r="J2681" t="str">
        <f>HYPERLINK("https://www.facebook.com/454965103328545/posts/763871475771238?comment_id=784429353532261&amp;reply_comment_id=915966793321244","https://www.facebook.com/454965103328545/posts/763871475771238?comment_id=784429353532261&amp;reply_comment_id=915966793321244")</f>
        <v>https://www.facebook.com/454965103328545/posts/763871475771238?comment_id=784429353532261&amp;reply_comment_id=915966793321244</v>
      </c>
      <c r="O2681">
        <v>0</v>
      </c>
      <c r="P2681">
        <v>0</v>
      </c>
      <c r="Q2681">
        <v>0</v>
      </c>
      <c r="S2681">
        <v>0</v>
      </c>
      <c r="T2681">
        <v>0</v>
      </c>
      <c r="U2681">
        <v>0</v>
      </c>
      <c r="W2681" t="s">
        <v>62</v>
      </c>
      <c r="AP2681" t="s">
        <v>147</v>
      </c>
      <c r="AS2681" t="s">
        <v>375</v>
      </c>
    </row>
    <row r="2682" spans="1:45" x14ac:dyDescent="0.35">
      <c r="A2682" t="s">
        <v>45</v>
      </c>
      <c r="B2682" t="s">
        <v>6079</v>
      </c>
      <c r="C2682" t="s">
        <v>47</v>
      </c>
      <c r="D2682" t="s">
        <v>5742</v>
      </c>
      <c r="E2682" t="s">
        <v>5742</v>
      </c>
      <c r="F2682" t="s">
        <v>49</v>
      </c>
      <c r="G2682" t="s">
        <v>6100</v>
      </c>
      <c r="H2682" t="s">
        <v>6101</v>
      </c>
      <c r="J2682" t="str">
        <f>HYPERLINK("https://www.facebook.com/357267201017935/inbox/7032249133519675/","https://www.facebook.com/357267201017935/inbox/7032249133519675/")</f>
        <v>https://www.facebook.com/357267201017935/inbox/7032249133519675/</v>
      </c>
      <c r="O2682">
        <v>0</v>
      </c>
      <c r="P2682">
        <v>0</v>
      </c>
      <c r="Q2682">
        <v>0</v>
      </c>
      <c r="S2682">
        <v>0</v>
      </c>
      <c r="T2682">
        <v>0</v>
      </c>
      <c r="U2682">
        <v>0</v>
      </c>
      <c r="W2682" t="s">
        <v>52</v>
      </c>
      <c r="AS2682" t="s">
        <v>375</v>
      </c>
    </row>
    <row r="2683" spans="1:45" x14ac:dyDescent="0.35">
      <c r="A2683" t="s">
        <v>45</v>
      </c>
      <c r="B2683" t="s">
        <v>6079</v>
      </c>
      <c r="C2683" t="s">
        <v>47</v>
      </c>
      <c r="D2683" t="s">
        <v>6102</v>
      </c>
      <c r="E2683" t="s">
        <v>6102</v>
      </c>
      <c r="F2683" t="s">
        <v>142</v>
      </c>
      <c r="G2683" t="s">
        <v>6103</v>
      </c>
      <c r="H2683" t="s">
        <v>6104</v>
      </c>
      <c r="J2683" t="str">
        <f>HYPERLINK("https://www.facebook.com/454965103328545/videos/3697954183759550?comment_id=697488382542596","https://www.facebook.com/454965103328545/videos/3697954183759550?comment_id=697488382542596")</f>
        <v>https://www.facebook.com/454965103328545/videos/3697954183759550?comment_id=697488382542596</v>
      </c>
      <c r="O2683">
        <v>0</v>
      </c>
      <c r="P2683">
        <v>0</v>
      </c>
      <c r="Q2683">
        <v>0</v>
      </c>
      <c r="S2683">
        <v>0</v>
      </c>
      <c r="T2683">
        <v>0</v>
      </c>
      <c r="U2683">
        <v>0</v>
      </c>
      <c r="W2683" t="s">
        <v>62</v>
      </c>
      <c r="AP2683" t="s">
        <v>147</v>
      </c>
      <c r="AS2683" t="s">
        <v>375</v>
      </c>
    </row>
    <row r="2684" spans="1:45" x14ac:dyDescent="0.35">
      <c r="A2684" t="s">
        <v>45</v>
      </c>
      <c r="B2684" t="s">
        <v>6079</v>
      </c>
      <c r="C2684" t="s">
        <v>47</v>
      </c>
      <c r="D2684" t="s">
        <v>6105</v>
      </c>
      <c r="E2684" t="s">
        <v>6105</v>
      </c>
      <c r="F2684" t="s">
        <v>49</v>
      </c>
      <c r="G2684" t="s">
        <v>6106</v>
      </c>
      <c r="H2684" t="s">
        <v>6107</v>
      </c>
      <c r="J2684" t="str">
        <f>HYPERLINK("https://www.facebook.com/357267201017935/posts/3069910089753619/?comment_id=2701556100000191","https://www.facebook.com/357267201017935/posts/3069910089753619/?comment_id=2701556100000191")</f>
        <v>https://www.facebook.com/357267201017935/posts/3069910089753619/?comment_id=2701556100000191</v>
      </c>
      <c r="O2684">
        <v>0</v>
      </c>
      <c r="P2684">
        <v>0</v>
      </c>
      <c r="Q2684">
        <v>0</v>
      </c>
      <c r="S2684">
        <v>0</v>
      </c>
      <c r="T2684">
        <v>0</v>
      </c>
      <c r="U2684">
        <v>0</v>
      </c>
      <c r="W2684" t="s">
        <v>62</v>
      </c>
      <c r="AS2684" t="s">
        <v>375</v>
      </c>
    </row>
    <row r="2685" spans="1:45" x14ac:dyDescent="0.35">
      <c r="A2685" t="s">
        <v>45</v>
      </c>
      <c r="B2685" t="s">
        <v>6079</v>
      </c>
      <c r="C2685" t="s">
        <v>47</v>
      </c>
      <c r="D2685" t="s">
        <v>6108</v>
      </c>
      <c r="E2685" t="s">
        <v>6108</v>
      </c>
      <c r="F2685" t="s">
        <v>49</v>
      </c>
      <c r="G2685" t="s">
        <v>6109</v>
      </c>
      <c r="H2685" t="s">
        <v>6110</v>
      </c>
      <c r="J2685" t="str">
        <f>HYPERLINK("https://www.facebook.com/357267201017935/posts/3069910089753619/?comment_id=420633470336919","https://www.facebook.com/357267201017935/posts/3069910089753619/?comment_id=420633470336919")</f>
        <v>https://www.facebook.com/357267201017935/posts/3069910089753619/?comment_id=420633470336919</v>
      </c>
      <c r="O2685">
        <v>0</v>
      </c>
      <c r="P2685">
        <v>0</v>
      </c>
      <c r="Q2685">
        <v>0</v>
      </c>
      <c r="S2685">
        <v>0</v>
      </c>
      <c r="T2685">
        <v>0</v>
      </c>
      <c r="U2685">
        <v>0</v>
      </c>
      <c r="W2685" t="s">
        <v>62</v>
      </c>
      <c r="AS2685" t="s">
        <v>375</v>
      </c>
    </row>
    <row r="2686" spans="1:45" x14ac:dyDescent="0.35">
      <c r="A2686" t="s">
        <v>45</v>
      </c>
      <c r="B2686" t="s">
        <v>6079</v>
      </c>
      <c r="C2686" t="s">
        <v>139</v>
      </c>
      <c r="D2686" t="s">
        <v>6111</v>
      </c>
      <c r="E2686" t="s">
        <v>6112</v>
      </c>
      <c r="F2686" t="s">
        <v>142</v>
      </c>
      <c r="G2686" t="s">
        <v>5601</v>
      </c>
      <c r="H2686" t="s">
        <v>6113</v>
      </c>
      <c r="J2686" t="str">
        <f>HYPERLINK("https://twitter.com/Sankalp_359/status/1756906844654862731","https://twitter.com/Sankalp_359/status/1756906844654862731")</f>
        <v>https://twitter.com/Sankalp_359/status/1756906844654862731</v>
      </c>
      <c r="K2686" t="s">
        <v>145</v>
      </c>
      <c r="O2686">
        <v>0</v>
      </c>
      <c r="P2686">
        <v>0</v>
      </c>
      <c r="Q2686">
        <v>293</v>
      </c>
      <c r="R2686" t="s">
        <v>582</v>
      </c>
      <c r="S2686">
        <v>0</v>
      </c>
      <c r="T2686">
        <v>0</v>
      </c>
      <c r="U2686">
        <v>0</v>
      </c>
      <c r="W2686" t="s">
        <v>552</v>
      </c>
    </row>
    <row r="2687" spans="1:45" x14ac:dyDescent="0.35">
      <c r="A2687" t="s">
        <v>45</v>
      </c>
      <c r="B2687" t="s">
        <v>6079</v>
      </c>
      <c r="C2687" t="s">
        <v>58</v>
      </c>
      <c r="D2687" t="s">
        <v>6085</v>
      </c>
      <c r="E2687" t="s">
        <v>6085</v>
      </c>
      <c r="F2687" t="s">
        <v>49</v>
      </c>
      <c r="G2687" t="s">
        <v>6114</v>
      </c>
      <c r="H2687" t="s">
        <v>6115</v>
      </c>
      <c r="J2687" t="str">
        <f>HYPERLINK("https://www.youtube.com/watch?v=BtQ2-aMjvNA","https://www.youtube.com/watch?v=BtQ2-aMjvNA")</f>
        <v>https://www.youtube.com/watch?v=BtQ2-aMjvNA</v>
      </c>
      <c r="O2687">
        <v>0</v>
      </c>
      <c r="P2687">
        <v>0</v>
      </c>
      <c r="Q2687">
        <v>0</v>
      </c>
      <c r="S2687">
        <v>0</v>
      </c>
      <c r="T2687">
        <v>0</v>
      </c>
      <c r="U2687">
        <v>0</v>
      </c>
      <c r="W2687" t="s">
        <v>106</v>
      </c>
    </row>
    <row r="2688" spans="1:45" x14ac:dyDescent="0.35">
      <c r="A2688" t="s">
        <v>45</v>
      </c>
      <c r="B2688" t="s">
        <v>6079</v>
      </c>
      <c r="C2688" t="s">
        <v>58</v>
      </c>
      <c r="D2688" t="s">
        <v>6116</v>
      </c>
      <c r="E2688" t="s">
        <v>6116</v>
      </c>
      <c r="F2688" t="s">
        <v>49</v>
      </c>
      <c r="G2688" t="s">
        <v>6117</v>
      </c>
      <c r="H2688" t="s">
        <v>6118</v>
      </c>
      <c r="J2688" t="str">
        <f>HYPERLINK("https://www.youtube.com/watch?v=5B-1Bqw4dpU","https://www.youtube.com/watch?v=5B-1Bqw4dpU")</f>
        <v>https://www.youtube.com/watch?v=5B-1Bqw4dpU</v>
      </c>
      <c r="O2688">
        <v>0</v>
      </c>
      <c r="P2688">
        <v>0</v>
      </c>
      <c r="Q2688">
        <v>0</v>
      </c>
      <c r="S2688">
        <v>0</v>
      </c>
      <c r="T2688">
        <v>0</v>
      </c>
      <c r="U2688">
        <v>0</v>
      </c>
      <c r="W2688" t="s">
        <v>106</v>
      </c>
    </row>
    <row r="2689" spans="1:45" x14ac:dyDescent="0.35">
      <c r="A2689" t="s">
        <v>45</v>
      </c>
      <c r="B2689" t="s">
        <v>6119</v>
      </c>
      <c r="C2689" t="s">
        <v>139</v>
      </c>
      <c r="D2689" t="s">
        <v>6120</v>
      </c>
      <c r="E2689" t="s">
        <v>6121</v>
      </c>
      <c r="F2689" t="s">
        <v>142</v>
      </c>
      <c r="G2689" t="s">
        <v>6122</v>
      </c>
      <c r="H2689" t="s">
        <v>6123</v>
      </c>
      <c r="J2689" t="str">
        <f>HYPERLINK("https://twitter.com/tarceazmat/status/1756727708338336128","https://twitter.com/tarceazmat/status/1756727708338336128")</f>
        <v>https://twitter.com/tarceazmat/status/1756727708338336128</v>
      </c>
      <c r="K2689" t="s">
        <v>1769</v>
      </c>
      <c r="O2689">
        <v>0</v>
      </c>
      <c r="P2689">
        <v>0</v>
      </c>
      <c r="Q2689">
        <v>5</v>
      </c>
      <c r="R2689" t="s">
        <v>6124</v>
      </c>
      <c r="S2689">
        <v>0</v>
      </c>
      <c r="T2689">
        <v>0</v>
      </c>
      <c r="U2689">
        <v>0</v>
      </c>
      <c r="W2689" t="s">
        <v>146</v>
      </c>
    </row>
    <row r="2690" spans="1:45" x14ac:dyDescent="0.35">
      <c r="A2690" t="s">
        <v>45</v>
      </c>
      <c r="B2690" t="s">
        <v>6119</v>
      </c>
      <c r="C2690" t="s">
        <v>139</v>
      </c>
      <c r="D2690" t="s">
        <v>6125</v>
      </c>
      <c r="E2690" t="s">
        <v>6126</v>
      </c>
      <c r="F2690" t="s">
        <v>142</v>
      </c>
      <c r="G2690" t="s">
        <v>5601</v>
      </c>
      <c r="H2690" t="s">
        <v>6127</v>
      </c>
      <c r="J2690" t="str">
        <f>HYPERLINK("https://twitter.com/AyanAllahbadia/status/1756717105318093294","https://twitter.com/AyanAllahbadia/status/1756717105318093294")</f>
        <v>https://twitter.com/AyanAllahbadia/status/1756717105318093294</v>
      </c>
      <c r="K2690" t="s">
        <v>145</v>
      </c>
      <c r="O2690">
        <v>0</v>
      </c>
      <c r="P2690">
        <v>0</v>
      </c>
      <c r="Q2690">
        <v>226</v>
      </c>
      <c r="R2690" t="s">
        <v>6128</v>
      </c>
      <c r="S2690">
        <v>0</v>
      </c>
      <c r="T2690">
        <v>0</v>
      </c>
      <c r="U2690">
        <v>0</v>
      </c>
      <c r="W2690" t="s">
        <v>552</v>
      </c>
    </row>
    <row r="2691" spans="1:45" x14ac:dyDescent="0.35">
      <c r="A2691" t="s">
        <v>45</v>
      </c>
      <c r="B2691" t="s">
        <v>6119</v>
      </c>
      <c r="C2691" t="s">
        <v>47</v>
      </c>
      <c r="D2691" t="s">
        <v>6129</v>
      </c>
      <c r="E2691" t="s">
        <v>6129</v>
      </c>
      <c r="F2691" t="s">
        <v>49</v>
      </c>
      <c r="G2691" t="s">
        <v>373</v>
      </c>
      <c r="H2691" t="s">
        <v>6130</v>
      </c>
      <c r="J2691" t="str">
        <f>HYPERLINK("https://www.facebook.com/357267201017935/inbox/7029597550451500/","https://www.facebook.com/357267201017935/inbox/7029597550451500/")</f>
        <v>https://www.facebook.com/357267201017935/inbox/7029597550451500/</v>
      </c>
      <c r="O2691">
        <v>0</v>
      </c>
      <c r="P2691">
        <v>0</v>
      </c>
      <c r="Q2691">
        <v>0</v>
      </c>
      <c r="S2691">
        <v>0</v>
      </c>
      <c r="T2691">
        <v>0</v>
      </c>
      <c r="U2691">
        <v>0</v>
      </c>
      <c r="W2691" t="s">
        <v>52</v>
      </c>
      <c r="AS2691" t="s">
        <v>375</v>
      </c>
    </row>
    <row r="2692" spans="1:45" x14ac:dyDescent="0.35">
      <c r="A2692" t="s">
        <v>45</v>
      </c>
      <c r="B2692" t="s">
        <v>6119</v>
      </c>
      <c r="C2692" t="s">
        <v>58</v>
      </c>
      <c r="D2692" t="s">
        <v>6131</v>
      </c>
      <c r="E2692" t="s">
        <v>6131</v>
      </c>
      <c r="F2692" t="s">
        <v>49</v>
      </c>
      <c r="G2692" t="s">
        <v>6132</v>
      </c>
      <c r="H2692" t="s">
        <v>6133</v>
      </c>
      <c r="J2692" t="str">
        <f>HYPERLINK("https://www.youtube.com/watch?v=ldrRUZgucgw","https://www.youtube.com/watch?v=ldrRUZgucgw")</f>
        <v>https://www.youtube.com/watch?v=ldrRUZgucgw</v>
      </c>
      <c r="O2692">
        <v>0</v>
      </c>
      <c r="P2692">
        <v>0</v>
      </c>
      <c r="Q2692">
        <v>0</v>
      </c>
      <c r="S2692">
        <v>0</v>
      </c>
      <c r="T2692">
        <v>0</v>
      </c>
      <c r="U2692">
        <v>0</v>
      </c>
      <c r="W2692" t="s">
        <v>106</v>
      </c>
    </row>
    <row r="2693" spans="1:45" x14ac:dyDescent="0.35">
      <c r="A2693" t="s">
        <v>45</v>
      </c>
      <c r="B2693" t="s">
        <v>6119</v>
      </c>
      <c r="C2693" t="s">
        <v>102</v>
      </c>
      <c r="D2693" t="s">
        <v>6134</v>
      </c>
      <c r="E2693" t="s">
        <v>6134</v>
      </c>
      <c r="F2693" t="s">
        <v>49</v>
      </c>
      <c r="G2693" t="s">
        <v>6135</v>
      </c>
      <c r="H2693" t="s">
        <v>6136</v>
      </c>
      <c r="J2693" t="str">
        <f>HYPERLINK("https://www.linkedin.com/feed/update/urn:li:share:7159179277924544514/?commentUrn=urn:li:comment:(urn:li:activity:7159179278708793344,7162457055830786048)","https://www.linkedin.com/feed/update/urn:li:share:7159179277924544514/?commentUrn=urn:li:comment:(urn:li:activity:7159179278708793344,7162457055830786048)")</f>
        <v>https://www.linkedin.com/feed/update/urn:li:share:7159179277924544514/?commentUrn=urn:li:comment:(urn:li:activity:7159179278708793344,7162457055830786048)</v>
      </c>
      <c r="K2693" t="s">
        <v>145</v>
      </c>
      <c r="O2693">
        <v>0</v>
      </c>
      <c r="P2693">
        <v>0</v>
      </c>
      <c r="Q2693">
        <v>0</v>
      </c>
      <c r="S2693">
        <v>0</v>
      </c>
      <c r="T2693">
        <v>0</v>
      </c>
      <c r="U2693">
        <v>0</v>
      </c>
      <c r="W2693" t="s">
        <v>62</v>
      </c>
    </row>
    <row r="2694" spans="1:45" x14ac:dyDescent="0.35">
      <c r="A2694" t="s">
        <v>45</v>
      </c>
      <c r="B2694" t="s">
        <v>6119</v>
      </c>
      <c r="C2694" t="s">
        <v>58</v>
      </c>
      <c r="D2694" t="s">
        <v>6137</v>
      </c>
      <c r="E2694" t="s">
        <v>6137</v>
      </c>
      <c r="F2694" t="s">
        <v>49</v>
      </c>
      <c r="G2694" t="s">
        <v>6138</v>
      </c>
      <c r="H2694" t="s">
        <v>6139</v>
      </c>
      <c r="J2694" t="str">
        <f>HYPERLINK("https://www.youtube.com/watch?v=6DrV2BvdwBA","https://www.youtube.com/watch?v=6DrV2BvdwBA")</f>
        <v>https://www.youtube.com/watch?v=6DrV2BvdwBA</v>
      </c>
      <c r="O2694">
        <v>0</v>
      </c>
      <c r="P2694">
        <v>0</v>
      </c>
      <c r="Q2694">
        <v>0</v>
      </c>
      <c r="S2694">
        <v>0</v>
      </c>
      <c r="T2694">
        <v>0</v>
      </c>
      <c r="U2694">
        <v>0</v>
      </c>
      <c r="W2694" t="s">
        <v>106</v>
      </c>
    </row>
    <row r="2695" spans="1:45" x14ac:dyDescent="0.35">
      <c r="A2695" t="s">
        <v>45</v>
      </c>
      <c r="B2695" t="s">
        <v>6119</v>
      </c>
      <c r="C2695" t="s">
        <v>47</v>
      </c>
      <c r="D2695" t="s">
        <v>6140</v>
      </c>
      <c r="E2695" t="s">
        <v>6140</v>
      </c>
      <c r="F2695" t="s">
        <v>142</v>
      </c>
      <c r="G2695" t="s">
        <v>6141</v>
      </c>
      <c r="H2695" t="s">
        <v>6142</v>
      </c>
      <c r="J2695" t="str">
        <f>HYPERLINK("https://www.facebook.com/454965103328545/posts/734813295343723?comment_id=946859487037619","https://www.facebook.com/454965103328545/posts/734813295343723?comment_id=946859487037619")</f>
        <v>https://www.facebook.com/454965103328545/posts/734813295343723?comment_id=946859487037619</v>
      </c>
      <c r="O2695">
        <v>0</v>
      </c>
      <c r="P2695">
        <v>0</v>
      </c>
      <c r="Q2695">
        <v>0</v>
      </c>
      <c r="S2695">
        <v>0</v>
      </c>
      <c r="T2695">
        <v>0</v>
      </c>
      <c r="U2695">
        <v>0</v>
      </c>
      <c r="W2695" t="s">
        <v>62</v>
      </c>
    </row>
    <row r="2696" spans="1:45" x14ac:dyDescent="0.35">
      <c r="A2696" t="s">
        <v>45</v>
      </c>
      <c r="B2696" t="s">
        <v>6119</v>
      </c>
      <c r="C2696" t="s">
        <v>47</v>
      </c>
      <c r="D2696" t="s">
        <v>6143</v>
      </c>
      <c r="E2696" t="s">
        <v>6143</v>
      </c>
      <c r="F2696" t="s">
        <v>49</v>
      </c>
      <c r="G2696" t="s">
        <v>6144</v>
      </c>
      <c r="H2696" t="s">
        <v>6145</v>
      </c>
      <c r="J2696" t="str">
        <f>HYPERLINK("https://www.facebook.com/357267201017935/inbox/7028845197193402/","https://www.facebook.com/357267201017935/inbox/7028845197193402/")</f>
        <v>https://www.facebook.com/357267201017935/inbox/7028845197193402/</v>
      </c>
      <c r="O2696">
        <v>0</v>
      </c>
      <c r="P2696">
        <v>0</v>
      </c>
      <c r="Q2696">
        <v>0</v>
      </c>
      <c r="S2696">
        <v>0</v>
      </c>
      <c r="T2696">
        <v>0</v>
      </c>
      <c r="U2696">
        <v>0</v>
      </c>
      <c r="W2696" t="s">
        <v>52</v>
      </c>
      <c r="AS2696" t="s">
        <v>375</v>
      </c>
    </row>
    <row r="2697" spans="1:45" x14ac:dyDescent="0.35">
      <c r="A2697" t="s">
        <v>45</v>
      </c>
      <c r="B2697" t="s">
        <v>6119</v>
      </c>
      <c r="C2697" t="s">
        <v>58</v>
      </c>
      <c r="D2697" t="s">
        <v>3440</v>
      </c>
      <c r="E2697" t="s">
        <v>3440</v>
      </c>
      <c r="F2697" t="s">
        <v>49</v>
      </c>
      <c r="G2697" t="s">
        <v>6146</v>
      </c>
      <c r="H2697" t="s">
        <v>6147</v>
      </c>
      <c r="J2697" t="str">
        <f>HYPERLINK("https://www.youtube.com/watch?v=InVtQ7wDYzQ","https://www.youtube.com/watch?v=InVtQ7wDYzQ")</f>
        <v>https://www.youtube.com/watch?v=InVtQ7wDYzQ</v>
      </c>
      <c r="O2697">
        <v>0</v>
      </c>
      <c r="P2697">
        <v>0</v>
      </c>
      <c r="Q2697">
        <v>0</v>
      </c>
      <c r="S2697">
        <v>0</v>
      </c>
      <c r="T2697">
        <v>0</v>
      </c>
      <c r="U2697">
        <v>0</v>
      </c>
      <c r="W2697" t="s">
        <v>106</v>
      </c>
      <c r="AP2697" t="s">
        <v>101</v>
      </c>
    </row>
    <row r="2698" spans="1:45" x14ac:dyDescent="0.35">
      <c r="A2698" t="s">
        <v>45</v>
      </c>
      <c r="B2698" t="s">
        <v>6119</v>
      </c>
      <c r="C2698" t="s">
        <v>58</v>
      </c>
      <c r="D2698" t="s">
        <v>2298</v>
      </c>
      <c r="E2698" t="s">
        <v>2298</v>
      </c>
      <c r="F2698" t="s">
        <v>49</v>
      </c>
      <c r="G2698" t="s">
        <v>6148</v>
      </c>
      <c r="H2698" t="s">
        <v>6149</v>
      </c>
      <c r="J2698" t="str">
        <f>HYPERLINK("https://www.youtube.com/watch?v=fbbXtVWkDKU","https://www.youtube.com/watch?v=fbbXtVWkDKU")</f>
        <v>https://www.youtube.com/watch?v=fbbXtVWkDKU</v>
      </c>
      <c r="O2698">
        <v>0</v>
      </c>
      <c r="P2698">
        <v>0</v>
      </c>
      <c r="Q2698">
        <v>0</v>
      </c>
      <c r="S2698">
        <v>0</v>
      </c>
      <c r="T2698">
        <v>0</v>
      </c>
      <c r="U2698">
        <v>0</v>
      </c>
      <c r="W2698" t="s">
        <v>106</v>
      </c>
    </row>
    <row r="2699" spans="1:45" x14ac:dyDescent="0.35">
      <c r="A2699" t="s">
        <v>45</v>
      </c>
      <c r="B2699" t="s">
        <v>6119</v>
      </c>
      <c r="C2699" t="s">
        <v>58</v>
      </c>
      <c r="D2699" t="s">
        <v>6150</v>
      </c>
      <c r="E2699" t="s">
        <v>6150</v>
      </c>
      <c r="F2699" t="s">
        <v>142</v>
      </c>
      <c r="G2699" t="s">
        <v>6151</v>
      </c>
      <c r="H2699" t="s">
        <v>6152</v>
      </c>
      <c r="J2699" t="str">
        <f>HYPERLINK("https://www.youtube.com/watch?v=LoPGsUzxpGA","https://www.youtube.com/watch?v=LoPGsUzxpGA")</f>
        <v>https://www.youtube.com/watch?v=LoPGsUzxpGA</v>
      </c>
      <c r="O2699">
        <v>0</v>
      </c>
      <c r="P2699">
        <v>0</v>
      </c>
      <c r="Q2699">
        <v>0</v>
      </c>
      <c r="S2699">
        <v>0</v>
      </c>
      <c r="T2699">
        <v>0</v>
      </c>
      <c r="U2699">
        <v>0</v>
      </c>
      <c r="W2699" t="s">
        <v>106</v>
      </c>
    </row>
    <row r="2700" spans="1:45" x14ac:dyDescent="0.35">
      <c r="A2700" t="s">
        <v>45</v>
      </c>
      <c r="B2700" t="s">
        <v>6119</v>
      </c>
      <c r="C2700" t="s">
        <v>47</v>
      </c>
      <c r="D2700" t="s">
        <v>6153</v>
      </c>
      <c r="E2700" t="s">
        <v>6153</v>
      </c>
      <c r="F2700" t="s">
        <v>49</v>
      </c>
      <c r="G2700" t="s">
        <v>6154</v>
      </c>
      <c r="H2700" t="s">
        <v>6155</v>
      </c>
      <c r="J2700" t="str">
        <f>HYPERLINK("https://www.facebook.com/357267201017935/posts/3069910089753619/?comment_id=1333157918079238","https://www.facebook.com/357267201017935/posts/3069910089753619/?comment_id=1333157918079238")</f>
        <v>https://www.facebook.com/357267201017935/posts/3069910089753619/?comment_id=1333157918079238</v>
      </c>
      <c r="O2700">
        <v>0</v>
      </c>
      <c r="P2700">
        <v>0</v>
      </c>
      <c r="Q2700">
        <v>0</v>
      </c>
      <c r="S2700">
        <v>0</v>
      </c>
      <c r="T2700">
        <v>0</v>
      </c>
      <c r="U2700">
        <v>0</v>
      </c>
      <c r="W2700" t="s">
        <v>62</v>
      </c>
      <c r="AS2700" t="s">
        <v>375</v>
      </c>
    </row>
    <row r="2701" spans="1:45" x14ac:dyDescent="0.35">
      <c r="A2701" t="s">
        <v>45</v>
      </c>
      <c r="B2701" t="s">
        <v>6119</v>
      </c>
      <c r="C2701" t="s">
        <v>58</v>
      </c>
      <c r="D2701" t="s">
        <v>2705</v>
      </c>
      <c r="E2701" t="s">
        <v>2705</v>
      </c>
      <c r="F2701" t="s">
        <v>76</v>
      </c>
      <c r="G2701" t="s">
        <v>6156</v>
      </c>
      <c r="H2701" t="s">
        <v>6157</v>
      </c>
      <c r="J2701" t="str">
        <f>HYPERLINK("https://www.youtube.com/watch?v=azLcIEj3ruQ","https://www.youtube.com/watch?v=azLcIEj3ruQ")</f>
        <v>https://www.youtube.com/watch?v=azLcIEj3ruQ</v>
      </c>
      <c r="O2701">
        <v>0</v>
      </c>
      <c r="P2701">
        <v>0</v>
      </c>
      <c r="Q2701">
        <v>0</v>
      </c>
      <c r="S2701">
        <v>0</v>
      </c>
      <c r="T2701">
        <v>0</v>
      </c>
      <c r="U2701">
        <v>0</v>
      </c>
      <c r="W2701" t="s">
        <v>106</v>
      </c>
      <c r="AP2701" t="s">
        <v>101</v>
      </c>
    </row>
    <row r="2702" spans="1:45" x14ac:dyDescent="0.35">
      <c r="A2702" t="s">
        <v>45</v>
      </c>
      <c r="B2702" t="s">
        <v>6119</v>
      </c>
      <c r="C2702" t="s">
        <v>139</v>
      </c>
      <c r="D2702" t="s">
        <v>6158</v>
      </c>
      <c r="E2702" t="s">
        <v>6159</v>
      </c>
      <c r="F2702" t="s">
        <v>142</v>
      </c>
      <c r="G2702" t="s">
        <v>6160</v>
      </c>
      <c r="H2702" t="s">
        <v>6161</v>
      </c>
      <c r="J2702" t="str">
        <f>HYPERLINK("https://twitter.com/Gajendr06448788/status/1756579908313084365","https://twitter.com/Gajendr06448788/status/1756579908313084365")</f>
        <v>https://twitter.com/Gajendr06448788/status/1756579908313084365</v>
      </c>
      <c r="K2702" t="s">
        <v>145</v>
      </c>
      <c r="O2702">
        <v>0</v>
      </c>
      <c r="P2702">
        <v>0</v>
      </c>
      <c r="Q2702">
        <v>6</v>
      </c>
      <c r="S2702">
        <v>0</v>
      </c>
      <c r="T2702">
        <v>0</v>
      </c>
      <c r="U2702">
        <v>0</v>
      </c>
      <c r="W2702" t="s">
        <v>146</v>
      </c>
      <c r="AP2702" t="s">
        <v>147</v>
      </c>
      <c r="AS2702" t="s">
        <v>375</v>
      </c>
    </row>
    <row r="2703" spans="1:45" x14ac:dyDescent="0.35">
      <c r="A2703" t="s">
        <v>45</v>
      </c>
      <c r="B2703" t="s">
        <v>6119</v>
      </c>
      <c r="C2703" t="s">
        <v>47</v>
      </c>
      <c r="D2703" t="s">
        <v>6162</v>
      </c>
      <c r="E2703" t="s">
        <v>6162</v>
      </c>
      <c r="F2703" t="s">
        <v>49</v>
      </c>
      <c r="G2703" t="s">
        <v>56</v>
      </c>
      <c r="H2703" t="s">
        <v>6163</v>
      </c>
      <c r="J2703" t="str">
        <f>HYPERLINK("https://www.facebook.com/357267201017935/inbox/7027877083956880/","https://www.facebook.com/357267201017935/inbox/7027877083956880/")</f>
        <v>https://www.facebook.com/357267201017935/inbox/7027877083956880/</v>
      </c>
      <c r="O2703">
        <v>0</v>
      </c>
      <c r="P2703">
        <v>0</v>
      </c>
      <c r="Q2703">
        <v>0</v>
      </c>
      <c r="S2703">
        <v>0</v>
      </c>
      <c r="T2703">
        <v>0</v>
      </c>
      <c r="U2703">
        <v>0</v>
      </c>
      <c r="W2703" t="s">
        <v>52</v>
      </c>
    </row>
    <row r="2704" spans="1:45" x14ac:dyDescent="0.35">
      <c r="A2704" t="s">
        <v>45</v>
      </c>
      <c r="B2704" t="s">
        <v>6119</v>
      </c>
      <c r="C2704" t="s">
        <v>139</v>
      </c>
      <c r="D2704" t="s">
        <v>6164</v>
      </c>
      <c r="E2704" t="s">
        <v>6165</v>
      </c>
      <c r="F2704" t="s">
        <v>142</v>
      </c>
      <c r="G2704" t="s">
        <v>5601</v>
      </c>
      <c r="H2704" t="s">
        <v>6166</v>
      </c>
      <c r="J2704" t="str">
        <f>HYPERLINK("https://twitter.com/SNAPX54/status/1756531024106860762","https://twitter.com/SNAPX54/status/1756531024106860762")</f>
        <v>https://twitter.com/SNAPX54/status/1756531024106860762</v>
      </c>
      <c r="O2704">
        <v>0</v>
      </c>
      <c r="P2704">
        <v>0</v>
      </c>
      <c r="Q2704">
        <v>667</v>
      </c>
      <c r="R2704" t="s">
        <v>6167</v>
      </c>
      <c r="S2704">
        <v>0</v>
      </c>
      <c r="T2704">
        <v>0</v>
      </c>
      <c r="U2704">
        <v>0</v>
      </c>
      <c r="W2704" t="s">
        <v>552</v>
      </c>
    </row>
    <row r="2705" spans="1:45" x14ac:dyDescent="0.35">
      <c r="A2705" t="s">
        <v>45</v>
      </c>
      <c r="B2705" t="s">
        <v>6119</v>
      </c>
      <c r="C2705" t="s">
        <v>139</v>
      </c>
      <c r="D2705" t="s">
        <v>6168</v>
      </c>
      <c r="E2705" t="s">
        <v>6169</v>
      </c>
      <c r="F2705" t="s">
        <v>142</v>
      </c>
      <c r="G2705" t="s">
        <v>5601</v>
      </c>
      <c r="H2705" t="s">
        <v>6170</v>
      </c>
      <c r="J2705" t="str">
        <f>HYPERLINK("https://twitter.com/itspratiksahu/status/1756523922814558376","https://twitter.com/itspratiksahu/status/1756523922814558376")</f>
        <v>https://twitter.com/itspratiksahu/status/1756523922814558376</v>
      </c>
      <c r="K2705" t="s">
        <v>145</v>
      </c>
      <c r="O2705">
        <v>0</v>
      </c>
      <c r="P2705">
        <v>0</v>
      </c>
      <c r="Q2705">
        <v>814</v>
      </c>
      <c r="R2705" t="s">
        <v>6171</v>
      </c>
      <c r="S2705">
        <v>0</v>
      </c>
      <c r="T2705">
        <v>0</v>
      </c>
      <c r="U2705">
        <v>0</v>
      </c>
      <c r="W2705" t="s">
        <v>552</v>
      </c>
    </row>
    <row r="2706" spans="1:45" x14ac:dyDescent="0.35">
      <c r="A2706" t="s">
        <v>45</v>
      </c>
      <c r="B2706" t="s">
        <v>6119</v>
      </c>
      <c r="C2706" t="s">
        <v>58</v>
      </c>
      <c r="D2706" t="s">
        <v>6172</v>
      </c>
      <c r="E2706" t="s">
        <v>6172</v>
      </c>
      <c r="F2706" t="s">
        <v>49</v>
      </c>
      <c r="G2706" t="s">
        <v>6173</v>
      </c>
      <c r="H2706" t="s">
        <v>6174</v>
      </c>
      <c r="J2706" t="str">
        <f>HYPERLINK("https://www.youtube.com/watch?v=juQikf26eYA","https://www.youtube.com/watch?v=juQikf26eYA")</f>
        <v>https://www.youtube.com/watch?v=juQikf26eYA</v>
      </c>
      <c r="O2706">
        <v>0</v>
      </c>
      <c r="P2706">
        <v>0</v>
      </c>
      <c r="Q2706">
        <v>0</v>
      </c>
      <c r="S2706">
        <v>0</v>
      </c>
      <c r="T2706">
        <v>0</v>
      </c>
      <c r="U2706">
        <v>0</v>
      </c>
      <c r="W2706" t="s">
        <v>106</v>
      </c>
    </row>
    <row r="2707" spans="1:45" x14ac:dyDescent="0.35">
      <c r="A2707" t="s">
        <v>45</v>
      </c>
      <c r="B2707" t="s">
        <v>6119</v>
      </c>
      <c r="C2707" t="s">
        <v>58</v>
      </c>
      <c r="D2707" t="s">
        <v>6172</v>
      </c>
      <c r="E2707" t="s">
        <v>6172</v>
      </c>
      <c r="F2707" t="s">
        <v>49</v>
      </c>
      <c r="G2707" t="s">
        <v>6175</v>
      </c>
      <c r="H2707" t="s">
        <v>6176</v>
      </c>
      <c r="J2707" t="str">
        <f>HYPERLINK("https://www.youtube.com/watch?v=ilqTuuPj1Q0","https://www.youtube.com/watch?v=ilqTuuPj1Q0")</f>
        <v>https://www.youtube.com/watch?v=ilqTuuPj1Q0</v>
      </c>
      <c r="O2707">
        <v>0</v>
      </c>
      <c r="P2707">
        <v>0</v>
      </c>
      <c r="Q2707">
        <v>0</v>
      </c>
      <c r="S2707">
        <v>0</v>
      </c>
      <c r="T2707">
        <v>0</v>
      </c>
      <c r="U2707">
        <v>0</v>
      </c>
      <c r="W2707" t="s">
        <v>106</v>
      </c>
      <c r="AP2707" t="s">
        <v>94</v>
      </c>
    </row>
    <row r="2708" spans="1:45" x14ac:dyDescent="0.35">
      <c r="A2708" t="s">
        <v>45</v>
      </c>
      <c r="B2708" t="s">
        <v>6119</v>
      </c>
      <c r="C2708" t="s">
        <v>47</v>
      </c>
      <c r="D2708" t="s">
        <v>6177</v>
      </c>
      <c r="E2708" t="s">
        <v>6177</v>
      </c>
      <c r="F2708" t="s">
        <v>49</v>
      </c>
      <c r="G2708" s="1" t="s">
        <v>6178</v>
      </c>
      <c r="H2708" t="s">
        <v>6179</v>
      </c>
      <c r="J2708" t="str">
        <f>HYPERLINK("https://www.facebook.com/454965103328545/posts/755939476564438?comment_id=377662964899456","https://www.facebook.com/454965103328545/posts/755939476564438?comment_id=377662964899456")</f>
        <v>https://www.facebook.com/454965103328545/posts/755939476564438?comment_id=377662964899456</v>
      </c>
      <c r="O2708">
        <v>0</v>
      </c>
      <c r="P2708">
        <v>0</v>
      </c>
      <c r="Q2708">
        <v>0</v>
      </c>
      <c r="S2708">
        <v>0</v>
      </c>
      <c r="T2708">
        <v>0</v>
      </c>
      <c r="U2708">
        <v>0</v>
      </c>
      <c r="W2708" t="s">
        <v>62</v>
      </c>
    </row>
    <row r="2709" spans="1:45" x14ac:dyDescent="0.35">
      <c r="A2709" t="s">
        <v>45</v>
      </c>
      <c r="B2709" t="s">
        <v>6119</v>
      </c>
      <c r="C2709" t="s">
        <v>63</v>
      </c>
      <c r="D2709" t="s">
        <v>6180</v>
      </c>
      <c r="E2709" t="s">
        <v>6180</v>
      </c>
      <c r="F2709" t="s">
        <v>49</v>
      </c>
      <c r="G2709" t="s">
        <v>6181</v>
      </c>
      <c r="H2709" t="s">
        <v>6182</v>
      </c>
      <c r="J2709" t="str">
        <f>HYPERLINK("https://www.instagram.com/reel/C3IAldFqwtC/","https://www.instagram.com/reel/C3IAldFqwtC/")</f>
        <v>https://www.instagram.com/reel/C3IAldFqwtC/</v>
      </c>
      <c r="O2709">
        <v>0</v>
      </c>
      <c r="P2709">
        <v>0</v>
      </c>
      <c r="Q2709">
        <v>0</v>
      </c>
      <c r="S2709">
        <v>0</v>
      </c>
      <c r="T2709">
        <v>0</v>
      </c>
      <c r="U2709">
        <v>0</v>
      </c>
      <c r="W2709" t="s">
        <v>62</v>
      </c>
      <c r="AP2709" t="s">
        <v>94</v>
      </c>
    </row>
    <row r="2710" spans="1:45" x14ac:dyDescent="0.35">
      <c r="A2710" t="s">
        <v>45</v>
      </c>
      <c r="B2710" t="s">
        <v>6183</v>
      </c>
      <c r="C2710" t="s">
        <v>47</v>
      </c>
      <c r="D2710" t="s">
        <v>6184</v>
      </c>
      <c r="E2710" t="s">
        <v>6184</v>
      </c>
      <c r="F2710" t="s">
        <v>49</v>
      </c>
      <c r="G2710" t="s">
        <v>6185</v>
      </c>
      <c r="H2710" t="s">
        <v>6186</v>
      </c>
      <c r="J2710" t="str">
        <f>HYPERLINK("https://www.facebook.com/454965103328545/posts/766279632197089?comment_id=270139672638334","https://www.facebook.com/454965103328545/posts/766279632197089?comment_id=270139672638334")</f>
        <v>https://www.facebook.com/454965103328545/posts/766279632197089?comment_id=270139672638334</v>
      </c>
      <c r="O2710">
        <v>0</v>
      </c>
      <c r="P2710">
        <v>0</v>
      </c>
      <c r="Q2710">
        <v>0</v>
      </c>
      <c r="S2710">
        <v>0</v>
      </c>
      <c r="T2710">
        <v>0</v>
      </c>
      <c r="U2710">
        <v>0</v>
      </c>
      <c r="W2710" t="s">
        <v>62</v>
      </c>
    </row>
    <row r="2711" spans="1:45" x14ac:dyDescent="0.35">
      <c r="A2711" t="s">
        <v>45</v>
      </c>
      <c r="B2711" t="s">
        <v>6183</v>
      </c>
      <c r="C2711" t="s">
        <v>58</v>
      </c>
      <c r="D2711" t="s">
        <v>6187</v>
      </c>
      <c r="E2711" t="s">
        <v>6187</v>
      </c>
      <c r="F2711" t="s">
        <v>49</v>
      </c>
      <c r="G2711" t="s">
        <v>6188</v>
      </c>
      <c r="H2711" t="s">
        <v>6189</v>
      </c>
      <c r="J2711" t="str">
        <f>HYPERLINK("https://www.youtube.com/watch?v=2q8OvHDIQzc&amp;lc=UgywmdjF79ZwJm_CBD14AaABAg.A-ddfJsc5O6A-ddh8cDpQH","https://www.youtube.com/watch?v=2q8OvHDIQzc&amp;lc=UgywmdjF79ZwJm_CBD14AaABAg.A-ddfJsc5O6A-ddh8cDpQH")</f>
        <v>https://www.youtube.com/watch?v=2q8OvHDIQzc&amp;lc=UgywmdjF79ZwJm_CBD14AaABAg.A-ddfJsc5O6A-ddh8cDpQH</v>
      </c>
      <c r="O2711">
        <v>0</v>
      </c>
      <c r="P2711">
        <v>0</v>
      </c>
      <c r="Q2711">
        <v>0</v>
      </c>
      <c r="S2711">
        <v>0</v>
      </c>
      <c r="T2711">
        <v>0</v>
      </c>
      <c r="U2711">
        <v>0</v>
      </c>
      <c r="W2711" t="s">
        <v>62</v>
      </c>
      <c r="AS2711" t="s">
        <v>375</v>
      </c>
    </row>
    <row r="2712" spans="1:45" x14ac:dyDescent="0.35">
      <c r="A2712" t="s">
        <v>45</v>
      </c>
      <c r="B2712" t="s">
        <v>6183</v>
      </c>
      <c r="C2712" t="s">
        <v>58</v>
      </c>
      <c r="D2712" t="s">
        <v>6187</v>
      </c>
      <c r="E2712" t="s">
        <v>6187</v>
      </c>
      <c r="F2712" t="s">
        <v>49</v>
      </c>
      <c r="G2712" t="s">
        <v>6190</v>
      </c>
      <c r="H2712" t="s">
        <v>6191</v>
      </c>
      <c r="J2712" t="str">
        <f>HYPERLINK("https://www.youtube.com/watch?v=2q8OvHDIQzc&amp;lc=UgywmdjF79ZwJm_CBD14AaABAg","https://www.youtube.com/watch?v=2q8OvHDIQzc&amp;lc=UgywmdjF79ZwJm_CBD14AaABAg")</f>
        <v>https://www.youtube.com/watch?v=2q8OvHDIQzc&amp;lc=UgywmdjF79ZwJm_CBD14AaABAg</v>
      </c>
      <c r="O2712">
        <v>0</v>
      </c>
      <c r="P2712">
        <v>0</v>
      </c>
      <c r="Q2712">
        <v>0</v>
      </c>
      <c r="S2712">
        <v>0</v>
      </c>
      <c r="T2712">
        <v>0</v>
      </c>
      <c r="U2712">
        <v>0</v>
      </c>
      <c r="W2712" t="s">
        <v>62</v>
      </c>
    </row>
    <row r="2713" spans="1:45" x14ac:dyDescent="0.35">
      <c r="A2713" t="s">
        <v>45</v>
      </c>
      <c r="B2713" t="s">
        <v>6183</v>
      </c>
      <c r="C2713" t="s">
        <v>47</v>
      </c>
      <c r="D2713" t="s">
        <v>4488</v>
      </c>
      <c r="E2713" t="s">
        <v>4488</v>
      </c>
      <c r="F2713" t="s">
        <v>49</v>
      </c>
      <c r="G2713" t="s">
        <v>4994</v>
      </c>
      <c r="H2713" t="s">
        <v>6192</v>
      </c>
      <c r="J2713" t="str">
        <f>HYPERLINK("https://www.facebook.com/454965103328545/posts/768116778680041?comment_id=1547975386060075","https://www.facebook.com/454965103328545/posts/768116778680041?comment_id=1547975386060075")</f>
        <v>https://www.facebook.com/454965103328545/posts/768116778680041?comment_id=1547975386060075</v>
      </c>
      <c r="O2713">
        <v>0</v>
      </c>
      <c r="P2713">
        <v>0</v>
      </c>
      <c r="Q2713">
        <v>0</v>
      </c>
      <c r="S2713">
        <v>0</v>
      </c>
      <c r="T2713">
        <v>0</v>
      </c>
      <c r="U2713">
        <v>0</v>
      </c>
      <c r="W2713" t="s">
        <v>62</v>
      </c>
    </row>
    <row r="2714" spans="1:45" x14ac:dyDescent="0.35">
      <c r="A2714" t="s">
        <v>45</v>
      </c>
      <c r="B2714" t="s">
        <v>6183</v>
      </c>
      <c r="C2714" t="s">
        <v>139</v>
      </c>
      <c r="D2714" t="s">
        <v>4969</v>
      </c>
      <c r="E2714" t="s">
        <v>4970</v>
      </c>
      <c r="F2714" t="s">
        <v>49</v>
      </c>
      <c r="G2714" t="s">
        <v>6193</v>
      </c>
      <c r="H2714" t="s">
        <v>6194</v>
      </c>
      <c r="J2714" t="str">
        <f>HYPERLINK("https://twitter.com/FinancewidAkhil/status/1756347292661985316","https://twitter.com/FinancewidAkhil/status/1756347292661985316")</f>
        <v>https://twitter.com/FinancewidAkhil/status/1756347292661985316</v>
      </c>
      <c r="K2714" t="s">
        <v>145</v>
      </c>
      <c r="O2714">
        <v>0</v>
      </c>
      <c r="P2714">
        <v>0</v>
      </c>
      <c r="Q2714">
        <v>494</v>
      </c>
      <c r="S2714">
        <v>0</v>
      </c>
      <c r="T2714">
        <v>0</v>
      </c>
      <c r="U2714">
        <v>0</v>
      </c>
      <c r="W2714" t="s">
        <v>146</v>
      </c>
    </row>
    <row r="2715" spans="1:45" x14ac:dyDescent="0.35">
      <c r="A2715" t="s">
        <v>45</v>
      </c>
      <c r="B2715" t="s">
        <v>6183</v>
      </c>
      <c r="C2715" t="s">
        <v>58</v>
      </c>
      <c r="D2715" t="s">
        <v>3869</v>
      </c>
      <c r="E2715" t="s">
        <v>3869</v>
      </c>
      <c r="F2715" t="s">
        <v>49</v>
      </c>
      <c r="G2715" t="s">
        <v>6195</v>
      </c>
      <c r="H2715" t="s">
        <v>6196</v>
      </c>
      <c r="J2715" t="str">
        <f>HYPERLINK("https://www.youtube.com/watch?v=xlWZeK7cO2c","https://www.youtube.com/watch?v=xlWZeK7cO2c")</f>
        <v>https://www.youtube.com/watch?v=xlWZeK7cO2c</v>
      </c>
      <c r="O2715">
        <v>0</v>
      </c>
      <c r="P2715">
        <v>0</v>
      </c>
      <c r="Q2715">
        <v>0</v>
      </c>
      <c r="S2715">
        <v>0</v>
      </c>
      <c r="T2715">
        <v>0</v>
      </c>
      <c r="U2715">
        <v>0</v>
      </c>
      <c r="W2715" t="s">
        <v>106</v>
      </c>
    </row>
    <row r="2716" spans="1:45" x14ac:dyDescent="0.35">
      <c r="A2716" t="s">
        <v>45</v>
      </c>
      <c r="B2716" t="s">
        <v>6183</v>
      </c>
      <c r="C2716" t="s">
        <v>58</v>
      </c>
      <c r="D2716" t="s">
        <v>5832</v>
      </c>
      <c r="E2716" t="s">
        <v>5832</v>
      </c>
      <c r="F2716" t="s">
        <v>49</v>
      </c>
      <c r="G2716" t="s">
        <v>6197</v>
      </c>
      <c r="H2716" t="s">
        <v>6198</v>
      </c>
      <c r="J2716" t="str">
        <f>HYPERLINK("https://www.youtube.com/watch?v=OFyjC6DOlWA","https://www.youtube.com/watch?v=OFyjC6DOlWA")</f>
        <v>https://www.youtube.com/watch?v=OFyjC6DOlWA</v>
      </c>
      <c r="O2716">
        <v>0</v>
      </c>
      <c r="P2716">
        <v>0</v>
      </c>
      <c r="Q2716">
        <v>0</v>
      </c>
      <c r="S2716">
        <v>0</v>
      </c>
      <c r="T2716">
        <v>0</v>
      </c>
      <c r="U2716">
        <v>0</v>
      </c>
      <c r="W2716" t="s">
        <v>106</v>
      </c>
    </row>
    <row r="2717" spans="1:45" x14ac:dyDescent="0.35">
      <c r="A2717" t="s">
        <v>45</v>
      </c>
      <c r="B2717" t="s">
        <v>6183</v>
      </c>
      <c r="C2717" t="s">
        <v>139</v>
      </c>
      <c r="D2717" t="s">
        <v>6199</v>
      </c>
      <c r="E2717" t="s">
        <v>6200</v>
      </c>
      <c r="F2717" t="s">
        <v>142</v>
      </c>
      <c r="G2717" t="s">
        <v>5601</v>
      </c>
      <c r="H2717" t="s">
        <v>6201</v>
      </c>
      <c r="J2717" t="str">
        <f>HYPERLINK("https://twitter.com/mpranjay16/status/1756315766251782489","https://twitter.com/mpranjay16/status/1756315766251782489")</f>
        <v>https://twitter.com/mpranjay16/status/1756315766251782489</v>
      </c>
      <c r="K2717" t="s">
        <v>145</v>
      </c>
      <c r="O2717">
        <v>0</v>
      </c>
      <c r="P2717">
        <v>0</v>
      </c>
      <c r="Q2717">
        <v>164</v>
      </c>
      <c r="S2717">
        <v>0</v>
      </c>
      <c r="T2717">
        <v>0</v>
      </c>
      <c r="U2717">
        <v>0</v>
      </c>
      <c r="W2717" t="s">
        <v>552</v>
      </c>
    </row>
    <row r="2718" spans="1:45" x14ac:dyDescent="0.35">
      <c r="A2718" t="s">
        <v>45</v>
      </c>
      <c r="B2718" t="s">
        <v>6183</v>
      </c>
      <c r="C2718" t="s">
        <v>139</v>
      </c>
      <c r="D2718" t="s">
        <v>6202</v>
      </c>
      <c r="E2718" t="s">
        <v>6203</v>
      </c>
      <c r="F2718" t="s">
        <v>142</v>
      </c>
      <c r="G2718" t="s">
        <v>5601</v>
      </c>
      <c r="H2718" t="s">
        <v>6204</v>
      </c>
      <c r="J2718" t="str">
        <f>HYPERLINK("https://twitter.com/mjmadhavjha14/status/1756315150066360811","https://twitter.com/mjmadhavjha14/status/1756315150066360811")</f>
        <v>https://twitter.com/mjmadhavjha14/status/1756315150066360811</v>
      </c>
      <c r="K2718" t="s">
        <v>145</v>
      </c>
      <c r="O2718">
        <v>0</v>
      </c>
      <c r="P2718">
        <v>0</v>
      </c>
      <c r="Q2718">
        <v>228</v>
      </c>
      <c r="R2718" t="s">
        <v>872</v>
      </c>
      <c r="S2718">
        <v>0</v>
      </c>
      <c r="T2718">
        <v>0</v>
      </c>
      <c r="U2718">
        <v>0</v>
      </c>
      <c r="W2718" t="s">
        <v>552</v>
      </c>
    </row>
    <row r="2719" spans="1:45" x14ac:dyDescent="0.35">
      <c r="A2719" t="s">
        <v>45</v>
      </c>
      <c r="B2719" t="s">
        <v>6183</v>
      </c>
      <c r="C2719" t="s">
        <v>139</v>
      </c>
      <c r="D2719" t="s">
        <v>6205</v>
      </c>
      <c r="E2719" t="s">
        <v>6206</v>
      </c>
      <c r="F2719" t="s">
        <v>142</v>
      </c>
      <c r="G2719" t="s">
        <v>5601</v>
      </c>
      <c r="H2719" t="s">
        <v>6207</v>
      </c>
      <c r="J2719" t="str">
        <f>HYPERLINK("https://twitter.com/segukranthi/status/1756308630561771749","https://twitter.com/segukranthi/status/1756308630561771749")</f>
        <v>https://twitter.com/segukranthi/status/1756308630561771749</v>
      </c>
      <c r="K2719" t="s">
        <v>145</v>
      </c>
      <c r="O2719">
        <v>0</v>
      </c>
      <c r="P2719">
        <v>0</v>
      </c>
      <c r="Q2719">
        <v>179</v>
      </c>
      <c r="R2719" t="s">
        <v>2766</v>
      </c>
      <c r="S2719">
        <v>0</v>
      </c>
      <c r="T2719">
        <v>0</v>
      </c>
      <c r="U2719">
        <v>0</v>
      </c>
      <c r="W2719" t="s">
        <v>552</v>
      </c>
    </row>
    <row r="2720" spans="1:45" x14ac:dyDescent="0.35">
      <c r="A2720" t="s">
        <v>45</v>
      </c>
      <c r="B2720" t="s">
        <v>6183</v>
      </c>
      <c r="C2720" t="s">
        <v>47</v>
      </c>
      <c r="D2720" t="s">
        <v>6208</v>
      </c>
      <c r="E2720" t="s">
        <v>6208</v>
      </c>
      <c r="F2720" t="s">
        <v>49</v>
      </c>
      <c r="G2720" t="s">
        <v>6209</v>
      </c>
      <c r="H2720" t="s">
        <v>6210</v>
      </c>
      <c r="J2720" t="str">
        <f>HYPERLINK("https://www.facebook.com/357267201017935/posts/3069910089753619/?comment_id=408708444897726","https://www.facebook.com/357267201017935/posts/3069910089753619/?comment_id=408708444897726")</f>
        <v>https://www.facebook.com/357267201017935/posts/3069910089753619/?comment_id=408708444897726</v>
      </c>
      <c r="O2720">
        <v>0</v>
      </c>
      <c r="P2720">
        <v>0</v>
      </c>
      <c r="Q2720">
        <v>0</v>
      </c>
      <c r="S2720">
        <v>0</v>
      </c>
      <c r="T2720">
        <v>0</v>
      </c>
      <c r="U2720">
        <v>0</v>
      </c>
      <c r="W2720" t="s">
        <v>62</v>
      </c>
      <c r="Y2720" t="s">
        <v>6211</v>
      </c>
      <c r="Z2720" t="s">
        <v>613</v>
      </c>
      <c r="AA2720" t="s">
        <v>614</v>
      </c>
    </row>
    <row r="2721" spans="1:45" x14ac:dyDescent="0.35">
      <c r="A2721" t="s">
        <v>45</v>
      </c>
      <c r="B2721" t="s">
        <v>6183</v>
      </c>
      <c r="C2721" t="s">
        <v>47</v>
      </c>
      <c r="D2721" t="s">
        <v>6208</v>
      </c>
      <c r="E2721" t="s">
        <v>6208</v>
      </c>
      <c r="F2721" t="s">
        <v>49</v>
      </c>
      <c r="G2721" t="s">
        <v>6212</v>
      </c>
      <c r="H2721" t="s">
        <v>6213</v>
      </c>
      <c r="J2721" t="str">
        <f>HYPERLINK("https://www.facebook.com/357267201017935/posts/3069910089753619/?comment_id=310632805333361","https://www.facebook.com/357267201017935/posts/3069910089753619/?comment_id=310632805333361")</f>
        <v>https://www.facebook.com/357267201017935/posts/3069910089753619/?comment_id=310632805333361</v>
      </c>
      <c r="O2721">
        <v>0</v>
      </c>
      <c r="P2721">
        <v>0</v>
      </c>
      <c r="Q2721">
        <v>0</v>
      </c>
      <c r="S2721">
        <v>0</v>
      </c>
      <c r="T2721">
        <v>0</v>
      </c>
      <c r="U2721">
        <v>0</v>
      </c>
      <c r="W2721" t="s">
        <v>62</v>
      </c>
    </row>
    <row r="2722" spans="1:45" x14ac:dyDescent="0.35">
      <c r="A2722" t="s">
        <v>45</v>
      </c>
      <c r="B2722" t="s">
        <v>6183</v>
      </c>
      <c r="C2722" t="s">
        <v>47</v>
      </c>
      <c r="D2722" t="s">
        <v>6214</v>
      </c>
      <c r="E2722" t="s">
        <v>6214</v>
      </c>
      <c r="F2722" t="s">
        <v>49</v>
      </c>
      <c r="G2722" t="s">
        <v>6215</v>
      </c>
      <c r="H2722" t="s">
        <v>6216</v>
      </c>
      <c r="J2722" t="str">
        <f>HYPERLINK("https://www.facebook.com/454965103328545/posts/681847570640296?comment_id=901031334892743","https://www.facebook.com/454965103328545/posts/681847570640296?comment_id=901031334892743")</f>
        <v>https://www.facebook.com/454965103328545/posts/681847570640296?comment_id=901031334892743</v>
      </c>
      <c r="O2722">
        <v>0</v>
      </c>
      <c r="P2722">
        <v>0</v>
      </c>
      <c r="Q2722">
        <v>0</v>
      </c>
      <c r="S2722">
        <v>0</v>
      </c>
      <c r="T2722">
        <v>0</v>
      </c>
      <c r="U2722">
        <v>0</v>
      </c>
      <c r="W2722" t="s">
        <v>62</v>
      </c>
      <c r="AS2722" t="s">
        <v>375</v>
      </c>
    </row>
    <row r="2723" spans="1:45" x14ac:dyDescent="0.35">
      <c r="A2723" t="s">
        <v>45</v>
      </c>
      <c r="B2723" t="s">
        <v>6183</v>
      </c>
      <c r="C2723" t="s">
        <v>139</v>
      </c>
      <c r="D2723" t="s">
        <v>6217</v>
      </c>
      <c r="E2723" t="s">
        <v>6218</v>
      </c>
      <c r="F2723" t="s">
        <v>142</v>
      </c>
      <c r="G2723" t="s">
        <v>6219</v>
      </c>
      <c r="H2723" t="s">
        <v>6220</v>
      </c>
      <c r="J2723" t="str">
        <f>HYPERLINK("https://twitter.com/prabhat1388/status/1756296967293145312","https://twitter.com/prabhat1388/status/1756296967293145312")</f>
        <v>https://twitter.com/prabhat1388/status/1756296967293145312</v>
      </c>
      <c r="K2723" t="s">
        <v>145</v>
      </c>
      <c r="O2723">
        <v>0</v>
      </c>
      <c r="P2723">
        <v>0</v>
      </c>
      <c r="Q2723">
        <v>5</v>
      </c>
      <c r="S2723">
        <v>0</v>
      </c>
      <c r="T2723">
        <v>0</v>
      </c>
      <c r="U2723">
        <v>0</v>
      </c>
      <c r="W2723" t="s">
        <v>146</v>
      </c>
      <c r="AP2723" t="s">
        <v>101</v>
      </c>
    </row>
    <row r="2724" spans="1:45" x14ac:dyDescent="0.35">
      <c r="A2724" t="s">
        <v>45</v>
      </c>
      <c r="B2724" t="s">
        <v>6183</v>
      </c>
      <c r="C2724" t="s">
        <v>47</v>
      </c>
      <c r="D2724" t="s">
        <v>1954</v>
      </c>
      <c r="E2724" t="s">
        <v>1954</v>
      </c>
      <c r="F2724" t="s">
        <v>142</v>
      </c>
      <c r="G2724" t="s">
        <v>6221</v>
      </c>
      <c r="H2724" t="s">
        <v>6222</v>
      </c>
      <c r="J2724" t="str">
        <f>HYPERLINK("https://www.facebook.com/454965103328545/posts/768116778680041?comment_id=1983198392074787","https://www.facebook.com/454965103328545/posts/768116778680041?comment_id=1983198392074787")</f>
        <v>https://www.facebook.com/454965103328545/posts/768116778680041?comment_id=1983198392074787</v>
      </c>
      <c r="O2724">
        <v>0</v>
      </c>
      <c r="P2724">
        <v>0</v>
      </c>
      <c r="Q2724">
        <v>0</v>
      </c>
      <c r="S2724">
        <v>0</v>
      </c>
      <c r="T2724">
        <v>0</v>
      </c>
      <c r="U2724">
        <v>0</v>
      </c>
      <c r="W2724" t="s">
        <v>62</v>
      </c>
      <c r="AP2724" t="s">
        <v>147</v>
      </c>
      <c r="AS2724" t="s">
        <v>375</v>
      </c>
    </row>
    <row r="2725" spans="1:45" x14ac:dyDescent="0.35">
      <c r="A2725" t="s">
        <v>45</v>
      </c>
      <c r="B2725" t="s">
        <v>6183</v>
      </c>
      <c r="C2725" t="s">
        <v>58</v>
      </c>
      <c r="D2725" t="s">
        <v>6223</v>
      </c>
      <c r="E2725" t="s">
        <v>6223</v>
      </c>
      <c r="F2725" t="s">
        <v>49</v>
      </c>
      <c r="G2725" t="s">
        <v>6224</v>
      </c>
      <c r="H2725" t="s">
        <v>6225</v>
      </c>
      <c r="J2725" t="str">
        <f>HYPERLINK("https://www.youtube.com/watch?v=CmkgUVcEI0s","https://www.youtube.com/watch?v=CmkgUVcEI0s")</f>
        <v>https://www.youtube.com/watch?v=CmkgUVcEI0s</v>
      </c>
      <c r="O2725">
        <v>0</v>
      </c>
      <c r="P2725">
        <v>0</v>
      </c>
      <c r="Q2725">
        <v>0</v>
      </c>
      <c r="S2725">
        <v>0</v>
      </c>
      <c r="T2725">
        <v>0</v>
      </c>
      <c r="U2725">
        <v>0</v>
      </c>
      <c r="W2725" t="s">
        <v>106</v>
      </c>
    </row>
    <row r="2726" spans="1:45" x14ac:dyDescent="0.35">
      <c r="A2726" t="s">
        <v>45</v>
      </c>
      <c r="B2726" t="s">
        <v>6183</v>
      </c>
      <c r="C2726" t="s">
        <v>47</v>
      </c>
      <c r="D2726" t="s">
        <v>6226</v>
      </c>
      <c r="E2726" t="s">
        <v>6226</v>
      </c>
      <c r="F2726" t="s">
        <v>76</v>
      </c>
      <c r="G2726" t="s">
        <v>6227</v>
      </c>
      <c r="H2726" t="s">
        <v>6228</v>
      </c>
      <c r="J2726" t="str">
        <f>HYPERLINK("https://www.facebook.com/454965103328545/posts/750007137157672?comment_id=412072114519860","https://www.facebook.com/454965103328545/posts/750007137157672?comment_id=412072114519860")</f>
        <v>https://www.facebook.com/454965103328545/posts/750007137157672?comment_id=412072114519860</v>
      </c>
      <c r="O2726">
        <v>0</v>
      </c>
      <c r="P2726">
        <v>0</v>
      </c>
      <c r="Q2726">
        <v>0</v>
      </c>
      <c r="S2726">
        <v>0</v>
      </c>
      <c r="T2726">
        <v>0</v>
      </c>
      <c r="U2726">
        <v>0</v>
      </c>
      <c r="W2726" t="s">
        <v>62</v>
      </c>
    </row>
    <row r="2727" spans="1:45" x14ac:dyDescent="0.35">
      <c r="A2727" t="s">
        <v>45</v>
      </c>
      <c r="B2727" t="s">
        <v>6183</v>
      </c>
      <c r="C2727" t="s">
        <v>58</v>
      </c>
      <c r="D2727" t="s">
        <v>1240</v>
      </c>
      <c r="E2727" t="s">
        <v>1240</v>
      </c>
      <c r="F2727" t="s">
        <v>142</v>
      </c>
      <c r="G2727" t="s">
        <v>6229</v>
      </c>
      <c r="H2727" t="s">
        <v>6230</v>
      </c>
      <c r="J2727" t="str">
        <f>HYPERLINK("https://www.youtube.com/watch?v=ZdYZzQY5iP8","https://www.youtube.com/watch?v=ZdYZzQY5iP8")</f>
        <v>https://www.youtube.com/watch?v=ZdYZzQY5iP8</v>
      </c>
      <c r="O2727">
        <v>0</v>
      </c>
      <c r="P2727">
        <v>0</v>
      </c>
      <c r="Q2727">
        <v>0</v>
      </c>
      <c r="S2727">
        <v>0</v>
      </c>
      <c r="T2727">
        <v>0</v>
      </c>
      <c r="U2727">
        <v>0</v>
      </c>
      <c r="W2727" t="s">
        <v>106</v>
      </c>
      <c r="AP2727" t="s">
        <v>101</v>
      </c>
    </row>
    <row r="2728" spans="1:45" x14ac:dyDescent="0.35">
      <c r="A2728" t="s">
        <v>45</v>
      </c>
      <c r="B2728" t="s">
        <v>6183</v>
      </c>
      <c r="C2728" t="s">
        <v>47</v>
      </c>
      <c r="D2728" t="s">
        <v>6231</v>
      </c>
      <c r="E2728" t="s">
        <v>6231</v>
      </c>
      <c r="F2728" t="s">
        <v>49</v>
      </c>
      <c r="G2728" t="s">
        <v>6232</v>
      </c>
      <c r="H2728" t="s">
        <v>6233</v>
      </c>
      <c r="J2728" t="str">
        <f>HYPERLINK("https://www.facebook.com/454965103328545/posts/766279632197089?comment_id=1100472927653821&amp;reply_comment_id=1115163226282374","https://www.facebook.com/454965103328545/posts/766279632197089?comment_id=1100472927653821&amp;reply_comment_id=1115163226282374")</f>
        <v>https://www.facebook.com/454965103328545/posts/766279632197089?comment_id=1100472927653821&amp;reply_comment_id=1115163226282374</v>
      </c>
      <c r="O2728">
        <v>0</v>
      </c>
      <c r="P2728">
        <v>0</v>
      </c>
      <c r="Q2728">
        <v>0</v>
      </c>
      <c r="S2728">
        <v>0</v>
      </c>
      <c r="T2728">
        <v>0</v>
      </c>
      <c r="U2728">
        <v>0</v>
      </c>
      <c r="W2728" t="s">
        <v>62</v>
      </c>
    </row>
    <row r="2729" spans="1:45" x14ac:dyDescent="0.35">
      <c r="A2729" t="s">
        <v>45</v>
      </c>
      <c r="B2729" t="s">
        <v>6183</v>
      </c>
      <c r="C2729" t="s">
        <v>47</v>
      </c>
      <c r="D2729" t="s">
        <v>6234</v>
      </c>
      <c r="E2729" t="s">
        <v>6234</v>
      </c>
      <c r="F2729" t="s">
        <v>49</v>
      </c>
      <c r="G2729" t="s">
        <v>6235</v>
      </c>
      <c r="H2729" t="s">
        <v>6236</v>
      </c>
      <c r="J2729" t="str">
        <f>HYPERLINK("https://www.facebook.com/357267201017935/posts/3069910089753619/?comment_id=354893777368385","https://www.facebook.com/357267201017935/posts/3069910089753619/?comment_id=354893777368385")</f>
        <v>https://www.facebook.com/357267201017935/posts/3069910089753619/?comment_id=354893777368385</v>
      </c>
      <c r="O2729">
        <v>0</v>
      </c>
      <c r="P2729">
        <v>0</v>
      </c>
      <c r="Q2729">
        <v>0</v>
      </c>
      <c r="S2729">
        <v>0</v>
      </c>
      <c r="T2729">
        <v>0</v>
      </c>
      <c r="U2729">
        <v>0</v>
      </c>
      <c r="W2729" t="s">
        <v>62</v>
      </c>
      <c r="AP2729" t="s">
        <v>94</v>
      </c>
    </row>
    <row r="2730" spans="1:45" x14ac:dyDescent="0.35">
      <c r="A2730" t="s">
        <v>45</v>
      </c>
      <c r="B2730" t="s">
        <v>6183</v>
      </c>
      <c r="C2730" t="s">
        <v>47</v>
      </c>
      <c r="D2730" t="s">
        <v>6234</v>
      </c>
      <c r="E2730" t="s">
        <v>6234</v>
      </c>
      <c r="F2730" t="s">
        <v>49</v>
      </c>
      <c r="G2730" t="s">
        <v>6235</v>
      </c>
      <c r="H2730" t="s">
        <v>6237</v>
      </c>
      <c r="J2730" t="str">
        <f>HYPERLINK("https://www.facebook.com/357267201017935/posts/3069910089753619/?comment_id=3070432943034667&amp;reply_comment_id=232328233282226","https://www.facebook.com/357267201017935/posts/3069910089753619/?comment_id=3070432943034667&amp;reply_comment_id=232328233282226")</f>
        <v>https://www.facebook.com/357267201017935/posts/3069910089753619/?comment_id=3070432943034667&amp;reply_comment_id=232328233282226</v>
      </c>
      <c r="O2730">
        <v>0</v>
      </c>
      <c r="P2730">
        <v>0</v>
      </c>
      <c r="Q2730">
        <v>0</v>
      </c>
      <c r="S2730">
        <v>0</v>
      </c>
      <c r="T2730">
        <v>0</v>
      </c>
      <c r="U2730">
        <v>0</v>
      </c>
      <c r="W2730" t="s">
        <v>62</v>
      </c>
      <c r="AP2730" t="s">
        <v>94</v>
      </c>
    </row>
    <row r="2731" spans="1:45" x14ac:dyDescent="0.35">
      <c r="A2731" t="s">
        <v>45</v>
      </c>
      <c r="B2731" t="s">
        <v>6183</v>
      </c>
      <c r="C2731" t="s">
        <v>139</v>
      </c>
      <c r="D2731" t="s">
        <v>4657</v>
      </c>
      <c r="E2731" t="s">
        <v>4658</v>
      </c>
      <c r="F2731" t="s">
        <v>49</v>
      </c>
      <c r="G2731" t="s">
        <v>6238</v>
      </c>
      <c r="H2731" t="s">
        <v>6239</v>
      </c>
      <c r="J2731" t="str">
        <f>HYPERLINK("https://twitter.com/TafizAhmed2000/status/1756244283353711009","https://twitter.com/TafizAhmed2000/status/1756244283353711009")</f>
        <v>https://twitter.com/TafizAhmed2000/status/1756244283353711009</v>
      </c>
      <c r="O2731">
        <v>0</v>
      </c>
      <c r="P2731">
        <v>0</v>
      </c>
      <c r="Q2731">
        <v>1</v>
      </c>
      <c r="S2731">
        <v>0</v>
      </c>
      <c r="T2731">
        <v>0</v>
      </c>
      <c r="U2731">
        <v>0</v>
      </c>
      <c r="W2731" t="s">
        <v>146</v>
      </c>
      <c r="AP2731" t="s">
        <v>101</v>
      </c>
    </row>
    <row r="2732" spans="1:45" x14ac:dyDescent="0.35">
      <c r="A2732" t="s">
        <v>45</v>
      </c>
      <c r="B2732" t="s">
        <v>6183</v>
      </c>
      <c r="C2732" t="s">
        <v>47</v>
      </c>
      <c r="D2732" t="s">
        <v>6240</v>
      </c>
      <c r="E2732" t="s">
        <v>6240</v>
      </c>
      <c r="F2732" t="s">
        <v>49</v>
      </c>
      <c r="G2732" t="s">
        <v>459</v>
      </c>
      <c r="H2732" t="s">
        <v>6241</v>
      </c>
      <c r="J2732" t="str">
        <f>HYPERLINK("https://www.facebook.com/357267201017935/posts/3069910089753619/?comment_id=309086862151649","https://www.facebook.com/357267201017935/posts/3069910089753619/?comment_id=309086862151649")</f>
        <v>https://www.facebook.com/357267201017935/posts/3069910089753619/?comment_id=309086862151649</v>
      </c>
      <c r="O2732">
        <v>0</v>
      </c>
      <c r="P2732">
        <v>0</v>
      </c>
      <c r="Q2732">
        <v>0</v>
      </c>
      <c r="S2732">
        <v>0</v>
      </c>
      <c r="T2732">
        <v>0</v>
      </c>
      <c r="U2732">
        <v>0</v>
      </c>
      <c r="W2732" t="s">
        <v>62</v>
      </c>
    </row>
    <row r="2733" spans="1:45" x14ac:dyDescent="0.35">
      <c r="A2733" t="s">
        <v>45</v>
      </c>
      <c r="B2733" t="s">
        <v>6183</v>
      </c>
      <c r="C2733" t="s">
        <v>47</v>
      </c>
      <c r="D2733" t="s">
        <v>6240</v>
      </c>
      <c r="E2733" t="s">
        <v>6240</v>
      </c>
      <c r="F2733" t="s">
        <v>49</v>
      </c>
      <c r="G2733" t="s">
        <v>1017</v>
      </c>
      <c r="H2733" t="s">
        <v>6242</v>
      </c>
      <c r="J2733" t="str">
        <f>HYPERLINK("https://www.facebook.com/357267201017935/posts/3069910089753619/?comment_id=942260956824472","https://www.facebook.com/357267201017935/posts/3069910089753619/?comment_id=942260956824472")</f>
        <v>https://www.facebook.com/357267201017935/posts/3069910089753619/?comment_id=942260956824472</v>
      </c>
      <c r="O2733">
        <v>0</v>
      </c>
      <c r="P2733">
        <v>0</v>
      </c>
      <c r="Q2733">
        <v>0</v>
      </c>
      <c r="S2733">
        <v>0</v>
      </c>
      <c r="T2733">
        <v>0</v>
      </c>
      <c r="U2733">
        <v>0</v>
      </c>
      <c r="W2733" t="s">
        <v>62</v>
      </c>
    </row>
    <row r="2734" spans="1:45" x14ac:dyDescent="0.35">
      <c r="A2734" t="s">
        <v>45</v>
      </c>
      <c r="B2734" t="s">
        <v>6183</v>
      </c>
      <c r="C2734" t="s">
        <v>139</v>
      </c>
      <c r="D2734" t="s">
        <v>6243</v>
      </c>
      <c r="E2734" t="s">
        <v>6244</v>
      </c>
      <c r="F2734" t="s">
        <v>142</v>
      </c>
      <c r="G2734" t="s">
        <v>5601</v>
      </c>
      <c r="H2734" t="s">
        <v>6245</v>
      </c>
      <c r="J2734" t="str">
        <f>HYPERLINK("https://twitter.com/AbhiRawat987/status/1756235701962903658","https://twitter.com/AbhiRawat987/status/1756235701962903658")</f>
        <v>https://twitter.com/AbhiRawat987/status/1756235701962903658</v>
      </c>
      <c r="K2734" t="s">
        <v>145</v>
      </c>
      <c r="O2734">
        <v>0</v>
      </c>
      <c r="P2734">
        <v>0</v>
      </c>
      <c r="Q2734">
        <v>247</v>
      </c>
      <c r="S2734">
        <v>0</v>
      </c>
      <c r="T2734">
        <v>0</v>
      </c>
      <c r="U2734">
        <v>0</v>
      </c>
      <c r="W2734" t="s">
        <v>552</v>
      </c>
    </row>
    <row r="2735" spans="1:45" x14ac:dyDescent="0.35">
      <c r="A2735" t="s">
        <v>45</v>
      </c>
      <c r="B2735" t="s">
        <v>6183</v>
      </c>
      <c r="C2735" t="s">
        <v>139</v>
      </c>
      <c r="D2735" t="s">
        <v>6246</v>
      </c>
      <c r="E2735" t="s">
        <v>6247</v>
      </c>
      <c r="F2735" t="s">
        <v>142</v>
      </c>
      <c r="G2735" t="s">
        <v>5601</v>
      </c>
      <c r="H2735" t="s">
        <v>6248</v>
      </c>
      <c r="J2735" t="str">
        <f>HYPERLINK("https://twitter.com/Gyankiran90/status/1756233930506977521","https://twitter.com/Gyankiran90/status/1756233930506977521")</f>
        <v>https://twitter.com/Gyankiran90/status/1756233930506977521</v>
      </c>
      <c r="O2735">
        <v>0</v>
      </c>
      <c r="P2735">
        <v>0</v>
      </c>
      <c r="Q2735">
        <v>44</v>
      </c>
      <c r="S2735">
        <v>0</v>
      </c>
      <c r="T2735">
        <v>0</v>
      </c>
      <c r="U2735">
        <v>0</v>
      </c>
      <c r="W2735" t="s">
        <v>552</v>
      </c>
    </row>
    <row r="2736" spans="1:45" x14ac:dyDescent="0.35">
      <c r="A2736" t="s">
        <v>45</v>
      </c>
      <c r="B2736" t="s">
        <v>6183</v>
      </c>
      <c r="C2736" t="s">
        <v>139</v>
      </c>
      <c r="D2736" t="s">
        <v>6249</v>
      </c>
      <c r="E2736" t="s">
        <v>6250</v>
      </c>
      <c r="F2736" t="s">
        <v>142</v>
      </c>
      <c r="G2736" t="s">
        <v>5601</v>
      </c>
      <c r="H2736" t="s">
        <v>6251</v>
      </c>
      <c r="J2736" t="str">
        <f>HYPERLINK("https://twitter.com/yashkumar93/status/1756231707819393498","https://twitter.com/yashkumar93/status/1756231707819393498")</f>
        <v>https://twitter.com/yashkumar93/status/1756231707819393498</v>
      </c>
      <c r="K2736" t="s">
        <v>145</v>
      </c>
      <c r="O2736">
        <v>0</v>
      </c>
      <c r="P2736">
        <v>0</v>
      </c>
      <c r="Q2736">
        <v>364</v>
      </c>
      <c r="R2736" t="s">
        <v>582</v>
      </c>
      <c r="S2736">
        <v>0</v>
      </c>
      <c r="T2736">
        <v>0</v>
      </c>
      <c r="U2736">
        <v>0</v>
      </c>
      <c r="W2736" t="s">
        <v>552</v>
      </c>
    </row>
    <row r="2737" spans="1:45" x14ac:dyDescent="0.35">
      <c r="A2737" t="s">
        <v>45</v>
      </c>
      <c r="B2737" t="s">
        <v>6183</v>
      </c>
      <c r="C2737" t="s">
        <v>47</v>
      </c>
      <c r="D2737" t="s">
        <v>6252</v>
      </c>
      <c r="E2737" t="s">
        <v>6252</v>
      </c>
      <c r="F2737" t="s">
        <v>142</v>
      </c>
      <c r="G2737" t="s">
        <v>6253</v>
      </c>
      <c r="H2737" t="s">
        <v>6254</v>
      </c>
      <c r="J2737" t="str">
        <f>HYPERLINK("https://www.facebook.com/454965103328545/posts/768116778680041?comment_id=742968817766691","https://www.facebook.com/454965103328545/posts/768116778680041?comment_id=742968817766691")</f>
        <v>https://www.facebook.com/454965103328545/posts/768116778680041?comment_id=742968817766691</v>
      </c>
      <c r="O2737">
        <v>0</v>
      </c>
      <c r="P2737">
        <v>0</v>
      </c>
      <c r="Q2737">
        <v>0</v>
      </c>
      <c r="S2737">
        <v>0</v>
      </c>
      <c r="T2737">
        <v>0</v>
      </c>
      <c r="U2737">
        <v>0</v>
      </c>
      <c r="W2737" t="s">
        <v>62</v>
      </c>
      <c r="AS2737" t="s">
        <v>375</v>
      </c>
    </row>
    <row r="2738" spans="1:45" x14ac:dyDescent="0.35">
      <c r="A2738" t="s">
        <v>45</v>
      </c>
      <c r="B2738" t="s">
        <v>6183</v>
      </c>
      <c r="C2738" t="s">
        <v>139</v>
      </c>
      <c r="D2738" t="s">
        <v>4153</v>
      </c>
      <c r="E2738" t="s">
        <v>6255</v>
      </c>
      <c r="F2738" t="s">
        <v>142</v>
      </c>
      <c r="G2738" t="s">
        <v>6256</v>
      </c>
      <c r="H2738" t="s">
        <v>6257</v>
      </c>
      <c r="J2738" t="str">
        <f>HYPERLINK("https://twitter.com/Gr8AdvisorIN/status/1756220555865555303","https://twitter.com/Gr8AdvisorIN/status/1756220555865555303")</f>
        <v>https://twitter.com/Gr8AdvisorIN/status/1756220555865555303</v>
      </c>
      <c r="O2738">
        <v>0</v>
      </c>
      <c r="P2738">
        <v>0</v>
      </c>
      <c r="Q2738">
        <v>51</v>
      </c>
      <c r="S2738">
        <v>0</v>
      </c>
      <c r="T2738">
        <v>0</v>
      </c>
      <c r="U2738">
        <v>0</v>
      </c>
      <c r="W2738" t="s">
        <v>146</v>
      </c>
    </row>
    <row r="2739" spans="1:45" x14ac:dyDescent="0.35">
      <c r="A2739" t="s">
        <v>45</v>
      </c>
      <c r="B2739" t="s">
        <v>6183</v>
      </c>
      <c r="C2739" t="s">
        <v>58</v>
      </c>
      <c r="D2739" t="s">
        <v>6258</v>
      </c>
      <c r="E2739" t="s">
        <v>6258</v>
      </c>
      <c r="F2739" t="s">
        <v>49</v>
      </c>
      <c r="G2739" t="s">
        <v>6259</v>
      </c>
      <c r="H2739" t="s">
        <v>6260</v>
      </c>
      <c r="J2739" t="str">
        <f>HYPERLINK("https://www.youtube.com/watch?v=XBufW4rUov4","https://www.youtube.com/watch?v=XBufW4rUov4")</f>
        <v>https://www.youtube.com/watch?v=XBufW4rUov4</v>
      </c>
      <c r="O2739">
        <v>0</v>
      </c>
      <c r="P2739">
        <v>0</v>
      </c>
      <c r="Q2739">
        <v>0</v>
      </c>
      <c r="S2739">
        <v>0</v>
      </c>
      <c r="T2739">
        <v>0</v>
      </c>
      <c r="U2739">
        <v>0</v>
      </c>
      <c r="W2739" t="s">
        <v>106</v>
      </c>
    </row>
    <row r="2740" spans="1:45" x14ac:dyDescent="0.35">
      <c r="A2740" t="s">
        <v>45</v>
      </c>
      <c r="B2740" t="s">
        <v>6183</v>
      </c>
      <c r="C2740" t="s">
        <v>47</v>
      </c>
      <c r="D2740" t="s">
        <v>1861</v>
      </c>
      <c r="E2740" t="s">
        <v>1861</v>
      </c>
      <c r="F2740" t="s">
        <v>49</v>
      </c>
      <c r="G2740" t="s">
        <v>6261</v>
      </c>
      <c r="H2740" t="s">
        <v>6262</v>
      </c>
      <c r="J2740" t="str">
        <f>HYPERLINK("https://www.facebook.com/454965103328545/posts/768116778680041?comment_id=413672751076666","https://www.facebook.com/454965103328545/posts/768116778680041?comment_id=413672751076666")</f>
        <v>https://www.facebook.com/454965103328545/posts/768116778680041?comment_id=413672751076666</v>
      </c>
      <c r="O2740">
        <v>0</v>
      </c>
      <c r="P2740">
        <v>0</v>
      </c>
      <c r="Q2740">
        <v>0</v>
      </c>
      <c r="S2740">
        <v>0</v>
      </c>
      <c r="T2740">
        <v>0</v>
      </c>
      <c r="U2740">
        <v>0</v>
      </c>
      <c r="W2740" t="s">
        <v>62</v>
      </c>
    </row>
    <row r="2741" spans="1:45" x14ac:dyDescent="0.35">
      <c r="A2741" t="s">
        <v>45</v>
      </c>
      <c r="B2741" t="s">
        <v>6183</v>
      </c>
      <c r="C2741" t="s">
        <v>139</v>
      </c>
      <c r="D2741" t="s">
        <v>6263</v>
      </c>
      <c r="E2741" t="s">
        <v>6264</v>
      </c>
      <c r="F2741" t="s">
        <v>142</v>
      </c>
      <c r="G2741" t="s">
        <v>5601</v>
      </c>
      <c r="H2741" t="s">
        <v>6265</v>
      </c>
      <c r="J2741" t="str">
        <f>HYPERLINK("https://twitter.com/kishlay_ishwar/status/1756208394732736757","https://twitter.com/kishlay_ishwar/status/1756208394732736757")</f>
        <v>https://twitter.com/kishlay_ishwar/status/1756208394732736757</v>
      </c>
      <c r="K2741" t="s">
        <v>145</v>
      </c>
      <c r="O2741">
        <v>0</v>
      </c>
      <c r="P2741">
        <v>0</v>
      </c>
      <c r="Q2741">
        <v>36</v>
      </c>
      <c r="R2741" t="s">
        <v>4792</v>
      </c>
      <c r="S2741">
        <v>0</v>
      </c>
      <c r="T2741">
        <v>0</v>
      </c>
      <c r="U2741">
        <v>0</v>
      </c>
      <c r="W2741" t="s">
        <v>552</v>
      </c>
    </row>
    <row r="2742" spans="1:45" x14ac:dyDescent="0.35">
      <c r="A2742" t="s">
        <v>45</v>
      </c>
      <c r="B2742" t="s">
        <v>6183</v>
      </c>
      <c r="C2742" t="s">
        <v>47</v>
      </c>
      <c r="D2742" t="s">
        <v>6266</v>
      </c>
      <c r="E2742" t="s">
        <v>6266</v>
      </c>
      <c r="F2742" t="s">
        <v>49</v>
      </c>
      <c r="G2742" t="s">
        <v>4003</v>
      </c>
      <c r="H2742" t="s">
        <v>6267</v>
      </c>
      <c r="J2742" t="str">
        <f>HYPERLINK("https://www.facebook.com/357267201017935/inbox/7024030534341535/","https://www.facebook.com/357267201017935/inbox/7024030534341535/")</f>
        <v>https://www.facebook.com/357267201017935/inbox/7024030534341535/</v>
      </c>
      <c r="O2742">
        <v>0</v>
      </c>
      <c r="P2742">
        <v>0</v>
      </c>
      <c r="Q2742">
        <v>0</v>
      </c>
      <c r="S2742">
        <v>0</v>
      </c>
      <c r="T2742">
        <v>0</v>
      </c>
      <c r="U2742">
        <v>0</v>
      </c>
      <c r="W2742" t="s">
        <v>52</v>
      </c>
    </row>
    <row r="2743" spans="1:45" x14ac:dyDescent="0.35">
      <c r="A2743" t="s">
        <v>45</v>
      </c>
      <c r="B2743" t="s">
        <v>6183</v>
      </c>
      <c r="C2743" t="s">
        <v>139</v>
      </c>
      <c r="D2743" t="s">
        <v>6268</v>
      </c>
      <c r="E2743" t="s">
        <v>6269</v>
      </c>
      <c r="F2743" t="s">
        <v>142</v>
      </c>
      <c r="G2743" t="s">
        <v>5601</v>
      </c>
      <c r="H2743" t="s">
        <v>6270</v>
      </c>
      <c r="J2743" t="str">
        <f>HYPERLINK("https://twitter.com/anil7kishan/status/1756202098432319728","https://twitter.com/anil7kishan/status/1756202098432319728")</f>
        <v>https://twitter.com/anil7kishan/status/1756202098432319728</v>
      </c>
      <c r="K2743" t="s">
        <v>145</v>
      </c>
      <c r="O2743">
        <v>0</v>
      </c>
      <c r="P2743">
        <v>0</v>
      </c>
      <c r="Q2743">
        <v>1638</v>
      </c>
      <c r="R2743" t="s">
        <v>4792</v>
      </c>
      <c r="S2743">
        <v>0</v>
      </c>
      <c r="T2743">
        <v>0</v>
      </c>
      <c r="U2743">
        <v>0</v>
      </c>
      <c r="V2743" t="s">
        <v>642</v>
      </c>
      <c r="W2743" t="s">
        <v>552</v>
      </c>
    </row>
    <row r="2744" spans="1:45" x14ac:dyDescent="0.35">
      <c r="A2744" t="s">
        <v>45</v>
      </c>
      <c r="B2744" t="s">
        <v>6183</v>
      </c>
      <c r="C2744" t="s">
        <v>139</v>
      </c>
      <c r="D2744" t="s">
        <v>6271</v>
      </c>
      <c r="E2744" t="s">
        <v>6272</v>
      </c>
      <c r="F2744" t="s">
        <v>49</v>
      </c>
      <c r="G2744" t="s">
        <v>6273</v>
      </c>
      <c r="H2744" t="s">
        <v>6274</v>
      </c>
      <c r="J2744" t="str">
        <f>HYPERLINK("https://twitter.com/TectorSingh/status/1756201624249540660","https://twitter.com/TectorSingh/status/1756201624249540660")</f>
        <v>https://twitter.com/TectorSingh/status/1756201624249540660</v>
      </c>
      <c r="O2744">
        <v>0</v>
      </c>
      <c r="P2744">
        <v>0</v>
      </c>
      <c r="Q2744">
        <v>320</v>
      </c>
      <c r="R2744" t="s">
        <v>6275</v>
      </c>
      <c r="S2744">
        <v>0</v>
      </c>
      <c r="T2744">
        <v>0</v>
      </c>
      <c r="U2744">
        <v>0</v>
      </c>
      <c r="W2744" t="s">
        <v>146</v>
      </c>
    </row>
    <row r="2745" spans="1:45" x14ac:dyDescent="0.35">
      <c r="A2745" t="s">
        <v>45</v>
      </c>
      <c r="B2745" t="s">
        <v>6183</v>
      </c>
      <c r="C2745" t="s">
        <v>139</v>
      </c>
      <c r="D2745" t="s">
        <v>6271</v>
      </c>
      <c r="E2745" t="s">
        <v>6272</v>
      </c>
      <c r="F2745" t="s">
        <v>142</v>
      </c>
      <c r="G2745" t="s">
        <v>5601</v>
      </c>
      <c r="H2745" t="s">
        <v>6276</v>
      </c>
      <c r="J2745" t="str">
        <f>HYPERLINK("https://twitter.com/TectorSingh/status/1756201457626628518","https://twitter.com/TectorSingh/status/1756201457626628518")</f>
        <v>https://twitter.com/TectorSingh/status/1756201457626628518</v>
      </c>
      <c r="O2745">
        <v>0</v>
      </c>
      <c r="P2745">
        <v>0</v>
      </c>
      <c r="Q2745">
        <v>320</v>
      </c>
      <c r="R2745" t="s">
        <v>6275</v>
      </c>
      <c r="S2745">
        <v>0</v>
      </c>
      <c r="T2745">
        <v>0</v>
      </c>
      <c r="U2745">
        <v>0</v>
      </c>
      <c r="W2745" t="s">
        <v>552</v>
      </c>
    </row>
    <row r="2746" spans="1:45" x14ac:dyDescent="0.35">
      <c r="A2746" t="s">
        <v>45</v>
      </c>
      <c r="B2746" t="s">
        <v>6183</v>
      </c>
      <c r="C2746" t="s">
        <v>47</v>
      </c>
      <c r="D2746" t="s">
        <v>6277</v>
      </c>
      <c r="E2746" t="s">
        <v>6277</v>
      </c>
      <c r="F2746" t="s">
        <v>49</v>
      </c>
      <c r="G2746" t="s">
        <v>6278</v>
      </c>
      <c r="H2746" t="s">
        <v>6279</v>
      </c>
      <c r="J2746" t="str">
        <f>HYPERLINK("https://www.facebook.com/357267201017935/inbox/3879041758840444/","https://www.facebook.com/357267201017935/inbox/3879041758840444/")</f>
        <v>https://www.facebook.com/357267201017935/inbox/3879041758840444/</v>
      </c>
      <c r="O2746">
        <v>0</v>
      </c>
      <c r="P2746">
        <v>0</v>
      </c>
      <c r="Q2746">
        <v>0</v>
      </c>
      <c r="S2746">
        <v>0</v>
      </c>
      <c r="T2746">
        <v>0</v>
      </c>
      <c r="U2746">
        <v>0</v>
      </c>
      <c r="W2746" t="s">
        <v>52</v>
      </c>
    </row>
    <row r="2747" spans="1:45" x14ac:dyDescent="0.35">
      <c r="A2747" t="s">
        <v>45</v>
      </c>
      <c r="B2747" t="s">
        <v>6183</v>
      </c>
      <c r="C2747" t="s">
        <v>47</v>
      </c>
      <c r="D2747" t="s">
        <v>6280</v>
      </c>
      <c r="E2747" t="s">
        <v>6280</v>
      </c>
      <c r="F2747" t="s">
        <v>49</v>
      </c>
      <c r="G2747" t="s">
        <v>6281</v>
      </c>
      <c r="H2747" t="s">
        <v>6282</v>
      </c>
      <c r="J2747" t="str">
        <f>HYPERLINK("https://www.facebook.com/454965103328545/posts/768116778680041?comment_id=910529677380375&amp;reply_comment_id=1053910022511960","https://www.facebook.com/454965103328545/posts/768116778680041?comment_id=910529677380375&amp;reply_comment_id=1053910022511960")</f>
        <v>https://www.facebook.com/454965103328545/posts/768116778680041?comment_id=910529677380375&amp;reply_comment_id=1053910022511960</v>
      </c>
      <c r="O2747">
        <v>0</v>
      </c>
      <c r="P2747">
        <v>0</v>
      </c>
      <c r="Q2747">
        <v>0</v>
      </c>
      <c r="S2747">
        <v>0</v>
      </c>
      <c r="T2747">
        <v>0</v>
      </c>
      <c r="U2747">
        <v>0</v>
      </c>
      <c r="W2747" t="s">
        <v>62</v>
      </c>
    </row>
    <row r="2748" spans="1:45" x14ac:dyDescent="0.35">
      <c r="A2748" t="s">
        <v>45</v>
      </c>
      <c r="B2748" t="s">
        <v>6183</v>
      </c>
      <c r="C2748" t="s">
        <v>139</v>
      </c>
      <c r="D2748" t="s">
        <v>6283</v>
      </c>
      <c r="E2748" t="s">
        <v>6284</v>
      </c>
      <c r="F2748" t="s">
        <v>142</v>
      </c>
      <c r="G2748" t="s">
        <v>5601</v>
      </c>
      <c r="H2748" t="s">
        <v>6285</v>
      </c>
      <c r="J2748" t="str">
        <f>HYPERLINK("https://twitter.com/shivu_aug16/status/1756184760194593004","https://twitter.com/shivu_aug16/status/1756184760194593004")</f>
        <v>https://twitter.com/shivu_aug16/status/1756184760194593004</v>
      </c>
      <c r="O2748">
        <v>0</v>
      </c>
      <c r="P2748">
        <v>0</v>
      </c>
      <c r="Q2748">
        <v>49</v>
      </c>
      <c r="R2748" t="s">
        <v>5503</v>
      </c>
      <c r="S2748">
        <v>0</v>
      </c>
      <c r="T2748">
        <v>0</v>
      </c>
      <c r="U2748">
        <v>0</v>
      </c>
      <c r="W2748" t="s">
        <v>552</v>
      </c>
    </row>
    <row r="2749" spans="1:45" x14ac:dyDescent="0.35">
      <c r="A2749" t="s">
        <v>45</v>
      </c>
      <c r="B2749" t="s">
        <v>6183</v>
      </c>
      <c r="C2749" t="s">
        <v>139</v>
      </c>
      <c r="D2749" t="s">
        <v>6286</v>
      </c>
      <c r="E2749" t="s">
        <v>6287</v>
      </c>
      <c r="F2749" t="s">
        <v>142</v>
      </c>
      <c r="G2749" t="s">
        <v>5601</v>
      </c>
      <c r="H2749" t="s">
        <v>6288</v>
      </c>
      <c r="J2749" t="str">
        <f>HYPERLINK("https://twitter.com/PrayagrajWaale/status/1756175803036123285","https://twitter.com/PrayagrajWaale/status/1756175803036123285")</f>
        <v>https://twitter.com/PrayagrajWaale/status/1756175803036123285</v>
      </c>
      <c r="K2749" t="s">
        <v>145</v>
      </c>
      <c r="O2749">
        <v>0</v>
      </c>
      <c r="P2749">
        <v>0</v>
      </c>
      <c r="Q2749">
        <v>1388</v>
      </c>
      <c r="R2749" t="s">
        <v>6289</v>
      </c>
      <c r="S2749">
        <v>0</v>
      </c>
      <c r="T2749">
        <v>0</v>
      </c>
      <c r="U2749">
        <v>0</v>
      </c>
      <c r="W2749" t="s">
        <v>552</v>
      </c>
    </row>
    <row r="2750" spans="1:45" x14ac:dyDescent="0.35">
      <c r="A2750" t="s">
        <v>45</v>
      </c>
      <c r="B2750" t="s">
        <v>6183</v>
      </c>
      <c r="C2750" t="s">
        <v>47</v>
      </c>
      <c r="D2750" t="s">
        <v>6290</v>
      </c>
      <c r="E2750" t="s">
        <v>6290</v>
      </c>
      <c r="F2750" t="s">
        <v>49</v>
      </c>
      <c r="G2750" t="s">
        <v>56</v>
      </c>
      <c r="H2750" t="s">
        <v>6291</v>
      </c>
      <c r="J2750" t="str">
        <f>HYPERLINK("https://www.facebook.com/357267201017935/inbox/7008768595867729/","https://www.facebook.com/357267201017935/inbox/7008768595867729/")</f>
        <v>https://www.facebook.com/357267201017935/inbox/7008768595867729/</v>
      </c>
      <c r="O2750">
        <v>0</v>
      </c>
      <c r="P2750">
        <v>0</v>
      </c>
      <c r="Q2750">
        <v>0</v>
      </c>
      <c r="S2750">
        <v>0</v>
      </c>
      <c r="T2750">
        <v>0</v>
      </c>
      <c r="U2750">
        <v>0</v>
      </c>
      <c r="W2750" t="s">
        <v>52</v>
      </c>
    </row>
    <row r="2751" spans="1:45" x14ac:dyDescent="0.35">
      <c r="A2751" t="s">
        <v>45</v>
      </c>
      <c r="B2751" t="s">
        <v>6183</v>
      </c>
      <c r="C2751" t="s">
        <v>47</v>
      </c>
      <c r="D2751" t="s">
        <v>45</v>
      </c>
      <c r="E2751" t="s">
        <v>45</v>
      </c>
      <c r="F2751" t="s">
        <v>49</v>
      </c>
      <c r="G2751" t="s">
        <v>6292</v>
      </c>
      <c r="H2751" t="s">
        <v>6293</v>
      </c>
      <c r="J2751" t="str">
        <f>HYPERLINK("https://www.facebook.com/357267201017935/inbox/7008768595867729/","https://www.facebook.com/357267201017935/inbox/7008768595867729/")</f>
        <v>https://www.facebook.com/357267201017935/inbox/7008768595867729/</v>
      </c>
      <c r="O2751">
        <v>0</v>
      </c>
      <c r="P2751">
        <v>0</v>
      </c>
      <c r="Q2751">
        <v>0</v>
      </c>
      <c r="S2751">
        <v>0</v>
      </c>
      <c r="T2751">
        <v>0</v>
      </c>
      <c r="U2751">
        <v>0</v>
      </c>
      <c r="W2751" t="s">
        <v>52</v>
      </c>
    </row>
    <row r="2752" spans="1:45" x14ac:dyDescent="0.35">
      <c r="A2752" t="s">
        <v>45</v>
      </c>
      <c r="B2752" t="s">
        <v>6183</v>
      </c>
      <c r="C2752" t="s">
        <v>47</v>
      </c>
      <c r="D2752" t="s">
        <v>45</v>
      </c>
      <c r="E2752" t="s">
        <v>45</v>
      </c>
      <c r="F2752" t="s">
        <v>49</v>
      </c>
      <c r="G2752" t="s">
        <v>6294</v>
      </c>
      <c r="H2752" t="s">
        <v>6295</v>
      </c>
      <c r="J2752" t="str">
        <f>HYPERLINK("https://www.facebook.com/454965103328545/videos/3697954183759550?comment_id=6577786358992433&amp;reply_comment_id=415080270982283","https://www.facebook.com/454965103328545/videos/3697954183759550?comment_id=6577786358992433&amp;reply_comment_id=415080270982283")</f>
        <v>https://www.facebook.com/454965103328545/videos/3697954183759550?comment_id=6577786358992433&amp;reply_comment_id=415080270982283</v>
      </c>
      <c r="O2752">
        <v>0</v>
      </c>
      <c r="P2752">
        <v>0</v>
      </c>
      <c r="Q2752">
        <v>0</v>
      </c>
      <c r="S2752">
        <v>0</v>
      </c>
      <c r="T2752">
        <v>0</v>
      </c>
      <c r="U2752">
        <v>0</v>
      </c>
      <c r="W2752" t="s">
        <v>62</v>
      </c>
    </row>
    <row r="2753" spans="1:23" x14ac:dyDescent="0.35">
      <c r="A2753" t="s">
        <v>45</v>
      </c>
      <c r="B2753" t="s">
        <v>6183</v>
      </c>
      <c r="C2753" t="s">
        <v>47</v>
      </c>
      <c r="D2753" t="s">
        <v>45</v>
      </c>
      <c r="E2753" t="s">
        <v>45</v>
      </c>
      <c r="F2753" t="s">
        <v>49</v>
      </c>
      <c r="G2753" t="s">
        <v>6296</v>
      </c>
      <c r="H2753" t="s">
        <v>6297</v>
      </c>
      <c r="J2753" t="str">
        <f>HYPERLINK("https://www.facebook.com/454965103328545/posts/768116778680041?comment_id=1454506348827017&amp;reply_comment_id=1029228141476704","https://www.facebook.com/454965103328545/posts/768116778680041?comment_id=1454506348827017&amp;reply_comment_id=1029228141476704")</f>
        <v>https://www.facebook.com/454965103328545/posts/768116778680041?comment_id=1454506348827017&amp;reply_comment_id=1029228141476704</v>
      </c>
      <c r="O2753">
        <v>0</v>
      </c>
      <c r="P2753">
        <v>0</v>
      </c>
      <c r="Q2753">
        <v>0</v>
      </c>
      <c r="S2753">
        <v>0</v>
      </c>
      <c r="T2753">
        <v>0</v>
      </c>
      <c r="U2753">
        <v>0</v>
      </c>
      <c r="W2753" t="s">
        <v>62</v>
      </c>
    </row>
    <row r="2754" spans="1:23" x14ac:dyDescent="0.35">
      <c r="A2754" t="s">
        <v>45</v>
      </c>
      <c r="B2754" t="s">
        <v>6183</v>
      </c>
      <c r="C2754" t="s">
        <v>47</v>
      </c>
      <c r="D2754" t="s">
        <v>45</v>
      </c>
      <c r="E2754" t="s">
        <v>45</v>
      </c>
      <c r="F2754" t="s">
        <v>49</v>
      </c>
      <c r="G2754" t="s">
        <v>6298</v>
      </c>
      <c r="H2754" t="s">
        <v>6299</v>
      </c>
      <c r="J2754" t="str">
        <f>HYPERLINK("https://www.facebook.com/454965103328545/posts/768116778680041?comment_id=412060081223490&amp;reply_comment_id=1612755439528851","https://www.facebook.com/454965103328545/posts/768116778680041?comment_id=412060081223490&amp;reply_comment_id=1612755439528851")</f>
        <v>https://www.facebook.com/454965103328545/posts/768116778680041?comment_id=412060081223490&amp;reply_comment_id=1612755439528851</v>
      </c>
      <c r="O2754">
        <v>0</v>
      </c>
      <c r="P2754">
        <v>0</v>
      </c>
      <c r="Q2754">
        <v>0</v>
      </c>
      <c r="S2754">
        <v>0</v>
      </c>
      <c r="T2754">
        <v>0</v>
      </c>
      <c r="U2754">
        <v>0</v>
      </c>
      <c r="W2754" t="s">
        <v>62</v>
      </c>
    </row>
    <row r="2755" spans="1:23" x14ac:dyDescent="0.35">
      <c r="A2755" t="s">
        <v>45</v>
      </c>
      <c r="B2755" t="s">
        <v>6183</v>
      </c>
      <c r="C2755" t="s">
        <v>47</v>
      </c>
      <c r="D2755" t="s">
        <v>45</v>
      </c>
      <c r="E2755" t="s">
        <v>45</v>
      </c>
      <c r="F2755" t="s">
        <v>49</v>
      </c>
      <c r="G2755" t="s">
        <v>6300</v>
      </c>
      <c r="H2755" t="s">
        <v>6301</v>
      </c>
      <c r="J2755" t="str">
        <f>HYPERLINK("https://www.facebook.com/357267201017935/inbox/7020831427994779/","https://www.facebook.com/357267201017935/inbox/7020831427994779/")</f>
        <v>https://www.facebook.com/357267201017935/inbox/7020831427994779/</v>
      </c>
      <c r="O2755">
        <v>0</v>
      </c>
      <c r="P2755">
        <v>0</v>
      </c>
      <c r="Q2755">
        <v>0</v>
      </c>
      <c r="S2755">
        <v>0</v>
      </c>
      <c r="T2755">
        <v>0</v>
      </c>
      <c r="U2755">
        <v>0</v>
      </c>
      <c r="W2755" t="s">
        <v>52</v>
      </c>
    </row>
    <row r="2756" spans="1:23" x14ac:dyDescent="0.35">
      <c r="A2756" t="s">
        <v>45</v>
      </c>
      <c r="B2756" t="s">
        <v>6183</v>
      </c>
      <c r="C2756" t="s">
        <v>47</v>
      </c>
      <c r="D2756" t="s">
        <v>4488</v>
      </c>
      <c r="E2756" t="s">
        <v>4488</v>
      </c>
      <c r="F2756" t="s">
        <v>49</v>
      </c>
      <c r="G2756" t="s">
        <v>6302</v>
      </c>
      <c r="H2756" t="s">
        <v>6303</v>
      </c>
      <c r="J2756" t="str">
        <f>HYPERLINK("https://www.facebook.com/454965103328545/posts/768116778680041?comment_id=760114475775634&amp;reply_comment_id=2548378115340685","https://www.facebook.com/454965103328545/posts/768116778680041?comment_id=760114475775634&amp;reply_comment_id=2548378115340685")</f>
        <v>https://www.facebook.com/454965103328545/posts/768116778680041?comment_id=760114475775634&amp;reply_comment_id=2548378115340685</v>
      </c>
      <c r="O2756">
        <v>0</v>
      </c>
      <c r="P2756">
        <v>0</v>
      </c>
      <c r="Q2756">
        <v>0</v>
      </c>
      <c r="S2756">
        <v>0</v>
      </c>
      <c r="T2756">
        <v>0</v>
      </c>
      <c r="U2756">
        <v>0</v>
      </c>
      <c r="W2756" t="s">
        <v>62</v>
      </c>
    </row>
    <row r="2757" spans="1:23" x14ac:dyDescent="0.35">
      <c r="A2757" t="s">
        <v>45</v>
      </c>
      <c r="B2757" t="s">
        <v>6183</v>
      </c>
      <c r="C2757" t="s">
        <v>47</v>
      </c>
      <c r="D2757" t="s">
        <v>4488</v>
      </c>
      <c r="E2757" t="s">
        <v>4488</v>
      </c>
      <c r="F2757" t="s">
        <v>49</v>
      </c>
      <c r="G2757" t="s">
        <v>45</v>
      </c>
      <c r="H2757" t="s">
        <v>6304</v>
      </c>
      <c r="J2757" t="str">
        <f>HYPERLINK("https://www.facebook.com/454965103328545/posts/768116778680041?comment_id=760114475775634&amp;reply_comment_id=1054404022342920","https://www.facebook.com/454965103328545/posts/768116778680041?comment_id=760114475775634&amp;reply_comment_id=1054404022342920")</f>
        <v>https://www.facebook.com/454965103328545/posts/768116778680041?comment_id=760114475775634&amp;reply_comment_id=1054404022342920</v>
      </c>
      <c r="O2757">
        <v>0</v>
      </c>
      <c r="P2757">
        <v>0</v>
      </c>
      <c r="Q2757">
        <v>0</v>
      </c>
      <c r="S2757">
        <v>0</v>
      </c>
      <c r="T2757">
        <v>0</v>
      </c>
      <c r="U2757">
        <v>0</v>
      </c>
      <c r="W2757" t="s">
        <v>62</v>
      </c>
    </row>
    <row r="2758" spans="1:23" x14ac:dyDescent="0.35">
      <c r="A2758" t="s">
        <v>45</v>
      </c>
      <c r="B2758" t="s">
        <v>6183</v>
      </c>
      <c r="C2758" t="s">
        <v>47</v>
      </c>
      <c r="D2758" t="s">
        <v>45</v>
      </c>
      <c r="E2758" t="s">
        <v>45</v>
      </c>
      <c r="F2758" t="s">
        <v>49</v>
      </c>
      <c r="G2758" t="s">
        <v>6305</v>
      </c>
      <c r="H2758" t="s">
        <v>6306</v>
      </c>
      <c r="J2758" t="str">
        <f>HYPERLINK("https://www.facebook.com/454965103328545/posts/768116778680041?comment_id=760114475775634&amp;reply_comment_id=8001867846496639","https://www.facebook.com/454965103328545/posts/768116778680041?comment_id=760114475775634&amp;reply_comment_id=8001867846496639")</f>
        <v>https://www.facebook.com/454965103328545/posts/768116778680041?comment_id=760114475775634&amp;reply_comment_id=8001867846496639</v>
      </c>
      <c r="O2758">
        <v>0</v>
      </c>
      <c r="P2758">
        <v>0</v>
      </c>
      <c r="Q2758">
        <v>0</v>
      </c>
      <c r="S2758">
        <v>0</v>
      </c>
      <c r="T2758">
        <v>0</v>
      </c>
      <c r="U2758">
        <v>0</v>
      </c>
      <c r="W2758" t="s">
        <v>62</v>
      </c>
    </row>
    <row r="2759" spans="1:23" x14ac:dyDescent="0.35">
      <c r="A2759" t="s">
        <v>45</v>
      </c>
      <c r="B2759" t="s">
        <v>6183</v>
      </c>
      <c r="C2759" t="s">
        <v>47</v>
      </c>
      <c r="D2759" t="s">
        <v>45</v>
      </c>
      <c r="E2759" t="s">
        <v>45</v>
      </c>
      <c r="F2759" t="s">
        <v>49</v>
      </c>
      <c r="G2759" t="s">
        <v>6307</v>
      </c>
      <c r="H2759" t="s">
        <v>6308</v>
      </c>
      <c r="J2759" t="str">
        <f>HYPERLINK("https://www.facebook.com/357267201017935/inbox/7010892538988668/","https://www.facebook.com/357267201017935/inbox/7010892538988668/")</f>
        <v>https://www.facebook.com/357267201017935/inbox/7010892538988668/</v>
      </c>
      <c r="O2759">
        <v>0</v>
      </c>
      <c r="P2759">
        <v>0</v>
      </c>
      <c r="Q2759">
        <v>0</v>
      </c>
      <c r="S2759">
        <v>0</v>
      </c>
      <c r="T2759">
        <v>0</v>
      </c>
      <c r="U2759">
        <v>0</v>
      </c>
      <c r="W2759" t="s">
        <v>52</v>
      </c>
    </row>
    <row r="2760" spans="1:23" x14ac:dyDescent="0.35">
      <c r="A2760" t="s">
        <v>45</v>
      </c>
      <c r="B2760" t="s">
        <v>6183</v>
      </c>
      <c r="C2760" t="s">
        <v>47</v>
      </c>
      <c r="D2760" t="s">
        <v>45</v>
      </c>
      <c r="E2760" t="s">
        <v>45</v>
      </c>
      <c r="F2760" t="s">
        <v>49</v>
      </c>
      <c r="G2760" t="s">
        <v>6309</v>
      </c>
      <c r="H2760" t="s">
        <v>6310</v>
      </c>
      <c r="J2760" t="str">
        <f>HYPERLINK("https://www.facebook.com/357267201017935/inbox/7021600251251230/","https://www.facebook.com/357267201017935/inbox/7021600251251230/")</f>
        <v>https://www.facebook.com/357267201017935/inbox/7021600251251230/</v>
      </c>
      <c r="O2760">
        <v>0</v>
      </c>
      <c r="P2760">
        <v>0</v>
      </c>
      <c r="Q2760">
        <v>0</v>
      </c>
      <c r="S2760">
        <v>0</v>
      </c>
      <c r="T2760">
        <v>0</v>
      </c>
      <c r="U2760">
        <v>0</v>
      </c>
      <c r="W2760" t="s">
        <v>52</v>
      </c>
    </row>
    <row r="2761" spans="1:23" x14ac:dyDescent="0.35">
      <c r="A2761" t="s">
        <v>45</v>
      </c>
      <c r="B2761" t="s">
        <v>6183</v>
      </c>
      <c r="C2761" t="s">
        <v>47</v>
      </c>
      <c r="D2761" t="s">
        <v>45</v>
      </c>
      <c r="E2761" t="s">
        <v>45</v>
      </c>
      <c r="F2761" t="s">
        <v>49</v>
      </c>
      <c r="G2761" t="s">
        <v>6311</v>
      </c>
      <c r="H2761" t="s">
        <v>6312</v>
      </c>
      <c r="J2761" t="str">
        <f>HYPERLINK("https://www.facebook.com/454965103328545/posts/768116778680041?comment_id=910529677380375&amp;reply_comment_id=307962368936490","https://www.facebook.com/454965103328545/posts/768116778680041?comment_id=910529677380375&amp;reply_comment_id=307962368936490")</f>
        <v>https://www.facebook.com/454965103328545/posts/768116778680041?comment_id=910529677380375&amp;reply_comment_id=307962368936490</v>
      </c>
      <c r="O2761">
        <v>0</v>
      </c>
      <c r="P2761">
        <v>0</v>
      </c>
      <c r="Q2761">
        <v>0</v>
      </c>
      <c r="S2761">
        <v>0</v>
      </c>
      <c r="T2761">
        <v>0</v>
      </c>
      <c r="U2761">
        <v>0</v>
      </c>
      <c r="W2761" t="s">
        <v>62</v>
      </c>
    </row>
    <row r="2762" spans="1:23" x14ac:dyDescent="0.35">
      <c r="A2762" t="s">
        <v>45</v>
      </c>
      <c r="B2762" t="s">
        <v>6183</v>
      </c>
      <c r="C2762" t="s">
        <v>58</v>
      </c>
      <c r="D2762" t="s">
        <v>6085</v>
      </c>
      <c r="E2762" t="s">
        <v>6085</v>
      </c>
      <c r="F2762" t="s">
        <v>49</v>
      </c>
      <c r="G2762" t="s">
        <v>6313</v>
      </c>
      <c r="H2762" t="s">
        <v>6314</v>
      </c>
      <c r="J2762" t="str">
        <f>HYPERLINK("https://www.youtube.com/watch?v=dy9futSjcYo","https://www.youtube.com/watch?v=dy9futSjcYo")</f>
        <v>https://www.youtube.com/watch?v=dy9futSjcYo</v>
      </c>
      <c r="O2762">
        <v>0</v>
      </c>
      <c r="P2762">
        <v>0</v>
      </c>
      <c r="Q2762">
        <v>0</v>
      </c>
      <c r="S2762">
        <v>0</v>
      </c>
      <c r="T2762">
        <v>0</v>
      </c>
      <c r="U2762">
        <v>0</v>
      </c>
      <c r="W2762" t="s">
        <v>106</v>
      </c>
    </row>
    <row r="2763" spans="1:23" x14ac:dyDescent="0.35">
      <c r="A2763" t="s">
        <v>45</v>
      </c>
      <c r="B2763" t="s">
        <v>6183</v>
      </c>
      <c r="C2763" t="s">
        <v>139</v>
      </c>
      <c r="D2763" t="s">
        <v>6315</v>
      </c>
      <c r="E2763" t="s">
        <v>6316</v>
      </c>
      <c r="F2763" t="s">
        <v>142</v>
      </c>
      <c r="G2763" t="s">
        <v>5601</v>
      </c>
      <c r="H2763" t="s">
        <v>6317</v>
      </c>
      <c r="J2763" t="str">
        <f>HYPERLINK("https://twitter.com/bitutiwari30/status/1756110894403400052","https://twitter.com/bitutiwari30/status/1756110894403400052")</f>
        <v>https://twitter.com/bitutiwari30/status/1756110894403400052</v>
      </c>
      <c r="K2763" t="s">
        <v>145</v>
      </c>
      <c r="O2763">
        <v>0</v>
      </c>
      <c r="P2763">
        <v>0</v>
      </c>
      <c r="Q2763">
        <v>1186</v>
      </c>
      <c r="R2763" t="s">
        <v>6318</v>
      </c>
      <c r="S2763">
        <v>0</v>
      </c>
      <c r="T2763">
        <v>0</v>
      </c>
      <c r="U2763">
        <v>0</v>
      </c>
      <c r="W2763" t="s">
        <v>552</v>
      </c>
    </row>
    <row r="2764" spans="1:23" x14ac:dyDescent="0.35">
      <c r="A2764" t="s">
        <v>45</v>
      </c>
      <c r="B2764" t="s">
        <v>6183</v>
      </c>
      <c r="C2764" t="s">
        <v>139</v>
      </c>
      <c r="D2764" t="s">
        <v>6319</v>
      </c>
      <c r="E2764" t="s">
        <v>6320</v>
      </c>
      <c r="F2764" t="s">
        <v>142</v>
      </c>
      <c r="G2764" t="s">
        <v>5601</v>
      </c>
      <c r="H2764" t="s">
        <v>6321</v>
      </c>
      <c r="J2764" t="str">
        <f>HYPERLINK("https://twitter.com/JoelJacobKerala/status/1756062376762515825","https://twitter.com/JoelJacobKerala/status/1756062376762515825")</f>
        <v>https://twitter.com/JoelJacobKerala/status/1756062376762515825</v>
      </c>
      <c r="K2764" t="s">
        <v>145</v>
      </c>
      <c r="O2764">
        <v>0</v>
      </c>
      <c r="P2764">
        <v>0</v>
      </c>
      <c r="Q2764">
        <v>123</v>
      </c>
      <c r="S2764">
        <v>0</v>
      </c>
      <c r="T2764">
        <v>0</v>
      </c>
      <c r="U2764">
        <v>0</v>
      </c>
      <c r="W2764" t="s">
        <v>552</v>
      </c>
    </row>
    <row r="2765" spans="1:23" x14ac:dyDescent="0.35">
      <c r="A2765" t="s">
        <v>45</v>
      </c>
      <c r="B2765" t="s">
        <v>6183</v>
      </c>
      <c r="C2765" t="s">
        <v>139</v>
      </c>
      <c r="D2765" t="s">
        <v>6322</v>
      </c>
      <c r="E2765" t="s">
        <v>6323</v>
      </c>
      <c r="F2765" t="s">
        <v>142</v>
      </c>
      <c r="G2765" t="s">
        <v>5601</v>
      </c>
      <c r="H2765" t="s">
        <v>6324</v>
      </c>
      <c r="J2765" t="str">
        <f>HYPERLINK("https://twitter.com/India5th/status/1756057429874462915","https://twitter.com/India5th/status/1756057429874462915")</f>
        <v>https://twitter.com/India5th/status/1756057429874462915</v>
      </c>
      <c r="K2765" t="s">
        <v>145</v>
      </c>
      <c r="O2765">
        <v>0</v>
      </c>
      <c r="P2765">
        <v>0</v>
      </c>
      <c r="Q2765">
        <v>181</v>
      </c>
      <c r="R2765" t="s">
        <v>6325</v>
      </c>
      <c r="S2765">
        <v>0</v>
      </c>
      <c r="T2765">
        <v>0</v>
      </c>
      <c r="U2765">
        <v>0</v>
      </c>
      <c r="W2765" t="s">
        <v>552</v>
      </c>
    </row>
    <row r="2766" spans="1:23" x14ac:dyDescent="0.35">
      <c r="A2766" t="s">
        <v>45</v>
      </c>
      <c r="B2766" t="s">
        <v>6183</v>
      </c>
      <c r="C2766" t="s">
        <v>139</v>
      </c>
      <c r="D2766" t="s">
        <v>6326</v>
      </c>
      <c r="E2766" t="s">
        <v>5859</v>
      </c>
      <c r="F2766" t="s">
        <v>142</v>
      </c>
      <c r="G2766" t="s">
        <v>5601</v>
      </c>
      <c r="H2766" t="s">
        <v>6327</v>
      </c>
      <c r="J2766" t="str">
        <f>HYPERLINK("https://twitter.com/akshatverma1118/status/1756054483593818267","https://twitter.com/akshatverma1118/status/1756054483593818267")</f>
        <v>https://twitter.com/akshatverma1118/status/1756054483593818267</v>
      </c>
      <c r="K2766" t="s">
        <v>145</v>
      </c>
      <c r="O2766">
        <v>0</v>
      </c>
      <c r="P2766">
        <v>0</v>
      </c>
      <c r="Q2766">
        <v>82</v>
      </c>
      <c r="R2766" t="s">
        <v>1247</v>
      </c>
      <c r="S2766">
        <v>0</v>
      </c>
      <c r="T2766">
        <v>0</v>
      </c>
      <c r="U2766">
        <v>0</v>
      </c>
      <c r="W2766" t="s">
        <v>552</v>
      </c>
    </row>
    <row r="2767" spans="1:23" x14ac:dyDescent="0.35">
      <c r="A2767" t="s">
        <v>45</v>
      </c>
      <c r="B2767" t="s">
        <v>6183</v>
      </c>
      <c r="C2767" t="s">
        <v>139</v>
      </c>
      <c r="D2767" t="s">
        <v>6328</v>
      </c>
      <c r="E2767" t="s">
        <v>6329</v>
      </c>
      <c r="F2767" t="s">
        <v>142</v>
      </c>
      <c r="G2767" t="s">
        <v>5601</v>
      </c>
      <c r="H2767" t="s">
        <v>6330</v>
      </c>
      <c r="J2767" t="str">
        <f>HYPERLINK("https://twitter.com/ipuneettanwar/status/1756051088086814986","https://twitter.com/ipuneettanwar/status/1756051088086814986")</f>
        <v>https://twitter.com/ipuneettanwar/status/1756051088086814986</v>
      </c>
      <c r="K2767" t="s">
        <v>145</v>
      </c>
      <c r="O2767">
        <v>0</v>
      </c>
      <c r="P2767">
        <v>0</v>
      </c>
      <c r="Q2767">
        <v>144</v>
      </c>
      <c r="R2767" t="s">
        <v>6331</v>
      </c>
      <c r="S2767">
        <v>0</v>
      </c>
      <c r="T2767">
        <v>0</v>
      </c>
      <c r="U2767">
        <v>0</v>
      </c>
      <c r="W2767" t="s">
        <v>552</v>
      </c>
    </row>
    <row r="2768" spans="1:23" x14ac:dyDescent="0.35">
      <c r="A2768" t="s">
        <v>45</v>
      </c>
      <c r="B2768" t="s">
        <v>6183</v>
      </c>
      <c r="C2768" t="s">
        <v>139</v>
      </c>
      <c r="D2768" t="s">
        <v>6332</v>
      </c>
      <c r="E2768" t="s">
        <v>6333</v>
      </c>
      <c r="F2768" t="s">
        <v>142</v>
      </c>
      <c r="G2768" t="s">
        <v>5601</v>
      </c>
      <c r="H2768" t="s">
        <v>6334</v>
      </c>
      <c r="J2768" t="str">
        <f>HYPERLINK("https://twitter.com/paraskaushik_79/status/1756049838657941516","https://twitter.com/paraskaushik_79/status/1756049838657941516")</f>
        <v>https://twitter.com/paraskaushik_79/status/1756049838657941516</v>
      </c>
      <c r="O2768">
        <v>0</v>
      </c>
      <c r="P2768">
        <v>0</v>
      </c>
      <c r="Q2768">
        <v>70</v>
      </c>
      <c r="R2768" t="s">
        <v>6335</v>
      </c>
      <c r="S2768">
        <v>0</v>
      </c>
      <c r="T2768">
        <v>0</v>
      </c>
      <c r="U2768">
        <v>0</v>
      </c>
      <c r="W2768" t="s">
        <v>552</v>
      </c>
    </row>
    <row r="2769" spans="1:45" x14ac:dyDescent="0.35">
      <c r="A2769" t="s">
        <v>45</v>
      </c>
      <c r="B2769" t="s">
        <v>6183</v>
      </c>
      <c r="C2769" t="s">
        <v>139</v>
      </c>
      <c r="D2769" t="s">
        <v>6336</v>
      </c>
      <c r="E2769" t="s">
        <v>6337</v>
      </c>
      <c r="F2769" t="s">
        <v>142</v>
      </c>
      <c r="G2769" t="s">
        <v>5601</v>
      </c>
      <c r="H2769" t="s">
        <v>6338</v>
      </c>
      <c r="J2769" t="str">
        <f>HYPERLINK("https://twitter.com/_Akhand_Bhaarat/status/1756033086213521599","https://twitter.com/_Akhand_Bhaarat/status/1756033086213521599")</f>
        <v>https://twitter.com/_Akhand_Bhaarat/status/1756033086213521599</v>
      </c>
      <c r="K2769" t="s">
        <v>1769</v>
      </c>
      <c r="O2769">
        <v>0</v>
      </c>
      <c r="P2769">
        <v>0</v>
      </c>
      <c r="Q2769">
        <v>525</v>
      </c>
      <c r="R2769" t="s">
        <v>6339</v>
      </c>
      <c r="S2769">
        <v>0</v>
      </c>
      <c r="T2769">
        <v>0</v>
      </c>
      <c r="U2769">
        <v>0</v>
      </c>
      <c r="W2769" t="s">
        <v>552</v>
      </c>
    </row>
    <row r="2770" spans="1:45" x14ac:dyDescent="0.35">
      <c r="A2770" t="s">
        <v>45</v>
      </c>
      <c r="B2770" t="s">
        <v>6183</v>
      </c>
      <c r="C2770" t="s">
        <v>139</v>
      </c>
      <c r="D2770" t="s">
        <v>6340</v>
      </c>
      <c r="E2770" t="s">
        <v>6341</v>
      </c>
      <c r="F2770" t="s">
        <v>142</v>
      </c>
      <c r="G2770" t="s">
        <v>5601</v>
      </c>
      <c r="H2770" t="s">
        <v>6342</v>
      </c>
      <c r="J2770" t="str">
        <f>HYPERLINK("https://twitter.com/RupeshGoel20/status/1756032755207676298","https://twitter.com/RupeshGoel20/status/1756032755207676298")</f>
        <v>https://twitter.com/RupeshGoel20/status/1756032755207676298</v>
      </c>
      <c r="K2770" t="s">
        <v>145</v>
      </c>
      <c r="O2770">
        <v>0</v>
      </c>
      <c r="P2770">
        <v>0</v>
      </c>
      <c r="Q2770">
        <v>537</v>
      </c>
      <c r="R2770" t="s">
        <v>6343</v>
      </c>
      <c r="S2770">
        <v>0</v>
      </c>
      <c r="T2770">
        <v>0</v>
      </c>
      <c r="U2770">
        <v>0</v>
      </c>
      <c r="W2770" t="s">
        <v>552</v>
      </c>
    </row>
    <row r="2771" spans="1:45" x14ac:dyDescent="0.35">
      <c r="A2771" t="s">
        <v>45</v>
      </c>
      <c r="B2771" t="s">
        <v>6183</v>
      </c>
      <c r="C2771" t="s">
        <v>139</v>
      </c>
      <c r="D2771" t="s">
        <v>6344</v>
      </c>
      <c r="E2771" t="s">
        <v>6345</v>
      </c>
      <c r="F2771" t="s">
        <v>142</v>
      </c>
      <c r="G2771" t="s">
        <v>5601</v>
      </c>
      <c r="H2771" t="s">
        <v>6346</v>
      </c>
      <c r="J2771" t="str">
        <f>HYPERLINK("https://twitter.com/GodIsGr82148817/status/1756028659704676556","https://twitter.com/GodIsGr82148817/status/1756028659704676556")</f>
        <v>https://twitter.com/GodIsGr82148817/status/1756028659704676556</v>
      </c>
      <c r="K2771" t="s">
        <v>145</v>
      </c>
      <c r="O2771">
        <v>0</v>
      </c>
      <c r="P2771">
        <v>0</v>
      </c>
      <c r="Q2771">
        <v>431</v>
      </c>
      <c r="S2771">
        <v>0</v>
      </c>
      <c r="T2771">
        <v>0</v>
      </c>
      <c r="U2771">
        <v>0</v>
      </c>
      <c r="W2771" t="s">
        <v>552</v>
      </c>
    </row>
    <row r="2772" spans="1:45" x14ac:dyDescent="0.35">
      <c r="A2772" t="s">
        <v>45</v>
      </c>
      <c r="B2772" t="s">
        <v>6183</v>
      </c>
      <c r="C2772" t="s">
        <v>139</v>
      </c>
      <c r="D2772" t="s">
        <v>6347</v>
      </c>
      <c r="E2772" t="s">
        <v>6348</v>
      </c>
      <c r="F2772" t="s">
        <v>142</v>
      </c>
      <c r="G2772" t="s">
        <v>5601</v>
      </c>
      <c r="H2772" t="s">
        <v>6349</v>
      </c>
      <c r="J2772" t="str">
        <f>HYPERLINK("https://twitter.com/kishor_085/status/1756026113585729835","https://twitter.com/kishor_085/status/1756026113585729835")</f>
        <v>https://twitter.com/kishor_085/status/1756026113585729835</v>
      </c>
      <c r="O2772">
        <v>0</v>
      </c>
      <c r="P2772">
        <v>0</v>
      </c>
      <c r="Q2772">
        <v>397</v>
      </c>
      <c r="S2772">
        <v>0</v>
      </c>
      <c r="T2772">
        <v>0</v>
      </c>
      <c r="U2772">
        <v>0</v>
      </c>
      <c r="W2772" t="s">
        <v>552</v>
      </c>
    </row>
    <row r="2773" spans="1:45" x14ac:dyDescent="0.35">
      <c r="A2773" t="s">
        <v>45</v>
      </c>
      <c r="B2773" t="s">
        <v>6350</v>
      </c>
      <c r="C2773" t="s">
        <v>47</v>
      </c>
      <c r="D2773" t="s">
        <v>1284</v>
      </c>
      <c r="E2773" t="s">
        <v>1284</v>
      </c>
      <c r="F2773" t="s">
        <v>49</v>
      </c>
      <c r="G2773" t="s">
        <v>6351</v>
      </c>
      <c r="H2773" t="s">
        <v>6352</v>
      </c>
      <c r="J2773" t="str">
        <f>HYPERLINK("https://www.facebook.com/454965103328545/posts/768116778680041?comment_id=910529677380375","https://www.facebook.com/454965103328545/posts/768116778680041?comment_id=910529677380375")</f>
        <v>https://www.facebook.com/454965103328545/posts/768116778680041?comment_id=910529677380375</v>
      </c>
      <c r="O2773">
        <v>0</v>
      </c>
      <c r="P2773">
        <v>0</v>
      </c>
      <c r="Q2773">
        <v>0</v>
      </c>
      <c r="S2773">
        <v>0</v>
      </c>
      <c r="T2773">
        <v>0</v>
      </c>
      <c r="U2773">
        <v>0</v>
      </c>
      <c r="W2773" t="s">
        <v>62</v>
      </c>
      <c r="AS2773" t="s">
        <v>375</v>
      </c>
    </row>
    <row r="2774" spans="1:45" x14ac:dyDescent="0.35">
      <c r="A2774" t="s">
        <v>45</v>
      </c>
      <c r="B2774" t="s">
        <v>6350</v>
      </c>
      <c r="C2774" t="s">
        <v>139</v>
      </c>
      <c r="D2774" t="s">
        <v>6353</v>
      </c>
      <c r="E2774" t="s">
        <v>6354</v>
      </c>
      <c r="F2774" t="s">
        <v>142</v>
      </c>
      <c r="G2774" t="s">
        <v>5601</v>
      </c>
      <c r="H2774" t="s">
        <v>6355</v>
      </c>
      <c r="J2774" t="str">
        <f>HYPERLINK("https://twitter.com/prateekdubey26/status/1756020498910286209","https://twitter.com/prateekdubey26/status/1756020498910286209")</f>
        <v>https://twitter.com/prateekdubey26/status/1756020498910286209</v>
      </c>
      <c r="K2774" t="s">
        <v>145</v>
      </c>
      <c r="O2774">
        <v>0</v>
      </c>
      <c r="P2774">
        <v>0</v>
      </c>
      <c r="Q2774">
        <v>35</v>
      </c>
      <c r="S2774">
        <v>0</v>
      </c>
      <c r="T2774">
        <v>0</v>
      </c>
      <c r="U2774">
        <v>0</v>
      </c>
      <c r="W2774" t="s">
        <v>552</v>
      </c>
    </row>
    <row r="2775" spans="1:45" x14ac:dyDescent="0.35">
      <c r="A2775" t="s">
        <v>45</v>
      </c>
      <c r="B2775" t="s">
        <v>6350</v>
      </c>
      <c r="C2775" t="s">
        <v>139</v>
      </c>
      <c r="D2775" t="s">
        <v>6356</v>
      </c>
      <c r="E2775" t="s">
        <v>6357</v>
      </c>
      <c r="F2775" t="s">
        <v>142</v>
      </c>
      <c r="G2775" t="s">
        <v>5601</v>
      </c>
      <c r="H2775" t="s">
        <v>6358</v>
      </c>
      <c r="J2775" t="str">
        <f>HYPERLINK("https://twitter.com/cheerystone/status/1756020372494045345","https://twitter.com/cheerystone/status/1756020372494045345")</f>
        <v>https://twitter.com/cheerystone/status/1756020372494045345</v>
      </c>
      <c r="K2775" t="s">
        <v>145</v>
      </c>
      <c r="O2775">
        <v>0</v>
      </c>
      <c r="P2775">
        <v>0</v>
      </c>
      <c r="Q2775">
        <v>3326</v>
      </c>
      <c r="R2775" t="s">
        <v>6359</v>
      </c>
      <c r="S2775">
        <v>0</v>
      </c>
      <c r="T2775">
        <v>0</v>
      </c>
      <c r="U2775">
        <v>0</v>
      </c>
      <c r="W2775" t="s">
        <v>552</v>
      </c>
    </row>
    <row r="2776" spans="1:45" x14ac:dyDescent="0.35">
      <c r="A2776" t="s">
        <v>45</v>
      </c>
      <c r="B2776" t="s">
        <v>6350</v>
      </c>
      <c r="C2776" t="s">
        <v>139</v>
      </c>
      <c r="D2776" t="s">
        <v>6360</v>
      </c>
      <c r="E2776" t="s">
        <v>6361</v>
      </c>
      <c r="F2776" t="s">
        <v>142</v>
      </c>
      <c r="G2776" t="s">
        <v>5601</v>
      </c>
      <c r="H2776" t="s">
        <v>6362</v>
      </c>
      <c r="J2776" t="str">
        <f>HYPERLINK("https://twitter.com/aryan8849080/status/1756020161554117058","https://twitter.com/aryan8849080/status/1756020161554117058")</f>
        <v>https://twitter.com/aryan8849080/status/1756020161554117058</v>
      </c>
      <c r="K2776" t="s">
        <v>145</v>
      </c>
      <c r="O2776">
        <v>0</v>
      </c>
      <c r="P2776">
        <v>0</v>
      </c>
      <c r="Q2776">
        <v>82</v>
      </c>
      <c r="S2776">
        <v>0</v>
      </c>
      <c r="T2776">
        <v>0</v>
      </c>
      <c r="U2776">
        <v>0</v>
      </c>
      <c r="W2776" t="s">
        <v>552</v>
      </c>
    </row>
    <row r="2777" spans="1:45" x14ac:dyDescent="0.35">
      <c r="A2777" t="s">
        <v>45</v>
      </c>
      <c r="B2777" t="s">
        <v>6350</v>
      </c>
      <c r="C2777" t="s">
        <v>139</v>
      </c>
      <c r="D2777" t="s">
        <v>6363</v>
      </c>
      <c r="E2777" t="s">
        <v>6364</v>
      </c>
      <c r="F2777" t="s">
        <v>142</v>
      </c>
      <c r="G2777" t="s">
        <v>5601</v>
      </c>
      <c r="H2777" t="s">
        <v>6365</v>
      </c>
      <c r="J2777" t="str">
        <f>HYPERLINK("https://twitter.com/Theynationalist/status/1756018808907592089","https://twitter.com/Theynationalist/status/1756018808907592089")</f>
        <v>https://twitter.com/Theynationalist/status/1756018808907592089</v>
      </c>
      <c r="O2777">
        <v>0</v>
      </c>
      <c r="P2777">
        <v>0</v>
      </c>
      <c r="Q2777">
        <v>406</v>
      </c>
      <c r="S2777">
        <v>0</v>
      </c>
      <c r="T2777">
        <v>0</v>
      </c>
      <c r="U2777">
        <v>0</v>
      </c>
      <c r="W2777" t="s">
        <v>552</v>
      </c>
    </row>
    <row r="2778" spans="1:45" x14ac:dyDescent="0.35">
      <c r="A2778" t="s">
        <v>45</v>
      </c>
      <c r="B2778" t="s">
        <v>6350</v>
      </c>
      <c r="C2778" t="s">
        <v>139</v>
      </c>
      <c r="D2778" t="s">
        <v>6366</v>
      </c>
      <c r="E2778" t="s">
        <v>6367</v>
      </c>
      <c r="F2778" t="s">
        <v>142</v>
      </c>
      <c r="G2778" t="s">
        <v>6368</v>
      </c>
      <c r="H2778" t="s">
        <v>6369</v>
      </c>
      <c r="J2778" t="str">
        <f>HYPERLINK("https://twitter.com/SatinTweety/status/1756016113723523239","https://twitter.com/SatinTweety/status/1756016113723523239")</f>
        <v>https://twitter.com/SatinTweety/status/1756016113723523239</v>
      </c>
      <c r="K2778" t="s">
        <v>145</v>
      </c>
      <c r="O2778">
        <v>0</v>
      </c>
      <c r="P2778">
        <v>0</v>
      </c>
      <c r="Q2778">
        <v>854</v>
      </c>
      <c r="S2778">
        <v>0</v>
      </c>
      <c r="T2778">
        <v>0</v>
      </c>
      <c r="U2778">
        <v>0</v>
      </c>
      <c r="W2778" t="s">
        <v>146</v>
      </c>
    </row>
    <row r="2779" spans="1:45" x14ac:dyDescent="0.35">
      <c r="A2779" t="s">
        <v>45</v>
      </c>
      <c r="B2779" t="s">
        <v>6350</v>
      </c>
      <c r="C2779" t="s">
        <v>139</v>
      </c>
      <c r="D2779" t="s">
        <v>6370</v>
      </c>
      <c r="E2779" t="s">
        <v>6371</v>
      </c>
      <c r="F2779" t="s">
        <v>142</v>
      </c>
      <c r="G2779" t="s">
        <v>5601</v>
      </c>
      <c r="H2779" t="s">
        <v>6372</v>
      </c>
      <c r="J2779" t="str">
        <f>HYPERLINK("https://twitter.com/Ramesh_Ndr/status/1756010829936267559","https://twitter.com/Ramesh_Ndr/status/1756010829936267559")</f>
        <v>https://twitter.com/Ramesh_Ndr/status/1756010829936267559</v>
      </c>
      <c r="K2779" t="s">
        <v>145</v>
      </c>
      <c r="O2779">
        <v>0</v>
      </c>
      <c r="P2779">
        <v>0</v>
      </c>
      <c r="Q2779">
        <v>382</v>
      </c>
      <c r="R2779" t="s">
        <v>1868</v>
      </c>
      <c r="S2779">
        <v>0</v>
      </c>
      <c r="T2779">
        <v>0</v>
      </c>
      <c r="U2779">
        <v>0</v>
      </c>
      <c r="W2779" t="s">
        <v>146</v>
      </c>
    </row>
    <row r="2780" spans="1:45" x14ac:dyDescent="0.35">
      <c r="A2780" t="s">
        <v>45</v>
      </c>
      <c r="B2780" t="s">
        <v>6350</v>
      </c>
      <c r="C2780" t="s">
        <v>139</v>
      </c>
      <c r="D2780" t="s">
        <v>6373</v>
      </c>
      <c r="E2780" t="s">
        <v>6374</v>
      </c>
      <c r="F2780" t="s">
        <v>142</v>
      </c>
      <c r="G2780" t="s">
        <v>5601</v>
      </c>
      <c r="H2780" t="s">
        <v>6375</v>
      </c>
      <c r="J2780" t="str">
        <f>HYPERLINK("https://twitter.com/eagleeye192020/status/1756009402006470790","https://twitter.com/eagleeye192020/status/1756009402006470790")</f>
        <v>https://twitter.com/eagleeye192020/status/1756009402006470790</v>
      </c>
      <c r="O2780">
        <v>0</v>
      </c>
      <c r="P2780">
        <v>0</v>
      </c>
      <c r="Q2780">
        <v>525</v>
      </c>
      <c r="S2780">
        <v>0</v>
      </c>
      <c r="T2780">
        <v>0</v>
      </c>
      <c r="U2780">
        <v>0</v>
      </c>
      <c r="W2780" t="s">
        <v>552</v>
      </c>
    </row>
    <row r="2781" spans="1:45" x14ac:dyDescent="0.35">
      <c r="A2781" t="s">
        <v>45</v>
      </c>
      <c r="B2781" t="s">
        <v>6350</v>
      </c>
      <c r="C2781" t="s">
        <v>139</v>
      </c>
      <c r="D2781" t="s">
        <v>6376</v>
      </c>
      <c r="E2781" t="s">
        <v>6377</v>
      </c>
      <c r="F2781" t="s">
        <v>142</v>
      </c>
      <c r="G2781" t="s">
        <v>5601</v>
      </c>
      <c r="H2781" t="s">
        <v>6378</v>
      </c>
      <c r="J2781" t="str">
        <f>HYPERLINK("https://twitter.com/VikasBh63903167/status/1756006527541112866","https://twitter.com/VikasBh63903167/status/1756006527541112866")</f>
        <v>https://twitter.com/VikasBh63903167/status/1756006527541112866</v>
      </c>
      <c r="O2781">
        <v>0</v>
      </c>
      <c r="P2781">
        <v>0</v>
      </c>
      <c r="Q2781">
        <v>86</v>
      </c>
      <c r="R2781" t="s">
        <v>6379</v>
      </c>
      <c r="S2781">
        <v>0</v>
      </c>
      <c r="T2781">
        <v>0</v>
      </c>
      <c r="U2781">
        <v>0</v>
      </c>
      <c r="W2781" t="s">
        <v>552</v>
      </c>
    </row>
    <row r="2782" spans="1:45" x14ac:dyDescent="0.35">
      <c r="A2782" t="s">
        <v>45</v>
      </c>
      <c r="B2782" t="s">
        <v>6350</v>
      </c>
      <c r="C2782" t="s">
        <v>139</v>
      </c>
      <c r="D2782" t="s">
        <v>6380</v>
      </c>
      <c r="E2782" t="s">
        <v>6381</v>
      </c>
      <c r="F2782" t="s">
        <v>142</v>
      </c>
      <c r="G2782" t="s">
        <v>5601</v>
      </c>
      <c r="H2782" t="s">
        <v>6382</v>
      </c>
      <c r="J2782" t="str">
        <f>HYPERLINK("https://twitter.com/Saurabhkmr09/status/1756006477452673453","https://twitter.com/Saurabhkmr09/status/1756006477452673453")</f>
        <v>https://twitter.com/Saurabhkmr09/status/1756006477452673453</v>
      </c>
      <c r="K2782" t="s">
        <v>145</v>
      </c>
      <c r="O2782">
        <v>0</v>
      </c>
      <c r="P2782">
        <v>0</v>
      </c>
      <c r="Q2782">
        <v>832</v>
      </c>
      <c r="R2782" t="s">
        <v>829</v>
      </c>
      <c r="S2782">
        <v>0</v>
      </c>
      <c r="T2782">
        <v>0</v>
      </c>
      <c r="U2782">
        <v>0</v>
      </c>
      <c r="W2782" t="s">
        <v>552</v>
      </c>
    </row>
    <row r="2783" spans="1:45" x14ac:dyDescent="0.35">
      <c r="A2783" t="s">
        <v>45</v>
      </c>
      <c r="B2783" t="s">
        <v>6350</v>
      </c>
      <c r="C2783" t="s">
        <v>139</v>
      </c>
      <c r="D2783" t="s">
        <v>6383</v>
      </c>
      <c r="E2783" t="s">
        <v>6384</v>
      </c>
      <c r="F2783" t="s">
        <v>142</v>
      </c>
      <c r="G2783" t="s">
        <v>5601</v>
      </c>
      <c r="H2783" t="s">
        <v>6385</v>
      </c>
      <c r="J2783" t="str">
        <f>HYPERLINK("https://twitter.com/arpan_bhakta/status/1756004099441713305","https://twitter.com/arpan_bhakta/status/1756004099441713305")</f>
        <v>https://twitter.com/arpan_bhakta/status/1756004099441713305</v>
      </c>
      <c r="K2783" t="s">
        <v>145</v>
      </c>
      <c r="O2783">
        <v>0</v>
      </c>
      <c r="P2783">
        <v>0</v>
      </c>
      <c r="Q2783">
        <v>482</v>
      </c>
      <c r="R2783" t="s">
        <v>6386</v>
      </c>
      <c r="S2783">
        <v>0</v>
      </c>
      <c r="T2783">
        <v>0</v>
      </c>
      <c r="U2783">
        <v>0</v>
      </c>
      <c r="W2783" t="s">
        <v>552</v>
      </c>
    </row>
    <row r="2784" spans="1:45" x14ac:dyDescent="0.35">
      <c r="A2784" t="s">
        <v>45</v>
      </c>
      <c r="B2784" t="s">
        <v>6350</v>
      </c>
      <c r="C2784" t="s">
        <v>139</v>
      </c>
      <c r="D2784" t="s">
        <v>6387</v>
      </c>
      <c r="E2784" t="s">
        <v>6388</v>
      </c>
      <c r="F2784" t="s">
        <v>142</v>
      </c>
      <c r="G2784" t="s">
        <v>5601</v>
      </c>
      <c r="H2784" t="s">
        <v>6389</v>
      </c>
      <c r="J2784" t="str">
        <f>HYPERLINK("https://twitter.com/directorrr87/status/1756003966633365656","https://twitter.com/directorrr87/status/1756003966633365656")</f>
        <v>https://twitter.com/directorrr87/status/1756003966633365656</v>
      </c>
      <c r="O2784">
        <v>0</v>
      </c>
      <c r="P2784">
        <v>0</v>
      </c>
      <c r="Q2784">
        <v>218</v>
      </c>
      <c r="R2784" t="s">
        <v>6390</v>
      </c>
      <c r="S2784">
        <v>0</v>
      </c>
      <c r="T2784">
        <v>0</v>
      </c>
      <c r="U2784">
        <v>0</v>
      </c>
      <c r="W2784" t="s">
        <v>552</v>
      </c>
    </row>
    <row r="2785" spans="1:45" x14ac:dyDescent="0.35">
      <c r="A2785" t="s">
        <v>45</v>
      </c>
      <c r="B2785" t="s">
        <v>6350</v>
      </c>
      <c r="C2785" t="s">
        <v>139</v>
      </c>
      <c r="D2785" t="s">
        <v>6391</v>
      </c>
      <c r="E2785" t="s">
        <v>6392</v>
      </c>
      <c r="F2785" t="s">
        <v>142</v>
      </c>
      <c r="G2785" t="s">
        <v>5601</v>
      </c>
      <c r="H2785" t="s">
        <v>6393</v>
      </c>
      <c r="J2785" t="str">
        <f>HYPERLINK("https://twitter.com/DrNitinMishra2/status/1756001629369995308","https://twitter.com/DrNitinMishra2/status/1756001629369995308")</f>
        <v>https://twitter.com/DrNitinMishra2/status/1756001629369995308</v>
      </c>
      <c r="K2785" t="s">
        <v>145</v>
      </c>
      <c r="O2785">
        <v>0</v>
      </c>
      <c r="P2785">
        <v>0</v>
      </c>
      <c r="Q2785">
        <v>930</v>
      </c>
      <c r="R2785" t="s">
        <v>582</v>
      </c>
      <c r="S2785">
        <v>0</v>
      </c>
      <c r="T2785">
        <v>0</v>
      </c>
      <c r="U2785">
        <v>0</v>
      </c>
      <c r="W2785" t="s">
        <v>552</v>
      </c>
    </row>
    <row r="2786" spans="1:45" x14ac:dyDescent="0.35">
      <c r="A2786" t="s">
        <v>45</v>
      </c>
      <c r="B2786" t="s">
        <v>6350</v>
      </c>
      <c r="C2786" t="s">
        <v>139</v>
      </c>
      <c r="D2786" t="s">
        <v>6394</v>
      </c>
      <c r="E2786" t="s">
        <v>6395</v>
      </c>
      <c r="F2786" t="s">
        <v>142</v>
      </c>
      <c r="G2786" t="s">
        <v>5601</v>
      </c>
      <c r="H2786" t="s">
        <v>6396</v>
      </c>
      <c r="J2786" t="str">
        <f>HYPERLINK("https://twitter.com/urstrulyrpt/status/1755998978951524754","https://twitter.com/urstrulyrpt/status/1755998978951524754")</f>
        <v>https://twitter.com/urstrulyrpt/status/1755998978951524754</v>
      </c>
      <c r="O2786">
        <v>0</v>
      </c>
      <c r="P2786">
        <v>0</v>
      </c>
      <c r="Q2786">
        <v>2454</v>
      </c>
      <c r="R2786" t="s">
        <v>6397</v>
      </c>
      <c r="S2786">
        <v>0</v>
      </c>
      <c r="T2786">
        <v>0</v>
      </c>
      <c r="U2786">
        <v>0</v>
      </c>
      <c r="W2786" t="s">
        <v>552</v>
      </c>
    </row>
    <row r="2787" spans="1:45" x14ac:dyDescent="0.35">
      <c r="A2787" t="s">
        <v>45</v>
      </c>
      <c r="B2787" t="s">
        <v>6350</v>
      </c>
      <c r="C2787" t="s">
        <v>139</v>
      </c>
      <c r="D2787" t="s">
        <v>6398</v>
      </c>
      <c r="E2787" t="s">
        <v>6399</v>
      </c>
      <c r="F2787" t="s">
        <v>142</v>
      </c>
      <c r="G2787" t="s">
        <v>5601</v>
      </c>
      <c r="H2787" t="s">
        <v>6400</v>
      </c>
      <c r="J2787" t="str">
        <f>HYPERLINK("https://twitter.com/pranav9983/status/1755997880274264390","https://twitter.com/pranav9983/status/1755997880274264390")</f>
        <v>https://twitter.com/pranav9983/status/1755997880274264390</v>
      </c>
      <c r="K2787" t="s">
        <v>145</v>
      </c>
      <c r="O2787">
        <v>0</v>
      </c>
      <c r="P2787">
        <v>0</v>
      </c>
      <c r="Q2787">
        <v>2096</v>
      </c>
      <c r="R2787" t="s">
        <v>6401</v>
      </c>
      <c r="S2787">
        <v>0</v>
      </c>
      <c r="T2787">
        <v>0</v>
      </c>
      <c r="U2787">
        <v>0</v>
      </c>
      <c r="W2787" t="s">
        <v>552</v>
      </c>
    </row>
    <row r="2788" spans="1:45" x14ac:dyDescent="0.35">
      <c r="A2788" t="s">
        <v>45</v>
      </c>
      <c r="B2788" t="s">
        <v>6350</v>
      </c>
      <c r="C2788" t="s">
        <v>139</v>
      </c>
      <c r="D2788" t="s">
        <v>6402</v>
      </c>
      <c r="E2788" t="s">
        <v>6403</v>
      </c>
      <c r="F2788" t="s">
        <v>142</v>
      </c>
      <c r="G2788" t="s">
        <v>5601</v>
      </c>
      <c r="H2788" t="s">
        <v>6404</v>
      </c>
      <c r="J2788" t="str">
        <f>HYPERLINK("https://twitter.com/PuRi_DePuRi/status/1755997703883120864","https://twitter.com/PuRi_DePuRi/status/1755997703883120864")</f>
        <v>https://twitter.com/PuRi_DePuRi/status/1755997703883120864</v>
      </c>
      <c r="O2788">
        <v>0</v>
      </c>
      <c r="P2788">
        <v>0</v>
      </c>
      <c r="Q2788">
        <v>126</v>
      </c>
      <c r="R2788" t="s">
        <v>6405</v>
      </c>
      <c r="S2788">
        <v>0</v>
      </c>
      <c r="T2788">
        <v>0</v>
      </c>
      <c r="U2788">
        <v>0</v>
      </c>
      <c r="W2788" t="s">
        <v>552</v>
      </c>
    </row>
    <row r="2789" spans="1:45" x14ac:dyDescent="0.35">
      <c r="A2789" t="s">
        <v>45</v>
      </c>
      <c r="B2789" t="s">
        <v>6350</v>
      </c>
      <c r="C2789" t="s">
        <v>139</v>
      </c>
      <c r="D2789" t="s">
        <v>6406</v>
      </c>
      <c r="E2789" t="s">
        <v>6407</v>
      </c>
      <c r="F2789" t="s">
        <v>142</v>
      </c>
      <c r="G2789" t="s">
        <v>5601</v>
      </c>
      <c r="H2789" t="s">
        <v>6408</v>
      </c>
      <c r="J2789" t="str">
        <f>HYPERLINK("https://twitter.com/PabloRkz/status/1755995402271371566","https://twitter.com/PabloRkz/status/1755995402271371566")</f>
        <v>https://twitter.com/PabloRkz/status/1755995402271371566</v>
      </c>
      <c r="O2789">
        <v>0</v>
      </c>
      <c r="P2789">
        <v>0</v>
      </c>
      <c r="Q2789">
        <v>33</v>
      </c>
      <c r="R2789" t="s">
        <v>6409</v>
      </c>
      <c r="S2789">
        <v>0</v>
      </c>
      <c r="T2789">
        <v>0</v>
      </c>
      <c r="U2789">
        <v>0</v>
      </c>
      <c r="W2789" t="s">
        <v>552</v>
      </c>
    </row>
    <row r="2790" spans="1:45" x14ac:dyDescent="0.35">
      <c r="A2790" t="s">
        <v>45</v>
      </c>
      <c r="B2790" t="s">
        <v>6350</v>
      </c>
      <c r="C2790" t="s">
        <v>47</v>
      </c>
      <c r="D2790" t="s">
        <v>6410</v>
      </c>
      <c r="E2790" t="s">
        <v>6410</v>
      </c>
      <c r="F2790" t="s">
        <v>49</v>
      </c>
      <c r="G2790" t="s">
        <v>6411</v>
      </c>
      <c r="H2790" t="s">
        <v>6412</v>
      </c>
      <c r="J2790" t="str">
        <f>HYPERLINK("https://www.facebook.com/357267201017935/inbox/7021600251251230/","https://www.facebook.com/357267201017935/inbox/7021600251251230/")</f>
        <v>https://www.facebook.com/357267201017935/inbox/7021600251251230/</v>
      </c>
      <c r="O2790">
        <v>0</v>
      </c>
      <c r="P2790">
        <v>0</v>
      </c>
      <c r="Q2790">
        <v>0</v>
      </c>
      <c r="S2790">
        <v>0</v>
      </c>
      <c r="T2790">
        <v>0</v>
      </c>
      <c r="U2790">
        <v>0</v>
      </c>
      <c r="W2790" t="s">
        <v>52</v>
      </c>
      <c r="AO2790" t="s">
        <v>67</v>
      </c>
      <c r="AS2790" t="s">
        <v>375</v>
      </c>
    </row>
    <row r="2791" spans="1:45" x14ac:dyDescent="0.35">
      <c r="A2791" t="s">
        <v>45</v>
      </c>
      <c r="B2791" t="s">
        <v>6350</v>
      </c>
      <c r="C2791" t="s">
        <v>139</v>
      </c>
      <c r="D2791" t="s">
        <v>6413</v>
      </c>
      <c r="E2791" t="s">
        <v>6414</v>
      </c>
      <c r="F2791" t="s">
        <v>142</v>
      </c>
      <c r="G2791" t="s">
        <v>5601</v>
      </c>
      <c r="H2791" t="s">
        <v>6415</v>
      </c>
      <c r="J2791" t="str">
        <f>HYPERLINK("https://twitter.com/Pradeep62313793/status/1755992128419713532","https://twitter.com/Pradeep62313793/status/1755992128419713532")</f>
        <v>https://twitter.com/Pradeep62313793/status/1755992128419713532</v>
      </c>
      <c r="O2791">
        <v>0</v>
      </c>
      <c r="P2791">
        <v>0</v>
      </c>
      <c r="Q2791">
        <v>401</v>
      </c>
      <c r="S2791">
        <v>0</v>
      </c>
      <c r="T2791">
        <v>0</v>
      </c>
      <c r="U2791">
        <v>0</v>
      </c>
      <c r="W2791" t="s">
        <v>552</v>
      </c>
    </row>
    <row r="2792" spans="1:45" x14ac:dyDescent="0.35">
      <c r="A2792" t="s">
        <v>45</v>
      </c>
      <c r="B2792" t="s">
        <v>6350</v>
      </c>
      <c r="C2792" t="s">
        <v>139</v>
      </c>
      <c r="D2792" t="s">
        <v>6416</v>
      </c>
      <c r="E2792" t="s">
        <v>6417</v>
      </c>
      <c r="F2792" t="s">
        <v>142</v>
      </c>
      <c r="G2792" t="s">
        <v>5601</v>
      </c>
      <c r="H2792" t="s">
        <v>6418</v>
      </c>
      <c r="J2792" t="str">
        <f>HYPERLINK("https://twitter.com/vijaayprajapati/status/1755991053281460394","https://twitter.com/vijaayprajapati/status/1755991053281460394")</f>
        <v>https://twitter.com/vijaayprajapati/status/1755991053281460394</v>
      </c>
      <c r="K2792" t="s">
        <v>145</v>
      </c>
      <c r="O2792">
        <v>0</v>
      </c>
      <c r="P2792">
        <v>0</v>
      </c>
      <c r="Q2792">
        <v>33</v>
      </c>
      <c r="R2792" t="s">
        <v>1247</v>
      </c>
      <c r="S2792">
        <v>0</v>
      </c>
      <c r="T2792">
        <v>0</v>
      </c>
      <c r="U2792">
        <v>0</v>
      </c>
      <c r="W2792" t="s">
        <v>552</v>
      </c>
    </row>
    <row r="2793" spans="1:45" x14ac:dyDescent="0.35">
      <c r="A2793" t="s">
        <v>45</v>
      </c>
      <c r="B2793" t="s">
        <v>6350</v>
      </c>
      <c r="C2793" t="s">
        <v>47</v>
      </c>
      <c r="D2793" t="s">
        <v>6410</v>
      </c>
      <c r="E2793" t="s">
        <v>6410</v>
      </c>
      <c r="F2793" t="s">
        <v>49</v>
      </c>
      <c r="G2793" t="s">
        <v>6419</v>
      </c>
      <c r="H2793" t="s">
        <v>6420</v>
      </c>
      <c r="J2793" t="str">
        <f>HYPERLINK("https://www.facebook.com/454965103328545/posts/762566475901738?comment_id=300424929709160","https://www.facebook.com/454965103328545/posts/762566475901738?comment_id=300424929709160")</f>
        <v>https://www.facebook.com/454965103328545/posts/762566475901738?comment_id=300424929709160</v>
      </c>
      <c r="O2793">
        <v>0</v>
      </c>
      <c r="P2793">
        <v>0</v>
      </c>
      <c r="Q2793">
        <v>0</v>
      </c>
      <c r="S2793">
        <v>0</v>
      </c>
      <c r="T2793">
        <v>0</v>
      </c>
      <c r="U2793">
        <v>0</v>
      </c>
      <c r="W2793" t="s">
        <v>62</v>
      </c>
      <c r="AO2793" t="s">
        <v>67</v>
      </c>
    </row>
    <row r="2794" spans="1:45" x14ac:dyDescent="0.35">
      <c r="A2794" t="s">
        <v>45</v>
      </c>
      <c r="B2794" t="s">
        <v>6350</v>
      </c>
      <c r="C2794" t="s">
        <v>139</v>
      </c>
      <c r="D2794" t="s">
        <v>6421</v>
      </c>
      <c r="E2794" t="s">
        <v>6422</v>
      </c>
      <c r="F2794" t="s">
        <v>142</v>
      </c>
      <c r="G2794" t="s">
        <v>5601</v>
      </c>
      <c r="H2794" t="s">
        <v>6423</v>
      </c>
      <c r="J2794" t="str">
        <f>HYPERLINK("https://twitter.com/shubham60446870/status/1755990242325393731","https://twitter.com/shubham60446870/status/1755990242325393731")</f>
        <v>https://twitter.com/shubham60446870/status/1755990242325393731</v>
      </c>
      <c r="K2794" t="s">
        <v>145</v>
      </c>
      <c r="O2794">
        <v>0</v>
      </c>
      <c r="P2794">
        <v>0</v>
      </c>
      <c r="Q2794">
        <v>414</v>
      </c>
      <c r="R2794" t="s">
        <v>6424</v>
      </c>
      <c r="S2794">
        <v>0</v>
      </c>
      <c r="T2794">
        <v>0</v>
      </c>
      <c r="U2794">
        <v>0</v>
      </c>
      <c r="W2794" t="s">
        <v>552</v>
      </c>
    </row>
    <row r="2795" spans="1:45" x14ac:dyDescent="0.35">
      <c r="A2795" t="s">
        <v>45</v>
      </c>
      <c r="B2795" t="s">
        <v>6350</v>
      </c>
      <c r="C2795" t="s">
        <v>47</v>
      </c>
      <c r="D2795" t="s">
        <v>6425</v>
      </c>
      <c r="E2795" t="s">
        <v>6425</v>
      </c>
      <c r="F2795" t="s">
        <v>49</v>
      </c>
      <c r="G2795" t="s">
        <v>6426</v>
      </c>
      <c r="H2795" t="s">
        <v>6427</v>
      </c>
      <c r="J2795" t="str">
        <f>HYPERLINK("https://www.facebook.com/357267201017935/inbox/7010892538988668/","https://www.facebook.com/357267201017935/inbox/7010892538988668/")</f>
        <v>https://www.facebook.com/357267201017935/inbox/7010892538988668/</v>
      </c>
      <c r="O2795">
        <v>0</v>
      </c>
      <c r="P2795">
        <v>0</v>
      </c>
      <c r="Q2795">
        <v>0</v>
      </c>
      <c r="S2795">
        <v>0</v>
      </c>
      <c r="T2795">
        <v>0</v>
      </c>
      <c r="U2795">
        <v>0</v>
      </c>
      <c r="W2795" t="s">
        <v>52</v>
      </c>
      <c r="AS2795" t="s">
        <v>375</v>
      </c>
    </row>
    <row r="2796" spans="1:45" x14ac:dyDescent="0.35">
      <c r="A2796" t="s">
        <v>45</v>
      </c>
      <c r="B2796" t="s">
        <v>6350</v>
      </c>
      <c r="C2796" t="s">
        <v>47</v>
      </c>
      <c r="D2796" t="s">
        <v>6425</v>
      </c>
      <c r="E2796" t="s">
        <v>6425</v>
      </c>
      <c r="F2796" t="s">
        <v>49</v>
      </c>
      <c r="G2796" t="s">
        <v>6428</v>
      </c>
      <c r="H2796" t="s">
        <v>6429</v>
      </c>
      <c r="J2796" t="str">
        <f>HYPERLINK("https://www.facebook.com/357267201017935/inbox/7010892538988668/","https://www.facebook.com/357267201017935/inbox/7010892538988668/")</f>
        <v>https://www.facebook.com/357267201017935/inbox/7010892538988668/</v>
      </c>
      <c r="O2796">
        <v>0</v>
      </c>
      <c r="P2796">
        <v>0</v>
      </c>
      <c r="Q2796">
        <v>0</v>
      </c>
      <c r="S2796">
        <v>0</v>
      </c>
      <c r="T2796">
        <v>0</v>
      </c>
      <c r="U2796">
        <v>0</v>
      </c>
      <c r="W2796" t="s">
        <v>52</v>
      </c>
    </row>
    <row r="2797" spans="1:45" x14ac:dyDescent="0.35">
      <c r="A2797" t="s">
        <v>45</v>
      </c>
      <c r="B2797" t="s">
        <v>6350</v>
      </c>
      <c r="C2797" t="s">
        <v>47</v>
      </c>
      <c r="D2797" t="s">
        <v>6425</v>
      </c>
      <c r="E2797" t="s">
        <v>6425</v>
      </c>
      <c r="F2797" t="s">
        <v>49</v>
      </c>
      <c r="G2797" t="s">
        <v>6430</v>
      </c>
      <c r="H2797" t="s">
        <v>6431</v>
      </c>
      <c r="J2797" t="str">
        <f>HYPERLINK("https://www.facebook.com/357267201017935/inbox/7010892538988668/","https://www.facebook.com/357267201017935/inbox/7010892538988668/")</f>
        <v>https://www.facebook.com/357267201017935/inbox/7010892538988668/</v>
      </c>
      <c r="O2797">
        <v>0</v>
      </c>
      <c r="P2797">
        <v>0</v>
      </c>
      <c r="Q2797">
        <v>0</v>
      </c>
      <c r="S2797">
        <v>0</v>
      </c>
      <c r="T2797">
        <v>0</v>
      </c>
      <c r="U2797">
        <v>0</v>
      </c>
      <c r="W2797" t="s">
        <v>52</v>
      </c>
      <c r="AP2797" t="s">
        <v>94</v>
      </c>
    </row>
    <row r="2798" spans="1:45" x14ac:dyDescent="0.35">
      <c r="A2798" t="s">
        <v>45</v>
      </c>
      <c r="B2798" t="s">
        <v>6350</v>
      </c>
      <c r="C2798" t="s">
        <v>47</v>
      </c>
      <c r="D2798" t="s">
        <v>6425</v>
      </c>
      <c r="E2798" t="s">
        <v>6425</v>
      </c>
      <c r="F2798" t="s">
        <v>49</v>
      </c>
      <c r="G2798" t="s">
        <v>6432</v>
      </c>
      <c r="H2798" t="s">
        <v>6433</v>
      </c>
      <c r="J2798" t="str">
        <f>HYPERLINK("https://www.facebook.com/357267201017935/inbox/7010892538988668/","https://www.facebook.com/357267201017935/inbox/7010892538988668/")</f>
        <v>https://www.facebook.com/357267201017935/inbox/7010892538988668/</v>
      </c>
      <c r="O2798">
        <v>0</v>
      </c>
      <c r="P2798">
        <v>0</v>
      </c>
      <c r="Q2798">
        <v>0</v>
      </c>
      <c r="S2798">
        <v>0</v>
      </c>
      <c r="T2798">
        <v>0</v>
      </c>
      <c r="U2798">
        <v>0</v>
      </c>
      <c r="W2798" t="s">
        <v>52</v>
      </c>
    </row>
    <row r="2799" spans="1:45" x14ac:dyDescent="0.35">
      <c r="A2799" t="s">
        <v>45</v>
      </c>
      <c r="B2799" t="s">
        <v>6350</v>
      </c>
      <c r="C2799" t="s">
        <v>139</v>
      </c>
      <c r="D2799" t="s">
        <v>6434</v>
      </c>
      <c r="E2799" t="s">
        <v>6435</v>
      </c>
      <c r="F2799" t="s">
        <v>142</v>
      </c>
      <c r="G2799" t="s">
        <v>5601</v>
      </c>
      <c r="H2799" t="s">
        <v>6436</v>
      </c>
      <c r="J2799" t="str">
        <f>HYPERLINK("https://twitter.com/Nad52138075/status/1755987264956764480","https://twitter.com/Nad52138075/status/1755987264956764480")</f>
        <v>https://twitter.com/Nad52138075/status/1755987264956764480</v>
      </c>
      <c r="K2799" t="s">
        <v>1769</v>
      </c>
      <c r="O2799">
        <v>0</v>
      </c>
      <c r="P2799">
        <v>0</v>
      </c>
      <c r="Q2799">
        <v>744</v>
      </c>
      <c r="R2799" t="s">
        <v>582</v>
      </c>
      <c r="S2799">
        <v>0</v>
      </c>
      <c r="T2799">
        <v>0</v>
      </c>
      <c r="U2799">
        <v>0</v>
      </c>
      <c r="W2799" t="s">
        <v>552</v>
      </c>
    </row>
    <row r="2800" spans="1:45" x14ac:dyDescent="0.35">
      <c r="A2800" t="s">
        <v>45</v>
      </c>
      <c r="B2800" t="s">
        <v>6350</v>
      </c>
      <c r="C2800" t="s">
        <v>139</v>
      </c>
      <c r="D2800" t="s">
        <v>6437</v>
      </c>
      <c r="E2800" t="s">
        <v>6438</v>
      </c>
      <c r="F2800" t="s">
        <v>142</v>
      </c>
      <c r="G2800" t="s">
        <v>5601</v>
      </c>
      <c r="H2800" t="s">
        <v>6439</v>
      </c>
      <c r="J2800" t="str">
        <f>HYPERLINK("https://twitter.com/PAPARAO1020/status/1755984019353657646","https://twitter.com/PAPARAO1020/status/1755984019353657646")</f>
        <v>https://twitter.com/PAPARAO1020/status/1755984019353657646</v>
      </c>
      <c r="K2800" t="s">
        <v>145</v>
      </c>
      <c r="O2800">
        <v>0</v>
      </c>
      <c r="P2800">
        <v>0</v>
      </c>
      <c r="Q2800">
        <v>23</v>
      </c>
      <c r="R2800" t="s">
        <v>6440</v>
      </c>
      <c r="S2800">
        <v>0</v>
      </c>
      <c r="T2800">
        <v>0</v>
      </c>
      <c r="U2800">
        <v>0</v>
      </c>
      <c r="W2800" t="s">
        <v>552</v>
      </c>
    </row>
    <row r="2801" spans="1:23" x14ac:dyDescent="0.35">
      <c r="A2801" t="s">
        <v>45</v>
      </c>
      <c r="B2801" t="s">
        <v>6350</v>
      </c>
      <c r="C2801" t="s">
        <v>139</v>
      </c>
      <c r="D2801" t="s">
        <v>6441</v>
      </c>
      <c r="E2801" t="s">
        <v>6442</v>
      </c>
      <c r="F2801" t="s">
        <v>142</v>
      </c>
      <c r="G2801" t="s">
        <v>5601</v>
      </c>
      <c r="H2801" t="s">
        <v>6443</v>
      </c>
      <c r="J2801" t="str">
        <f>HYPERLINK("https://twitter.com/Jayeshshewale/status/1755983943462269439","https://twitter.com/Jayeshshewale/status/1755983943462269439")</f>
        <v>https://twitter.com/Jayeshshewale/status/1755983943462269439</v>
      </c>
      <c r="K2801" t="s">
        <v>145</v>
      </c>
      <c r="O2801">
        <v>0</v>
      </c>
      <c r="P2801">
        <v>0</v>
      </c>
      <c r="Q2801">
        <v>915</v>
      </c>
      <c r="R2801" t="s">
        <v>6444</v>
      </c>
      <c r="S2801">
        <v>0</v>
      </c>
      <c r="T2801">
        <v>0</v>
      </c>
      <c r="U2801">
        <v>0</v>
      </c>
      <c r="W2801" t="s">
        <v>552</v>
      </c>
    </row>
    <row r="2802" spans="1:23" x14ac:dyDescent="0.35">
      <c r="A2802" t="s">
        <v>45</v>
      </c>
      <c r="B2802" t="s">
        <v>6350</v>
      </c>
      <c r="C2802" t="s">
        <v>139</v>
      </c>
      <c r="D2802" t="s">
        <v>6445</v>
      </c>
      <c r="E2802" t="s">
        <v>6446</v>
      </c>
      <c r="F2802" t="s">
        <v>142</v>
      </c>
      <c r="G2802" t="s">
        <v>5601</v>
      </c>
      <c r="H2802" t="s">
        <v>6447</v>
      </c>
      <c r="J2802" t="str">
        <f>HYPERLINK("https://twitter.com/SmartOwl1611/status/1755983023588430186","https://twitter.com/SmartOwl1611/status/1755983023588430186")</f>
        <v>https://twitter.com/SmartOwl1611/status/1755983023588430186</v>
      </c>
      <c r="O2802">
        <v>0</v>
      </c>
      <c r="P2802">
        <v>0</v>
      </c>
      <c r="Q2802">
        <v>818</v>
      </c>
      <c r="S2802">
        <v>0</v>
      </c>
      <c r="T2802">
        <v>0</v>
      </c>
      <c r="U2802">
        <v>0</v>
      </c>
      <c r="W2802" t="s">
        <v>552</v>
      </c>
    </row>
    <row r="2803" spans="1:23" x14ac:dyDescent="0.35">
      <c r="A2803" t="s">
        <v>45</v>
      </c>
      <c r="B2803" t="s">
        <v>6350</v>
      </c>
      <c r="C2803" t="s">
        <v>139</v>
      </c>
      <c r="D2803" t="s">
        <v>6448</v>
      </c>
      <c r="E2803" t="s">
        <v>6449</v>
      </c>
      <c r="F2803" t="s">
        <v>142</v>
      </c>
      <c r="G2803" t="s">
        <v>5601</v>
      </c>
      <c r="H2803" t="s">
        <v>6450</v>
      </c>
      <c r="J2803" t="str">
        <f>HYPERLINK("https://twitter.com/Pun_Pujari/status/1755979092560891994","https://twitter.com/Pun_Pujari/status/1755979092560891994")</f>
        <v>https://twitter.com/Pun_Pujari/status/1755979092560891994</v>
      </c>
      <c r="K2803" t="s">
        <v>145</v>
      </c>
      <c r="O2803">
        <v>0</v>
      </c>
      <c r="P2803">
        <v>0</v>
      </c>
      <c r="Q2803">
        <v>264</v>
      </c>
      <c r="S2803">
        <v>0</v>
      </c>
      <c r="T2803">
        <v>0</v>
      </c>
      <c r="U2803">
        <v>0</v>
      </c>
      <c r="W2803" t="s">
        <v>552</v>
      </c>
    </row>
    <row r="2804" spans="1:23" x14ac:dyDescent="0.35">
      <c r="A2804" t="s">
        <v>45</v>
      </c>
      <c r="B2804" t="s">
        <v>6350</v>
      </c>
      <c r="C2804" t="s">
        <v>139</v>
      </c>
      <c r="D2804" t="s">
        <v>6451</v>
      </c>
      <c r="E2804" t="s">
        <v>6452</v>
      </c>
      <c r="F2804" t="s">
        <v>142</v>
      </c>
      <c r="G2804" t="s">
        <v>5601</v>
      </c>
      <c r="H2804" t="s">
        <v>6453</v>
      </c>
      <c r="J2804" t="str">
        <f>HYPERLINK("https://twitter.com/RoshanJSR/status/1755977919867093334","https://twitter.com/RoshanJSR/status/1755977919867093334")</f>
        <v>https://twitter.com/RoshanJSR/status/1755977919867093334</v>
      </c>
      <c r="K2804" t="s">
        <v>145</v>
      </c>
      <c r="O2804">
        <v>0</v>
      </c>
      <c r="P2804">
        <v>0</v>
      </c>
      <c r="Q2804">
        <v>60</v>
      </c>
      <c r="R2804" t="s">
        <v>6379</v>
      </c>
      <c r="S2804">
        <v>0</v>
      </c>
      <c r="T2804">
        <v>0</v>
      </c>
      <c r="U2804">
        <v>0</v>
      </c>
      <c r="W2804" t="s">
        <v>552</v>
      </c>
    </row>
    <row r="2805" spans="1:23" x14ac:dyDescent="0.35">
      <c r="A2805" t="s">
        <v>45</v>
      </c>
      <c r="B2805" t="s">
        <v>6350</v>
      </c>
      <c r="C2805" t="s">
        <v>58</v>
      </c>
      <c r="D2805" t="s">
        <v>1369</v>
      </c>
      <c r="E2805" t="s">
        <v>1369</v>
      </c>
      <c r="F2805" t="s">
        <v>142</v>
      </c>
      <c r="G2805" t="s">
        <v>6454</v>
      </c>
      <c r="H2805" t="s">
        <v>6455</v>
      </c>
      <c r="J2805" t="str">
        <f>HYPERLINK("https://www.youtube.com/watch?v=nw2u8Mn_SaM","https://www.youtube.com/watch?v=nw2u8Mn_SaM")</f>
        <v>https://www.youtube.com/watch?v=nw2u8Mn_SaM</v>
      </c>
      <c r="O2805">
        <v>0</v>
      </c>
      <c r="P2805">
        <v>0</v>
      </c>
      <c r="Q2805">
        <v>0</v>
      </c>
      <c r="S2805">
        <v>0</v>
      </c>
      <c r="T2805">
        <v>0</v>
      </c>
      <c r="U2805">
        <v>0</v>
      </c>
      <c r="W2805" t="s">
        <v>106</v>
      </c>
    </row>
    <row r="2806" spans="1:23" x14ac:dyDescent="0.35">
      <c r="A2806" t="s">
        <v>45</v>
      </c>
      <c r="B2806" t="s">
        <v>6350</v>
      </c>
      <c r="C2806" t="s">
        <v>139</v>
      </c>
      <c r="D2806" t="s">
        <v>6456</v>
      </c>
      <c r="E2806" t="s">
        <v>6457</v>
      </c>
      <c r="F2806" t="s">
        <v>142</v>
      </c>
      <c r="G2806" t="s">
        <v>5601</v>
      </c>
      <c r="H2806" t="s">
        <v>6458</v>
      </c>
      <c r="J2806" t="str">
        <f>HYPERLINK("https://twitter.com/Saransh2107/status/1755976642151756159","https://twitter.com/Saransh2107/status/1755976642151756159")</f>
        <v>https://twitter.com/Saransh2107/status/1755976642151756159</v>
      </c>
      <c r="K2806" t="s">
        <v>145</v>
      </c>
      <c r="O2806">
        <v>0</v>
      </c>
      <c r="P2806">
        <v>0</v>
      </c>
      <c r="Q2806">
        <v>376</v>
      </c>
      <c r="R2806" t="s">
        <v>582</v>
      </c>
      <c r="S2806">
        <v>0</v>
      </c>
      <c r="T2806">
        <v>0</v>
      </c>
      <c r="U2806">
        <v>0</v>
      </c>
      <c r="W2806" t="s">
        <v>552</v>
      </c>
    </row>
    <row r="2807" spans="1:23" x14ac:dyDescent="0.35">
      <c r="A2807" t="s">
        <v>45</v>
      </c>
      <c r="B2807" t="s">
        <v>6350</v>
      </c>
      <c r="C2807" t="s">
        <v>139</v>
      </c>
      <c r="D2807" t="s">
        <v>6459</v>
      </c>
      <c r="E2807" t="s">
        <v>6460</v>
      </c>
      <c r="F2807" t="s">
        <v>142</v>
      </c>
      <c r="G2807" t="s">
        <v>5601</v>
      </c>
      <c r="H2807" t="s">
        <v>6461</v>
      </c>
      <c r="J2807" t="str">
        <f>HYPERLINK("https://twitter.com/aneeshguptaag/status/1755974846880858345","https://twitter.com/aneeshguptaag/status/1755974846880858345")</f>
        <v>https://twitter.com/aneeshguptaag/status/1755974846880858345</v>
      </c>
      <c r="K2807" t="s">
        <v>145</v>
      </c>
      <c r="O2807">
        <v>0</v>
      </c>
      <c r="P2807">
        <v>0</v>
      </c>
      <c r="Q2807">
        <v>550</v>
      </c>
      <c r="R2807" t="s">
        <v>4256</v>
      </c>
      <c r="S2807">
        <v>0</v>
      </c>
      <c r="T2807">
        <v>0</v>
      </c>
      <c r="U2807">
        <v>0</v>
      </c>
      <c r="W2807" t="s">
        <v>552</v>
      </c>
    </row>
    <row r="2808" spans="1:23" x14ac:dyDescent="0.35">
      <c r="A2808" t="s">
        <v>45</v>
      </c>
      <c r="B2808" t="s">
        <v>6350</v>
      </c>
      <c r="C2808" t="s">
        <v>139</v>
      </c>
      <c r="D2808" t="s">
        <v>6462</v>
      </c>
      <c r="E2808" t="s">
        <v>6463</v>
      </c>
      <c r="F2808" t="s">
        <v>49</v>
      </c>
      <c r="G2808" t="s">
        <v>6464</v>
      </c>
      <c r="H2808" t="s">
        <v>6465</v>
      </c>
      <c r="J2808" t="str">
        <f>HYPERLINK("https://twitter.com/MacNDdroid/status/1755973885764186464","https://twitter.com/MacNDdroid/status/1755973885764186464")</f>
        <v>https://twitter.com/MacNDdroid/status/1755973885764186464</v>
      </c>
      <c r="K2808" t="s">
        <v>145</v>
      </c>
      <c r="O2808">
        <v>0</v>
      </c>
      <c r="P2808">
        <v>0</v>
      </c>
      <c r="Q2808">
        <v>170</v>
      </c>
      <c r="S2808">
        <v>0</v>
      </c>
      <c r="T2808">
        <v>0</v>
      </c>
      <c r="U2808">
        <v>0</v>
      </c>
      <c r="W2808" t="s">
        <v>146</v>
      </c>
    </row>
    <row r="2809" spans="1:23" x14ac:dyDescent="0.35">
      <c r="A2809" t="s">
        <v>45</v>
      </c>
      <c r="B2809" t="s">
        <v>6350</v>
      </c>
      <c r="C2809" t="s">
        <v>139</v>
      </c>
      <c r="D2809" t="s">
        <v>6466</v>
      </c>
      <c r="E2809" t="s">
        <v>6467</v>
      </c>
      <c r="F2809" t="s">
        <v>142</v>
      </c>
      <c r="G2809" t="s">
        <v>5601</v>
      </c>
      <c r="H2809" t="s">
        <v>6468</v>
      </c>
      <c r="J2809" t="str">
        <f>HYPERLINK("https://twitter.com/mukuvidya06/status/1755972083908305286","https://twitter.com/mukuvidya06/status/1755972083908305286")</f>
        <v>https://twitter.com/mukuvidya06/status/1755972083908305286</v>
      </c>
      <c r="K2809" t="s">
        <v>145</v>
      </c>
      <c r="O2809">
        <v>0</v>
      </c>
      <c r="P2809">
        <v>0</v>
      </c>
      <c r="Q2809">
        <v>213</v>
      </c>
      <c r="R2809" t="s">
        <v>6469</v>
      </c>
      <c r="S2809">
        <v>0</v>
      </c>
      <c r="T2809">
        <v>0</v>
      </c>
      <c r="U2809">
        <v>0</v>
      </c>
      <c r="W2809" t="s">
        <v>552</v>
      </c>
    </row>
    <row r="2810" spans="1:23" x14ac:dyDescent="0.35">
      <c r="A2810" t="s">
        <v>45</v>
      </c>
      <c r="B2810" t="s">
        <v>6350</v>
      </c>
      <c r="C2810" t="s">
        <v>139</v>
      </c>
      <c r="D2810" t="s">
        <v>6470</v>
      </c>
      <c r="E2810" t="s">
        <v>6471</v>
      </c>
      <c r="F2810" t="s">
        <v>142</v>
      </c>
      <c r="G2810" t="s">
        <v>5601</v>
      </c>
      <c r="H2810" t="s">
        <v>6472</v>
      </c>
      <c r="J2810" t="str">
        <f>HYPERLINK("https://twitter.com/ajaynisanth/status/1755970400033599506","https://twitter.com/ajaynisanth/status/1755970400033599506")</f>
        <v>https://twitter.com/ajaynisanth/status/1755970400033599506</v>
      </c>
      <c r="K2810" t="s">
        <v>145</v>
      </c>
      <c r="O2810">
        <v>0</v>
      </c>
      <c r="P2810">
        <v>0</v>
      </c>
      <c r="Q2810">
        <v>228</v>
      </c>
      <c r="R2810" t="s">
        <v>6473</v>
      </c>
      <c r="S2810">
        <v>0</v>
      </c>
      <c r="T2810">
        <v>0</v>
      </c>
      <c r="U2810">
        <v>0</v>
      </c>
      <c r="W2810" t="s">
        <v>552</v>
      </c>
    </row>
    <row r="2811" spans="1:23" x14ac:dyDescent="0.35">
      <c r="A2811" t="s">
        <v>45</v>
      </c>
      <c r="B2811" t="s">
        <v>6350</v>
      </c>
      <c r="C2811" t="s">
        <v>139</v>
      </c>
      <c r="D2811" t="s">
        <v>6474</v>
      </c>
      <c r="E2811" t="s">
        <v>6475</v>
      </c>
      <c r="F2811" t="s">
        <v>142</v>
      </c>
      <c r="G2811" t="s">
        <v>5601</v>
      </c>
      <c r="H2811" t="s">
        <v>6476</v>
      </c>
      <c r="J2811" t="str">
        <f>HYPERLINK("https://twitter.com/mehta_jinil/status/1755970264326722041","https://twitter.com/mehta_jinil/status/1755970264326722041")</f>
        <v>https://twitter.com/mehta_jinil/status/1755970264326722041</v>
      </c>
      <c r="K2811" t="s">
        <v>145</v>
      </c>
      <c r="O2811">
        <v>0</v>
      </c>
      <c r="P2811">
        <v>0</v>
      </c>
      <c r="Q2811">
        <v>208</v>
      </c>
      <c r="R2811" t="s">
        <v>1868</v>
      </c>
      <c r="S2811">
        <v>0</v>
      </c>
      <c r="T2811">
        <v>0</v>
      </c>
      <c r="U2811">
        <v>0</v>
      </c>
      <c r="W2811" t="s">
        <v>552</v>
      </c>
    </row>
    <row r="2812" spans="1:23" x14ac:dyDescent="0.35">
      <c r="A2812" t="s">
        <v>45</v>
      </c>
      <c r="B2812" t="s">
        <v>6350</v>
      </c>
      <c r="C2812" t="s">
        <v>139</v>
      </c>
      <c r="D2812" t="s">
        <v>6477</v>
      </c>
      <c r="E2812" t="s">
        <v>6478</v>
      </c>
      <c r="F2812" t="s">
        <v>142</v>
      </c>
      <c r="G2812" t="s">
        <v>5601</v>
      </c>
      <c r="H2812" t="s">
        <v>6479</v>
      </c>
      <c r="J2812" t="str">
        <f>HYPERLINK("https://twitter.com/lit77/status/1755969370176860264","https://twitter.com/lit77/status/1755969370176860264")</f>
        <v>https://twitter.com/lit77/status/1755969370176860264</v>
      </c>
      <c r="O2812">
        <v>0</v>
      </c>
      <c r="P2812">
        <v>0</v>
      </c>
      <c r="Q2812">
        <v>348</v>
      </c>
      <c r="S2812">
        <v>0</v>
      </c>
      <c r="T2812">
        <v>0</v>
      </c>
      <c r="U2812">
        <v>0</v>
      </c>
      <c r="W2812" t="s">
        <v>552</v>
      </c>
    </row>
    <row r="2813" spans="1:23" x14ac:dyDescent="0.35">
      <c r="A2813" t="s">
        <v>45</v>
      </c>
      <c r="B2813" t="s">
        <v>6350</v>
      </c>
      <c r="C2813" t="s">
        <v>58</v>
      </c>
      <c r="D2813" t="s">
        <v>1217</v>
      </c>
      <c r="E2813" t="s">
        <v>1217</v>
      </c>
      <c r="F2813" t="s">
        <v>49</v>
      </c>
      <c r="G2813" t="s">
        <v>6480</v>
      </c>
      <c r="H2813" t="s">
        <v>6481</v>
      </c>
      <c r="J2813" t="str">
        <f>HYPERLINK("https://www.youtube.com/watch?v=LhCAd-NBkRc","https://www.youtube.com/watch?v=LhCAd-NBkRc")</f>
        <v>https://www.youtube.com/watch?v=LhCAd-NBkRc</v>
      </c>
      <c r="O2813">
        <v>0</v>
      </c>
      <c r="P2813">
        <v>0</v>
      </c>
      <c r="Q2813">
        <v>0</v>
      </c>
      <c r="S2813">
        <v>0</v>
      </c>
      <c r="T2813">
        <v>0</v>
      </c>
      <c r="U2813">
        <v>0</v>
      </c>
      <c r="W2813" t="s">
        <v>106</v>
      </c>
    </row>
    <row r="2814" spans="1:23" x14ac:dyDescent="0.35">
      <c r="A2814" t="s">
        <v>45</v>
      </c>
      <c r="B2814" t="s">
        <v>6350</v>
      </c>
      <c r="C2814" t="s">
        <v>139</v>
      </c>
      <c r="D2814" t="s">
        <v>6482</v>
      </c>
      <c r="E2814" t="s">
        <v>6483</v>
      </c>
      <c r="F2814" t="s">
        <v>142</v>
      </c>
      <c r="G2814" t="s">
        <v>5601</v>
      </c>
      <c r="H2814" t="s">
        <v>6484</v>
      </c>
      <c r="J2814" t="str">
        <f>HYPERLINK("https://twitter.com/Sasikum67788119/status/1755968637264093563","https://twitter.com/Sasikum67788119/status/1755968637264093563")</f>
        <v>https://twitter.com/Sasikum67788119/status/1755968637264093563</v>
      </c>
      <c r="K2814" t="s">
        <v>145</v>
      </c>
      <c r="O2814">
        <v>0</v>
      </c>
      <c r="P2814">
        <v>0</v>
      </c>
      <c r="Q2814">
        <v>1438</v>
      </c>
      <c r="R2814" t="s">
        <v>6167</v>
      </c>
      <c r="S2814">
        <v>0</v>
      </c>
      <c r="T2814">
        <v>0</v>
      </c>
      <c r="U2814">
        <v>0</v>
      </c>
      <c r="W2814" t="s">
        <v>552</v>
      </c>
    </row>
    <row r="2815" spans="1:23" x14ac:dyDescent="0.35">
      <c r="A2815" t="s">
        <v>45</v>
      </c>
      <c r="B2815" t="s">
        <v>6350</v>
      </c>
      <c r="C2815" t="s">
        <v>139</v>
      </c>
      <c r="D2815" t="s">
        <v>6485</v>
      </c>
      <c r="E2815" t="s">
        <v>6486</v>
      </c>
      <c r="F2815" t="s">
        <v>142</v>
      </c>
      <c r="G2815" t="s">
        <v>5601</v>
      </c>
      <c r="H2815" t="s">
        <v>6487</v>
      </c>
      <c r="J2815" t="str">
        <f>HYPERLINK("https://twitter.com/theExplorer_19/status/1755968306203316357","https://twitter.com/theExplorer_19/status/1755968306203316357")</f>
        <v>https://twitter.com/theExplorer_19/status/1755968306203316357</v>
      </c>
      <c r="O2815">
        <v>0</v>
      </c>
      <c r="P2815">
        <v>0</v>
      </c>
      <c r="Q2815">
        <v>1555</v>
      </c>
      <c r="R2815" t="s">
        <v>582</v>
      </c>
      <c r="S2815">
        <v>0</v>
      </c>
      <c r="T2815">
        <v>0</v>
      </c>
      <c r="U2815">
        <v>0</v>
      </c>
      <c r="W2815" t="s">
        <v>552</v>
      </c>
    </row>
    <row r="2816" spans="1:23" x14ac:dyDescent="0.35">
      <c r="A2816" t="s">
        <v>45</v>
      </c>
      <c r="B2816" t="s">
        <v>6350</v>
      </c>
      <c r="C2816" t="s">
        <v>139</v>
      </c>
      <c r="D2816" t="s">
        <v>6488</v>
      </c>
      <c r="E2816" t="s">
        <v>6489</v>
      </c>
      <c r="F2816" t="s">
        <v>49</v>
      </c>
      <c r="G2816" t="s">
        <v>6490</v>
      </c>
      <c r="H2816" t="s">
        <v>6491</v>
      </c>
      <c r="J2816" t="str">
        <f>HYPERLINK("https://twitter.com/Jap76428943176/status/1755967492374053112","https://twitter.com/Jap76428943176/status/1755967492374053112")</f>
        <v>https://twitter.com/Jap76428943176/status/1755967492374053112</v>
      </c>
      <c r="O2816">
        <v>0</v>
      </c>
      <c r="P2816">
        <v>0</v>
      </c>
      <c r="Q2816">
        <v>19</v>
      </c>
      <c r="R2816" t="s">
        <v>582</v>
      </c>
      <c r="S2816">
        <v>0</v>
      </c>
      <c r="T2816">
        <v>0</v>
      </c>
      <c r="U2816">
        <v>0</v>
      </c>
      <c r="W2816" t="s">
        <v>146</v>
      </c>
    </row>
    <row r="2817" spans="1:23" x14ac:dyDescent="0.35">
      <c r="A2817" t="s">
        <v>45</v>
      </c>
      <c r="B2817" t="s">
        <v>6350</v>
      </c>
      <c r="C2817" t="s">
        <v>139</v>
      </c>
      <c r="D2817" t="s">
        <v>6492</v>
      </c>
      <c r="E2817" t="s">
        <v>6493</v>
      </c>
      <c r="F2817" t="s">
        <v>142</v>
      </c>
      <c r="G2817" t="s">
        <v>5601</v>
      </c>
      <c r="H2817" t="s">
        <v>6494</v>
      </c>
      <c r="J2817" t="str">
        <f>HYPERLINK("https://twitter.com/doc_kehta_hai/status/1755966983823315141","https://twitter.com/doc_kehta_hai/status/1755966983823315141")</f>
        <v>https://twitter.com/doc_kehta_hai/status/1755966983823315141</v>
      </c>
      <c r="K2817" t="s">
        <v>145</v>
      </c>
      <c r="O2817">
        <v>0</v>
      </c>
      <c r="P2817">
        <v>0</v>
      </c>
      <c r="Q2817">
        <v>16</v>
      </c>
      <c r="R2817" t="s">
        <v>6495</v>
      </c>
      <c r="S2817">
        <v>0</v>
      </c>
      <c r="T2817">
        <v>0</v>
      </c>
      <c r="U2817">
        <v>0</v>
      </c>
      <c r="W2817" t="s">
        <v>552</v>
      </c>
    </row>
    <row r="2818" spans="1:23" x14ac:dyDescent="0.35">
      <c r="A2818" t="s">
        <v>45</v>
      </c>
      <c r="B2818" t="s">
        <v>6350</v>
      </c>
      <c r="C2818" t="s">
        <v>139</v>
      </c>
      <c r="D2818" t="s">
        <v>6496</v>
      </c>
      <c r="E2818" t="s">
        <v>6497</v>
      </c>
      <c r="F2818" t="s">
        <v>142</v>
      </c>
      <c r="G2818" t="s">
        <v>5601</v>
      </c>
      <c r="H2818" t="s">
        <v>6498</v>
      </c>
      <c r="J2818" t="str">
        <f>HYPERLINK("https://twitter.com/TRACTATORI_DAN/status/1755966555681378578","https://twitter.com/TRACTATORI_DAN/status/1755966555681378578")</f>
        <v>https://twitter.com/TRACTATORI_DAN/status/1755966555681378578</v>
      </c>
      <c r="K2818" t="s">
        <v>145</v>
      </c>
      <c r="O2818">
        <v>0</v>
      </c>
      <c r="P2818">
        <v>0</v>
      </c>
      <c r="Q2818">
        <v>631</v>
      </c>
      <c r="S2818">
        <v>0</v>
      </c>
      <c r="T2818">
        <v>0</v>
      </c>
      <c r="U2818">
        <v>0</v>
      </c>
      <c r="W2818" t="s">
        <v>552</v>
      </c>
    </row>
    <row r="2819" spans="1:23" x14ac:dyDescent="0.35">
      <c r="A2819" t="s">
        <v>45</v>
      </c>
      <c r="B2819" t="s">
        <v>6350</v>
      </c>
      <c r="C2819" t="s">
        <v>139</v>
      </c>
      <c r="D2819" t="s">
        <v>6499</v>
      </c>
      <c r="E2819" t="s">
        <v>6500</v>
      </c>
      <c r="F2819" t="s">
        <v>49</v>
      </c>
      <c r="G2819" s="1" t="s">
        <v>6501</v>
      </c>
      <c r="H2819" t="s">
        <v>6502</v>
      </c>
      <c r="J2819" t="str">
        <f>HYPERLINK("https://twitter.com/RedSaluteIn/status/1755964457094652373","https://twitter.com/RedSaluteIn/status/1755964457094652373")</f>
        <v>https://twitter.com/RedSaluteIn/status/1755964457094652373</v>
      </c>
      <c r="O2819">
        <v>0</v>
      </c>
      <c r="P2819">
        <v>0</v>
      </c>
      <c r="Q2819">
        <v>3404</v>
      </c>
      <c r="R2819" t="s">
        <v>6503</v>
      </c>
      <c r="S2819">
        <v>0</v>
      </c>
      <c r="T2819">
        <v>0</v>
      </c>
      <c r="U2819">
        <v>0</v>
      </c>
      <c r="W2819" t="s">
        <v>146</v>
      </c>
    </row>
    <row r="2820" spans="1:23" x14ac:dyDescent="0.35">
      <c r="A2820" t="s">
        <v>45</v>
      </c>
      <c r="B2820" t="s">
        <v>6350</v>
      </c>
      <c r="C2820" t="s">
        <v>139</v>
      </c>
      <c r="D2820" t="s">
        <v>6504</v>
      </c>
      <c r="E2820" t="s">
        <v>6505</v>
      </c>
      <c r="F2820" t="s">
        <v>142</v>
      </c>
      <c r="G2820" t="s">
        <v>5601</v>
      </c>
      <c r="H2820" t="s">
        <v>6506</v>
      </c>
      <c r="J2820" t="str">
        <f>HYPERLINK("https://twitter.com/bodapatiysrcp/status/1755964132879442200","https://twitter.com/bodapatiysrcp/status/1755964132879442200")</f>
        <v>https://twitter.com/bodapatiysrcp/status/1755964132879442200</v>
      </c>
      <c r="K2820" t="s">
        <v>145</v>
      </c>
      <c r="O2820">
        <v>0</v>
      </c>
      <c r="P2820">
        <v>0</v>
      </c>
      <c r="Q2820">
        <v>744</v>
      </c>
      <c r="R2820" t="s">
        <v>6507</v>
      </c>
      <c r="S2820">
        <v>0</v>
      </c>
      <c r="T2820">
        <v>0</v>
      </c>
      <c r="U2820">
        <v>0</v>
      </c>
      <c r="W2820" t="s">
        <v>552</v>
      </c>
    </row>
    <row r="2821" spans="1:23" x14ac:dyDescent="0.35">
      <c r="A2821" t="s">
        <v>45</v>
      </c>
      <c r="B2821" t="s">
        <v>6350</v>
      </c>
      <c r="C2821" t="s">
        <v>139</v>
      </c>
      <c r="D2821" t="s">
        <v>6508</v>
      </c>
      <c r="E2821" t="s">
        <v>6509</v>
      </c>
      <c r="F2821" t="s">
        <v>142</v>
      </c>
      <c r="G2821" t="s">
        <v>5601</v>
      </c>
      <c r="H2821" t="s">
        <v>6510</v>
      </c>
      <c r="J2821" t="str">
        <f>HYPERLINK("https://twitter.com/vedpuran055/status/1755964009512047085","https://twitter.com/vedpuran055/status/1755964009512047085")</f>
        <v>https://twitter.com/vedpuran055/status/1755964009512047085</v>
      </c>
      <c r="O2821">
        <v>0</v>
      </c>
      <c r="P2821">
        <v>0</v>
      </c>
      <c r="Q2821">
        <v>52</v>
      </c>
      <c r="S2821">
        <v>0</v>
      </c>
      <c r="T2821">
        <v>0</v>
      </c>
      <c r="U2821">
        <v>0</v>
      </c>
      <c r="W2821" t="s">
        <v>552</v>
      </c>
    </row>
    <row r="2822" spans="1:23" x14ac:dyDescent="0.35">
      <c r="A2822" t="s">
        <v>45</v>
      </c>
      <c r="B2822" t="s">
        <v>6350</v>
      </c>
      <c r="C2822" t="s">
        <v>139</v>
      </c>
      <c r="D2822" t="s">
        <v>6511</v>
      </c>
      <c r="E2822" t="s">
        <v>6512</v>
      </c>
      <c r="F2822" t="s">
        <v>142</v>
      </c>
      <c r="G2822" t="s">
        <v>5601</v>
      </c>
      <c r="H2822" t="s">
        <v>6513</v>
      </c>
      <c r="J2822" t="str">
        <f>HYPERLINK("https://twitter.com/D1999_nik/status/1755961877333700672","https://twitter.com/D1999_nik/status/1755961877333700672")</f>
        <v>https://twitter.com/D1999_nik/status/1755961877333700672</v>
      </c>
      <c r="K2822" t="s">
        <v>145</v>
      </c>
      <c r="O2822">
        <v>0</v>
      </c>
      <c r="P2822">
        <v>0</v>
      </c>
      <c r="Q2822">
        <v>405</v>
      </c>
      <c r="S2822">
        <v>0</v>
      </c>
      <c r="T2822">
        <v>0</v>
      </c>
      <c r="U2822">
        <v>0</v>
      </c>
      <c r="W2822" t="s">
        <v>552</v>
      </c>
    </row>
    <row r="2823" spans="1:23" x14ac:dyDescent="0.35">
      <c r="A2823" t="s">
        <v>45</v>
      </c>
      <c r="B2823" t="s">
        <v>6350</v>
      </c>
      <c r="C2823" t="s">
        <v>139</v>
      </c>
      <c r="D2823" t="s">
        <v>6514</v>
      </c>
      <c r="E2823" t="s">
        <v>6515</v>
      </c>
      <c r="F2823" t="s">
        <v>142</v>
      </c>
      <c r="G2823" t="s">
        <v>5601</v>
      </c>
      <c r="H2823" t="s">
        <v>6516</v>
      </c>
      <c r="J2823" t="str">
        <f>HYPERLINK("https://twitter.com/milkihon3/status/1755961376034459913","https://twitter.com/milkihon3/status/1755961376034459913")</f>
        <v>https://twitter.com/milkihon3/status/1755961376034459913</v>
      </c>
      <c r="K2823" t="s">
        <v>145</v>
      </c>
      <c r="O2823">
        <v>0</v>
      </c>
      <c r="P2823">
        <v>0</v>
      </c>
      <c r="Q2823">
        <v>174</v>
      </c>
      <c r="R2823" t="s">
        <v>6167</v>
      </c>
      <c r="S2823">
        <v>0</v>
      </c>
      <c r="T2823">
        <v>0</v>
      </c>
      <c r="U2823">
        <v>0</v>
      </c>
      <c r="W2823" t="s">
        <v>552</v>
      </c>
    </row>
    <row r="2824" spans="1:23" x14ac:dyDescent="0.35">
      <c r="A2824" t="s">
        <v>45</v>
      </c>
      <c r="B2824" t="s">
        <v>6350</v>
      </c>
      <c r="C2824" t="s">
        <v>139</v>
      </c>
      <c r="D2824" t="s">
        <v>6517</v>
      </c>
      <c r="E2824" t="s">
        <v>6518</v>
      </c>
      <c r="F2824" t="s">
        <v>142</v>
      </c>
      <c r="G2824" t="s">
        <v>5601</v>
      </c>
      <c r="H2824" t="s">
        <v>6519</v>
      </c>
      <c r="J2824" t="str">
        <f>HYPERLINK("https://twitter.com/industry_mini/status/1755958673808212401","https://twitter.com/industry_mini/status/1755958673808212401")</f>
        <v>https://twitter.com/industry_mini/status/1755958673808212401</v>
      </c>
      <c r="K2824" t="s">
        <v>145</v>
      </c>
      <c r="O2824">
        <v>0</v>
      </c>
      <c r="P2824">
        <v>0</v>
      </c>
      <c r="Q2824">
        <v>131</v>
      </c>
      <c r="S2824">
        <v>0</v>
      </c>
      <c r="T2824">
        <v>0</v>
      </c>
      <c r="U2824">
        <v>0</v>
      </c>
      <c r="W2824" t="s">
        <v>552</v>
      </c>
    </row>
    <row r="2825" spans="1:23" x14ac:dyDescent="0.35">
      <c r="A2825" t="s">
        <v>45</v>
      </c>
      <c r="B2825" t="s">
        <v>6350</v>
      </c>
      <c r="C2825" t="s">
        <v>139</v>
      </c>
      <c r="D2825" t="s">
        <v>6520</v>
      </c>
      <c r="E2825" t="s">
        <v>6521</v>
      </c>
      <c r="F2825" t="s">
        <v>142</v>
      </c>
      <c r="G2825" t="s">
        <v>5601</v>
      </c>
      <c r="H2825" t="s">
        <v>6522</v>
      </c>
      <c r="J2825" t="str">
        <f>HYPERLINK("https://twitter.com/CAViren_21/status/1755957800914546773","https://twitter.com/CAViren_21/status/1755957800914546773")</f>
        <v>https://twitter.com/CAViren_21/status/1755957800914546773</v>
      </c>
      <c r="K2825" t="s">
        <v>145</v>
      </c>
      <c r="O2825">
        <v>0</v>
      </c>
      <c r="P2825">
        <v>0</v>
      </c>
      <c r="Q2825">
        <v>327</v>
      </c>
      <c r="R2825" t="s">
        <v>1946</v>
      </c>
      <c r="S2825">
        <v>0</v>
      </c>
      <c r="T2825">
        <v>0</v>
      </c>
      <c r="U2825">
        <v>0</v>
      </c>
      <c r="W2825" t="s">
        <v>146</v>
      </c>
    </row>
    <row r="2826" spans="1:23" x14ac:dyDescent="0.35">
      <c r="A2826" t="s">
        <v>45</v>
      </c>
      <c r="B2826" t="s">
        <v>6350</v>
      </c>
      <c r="C2826" t="s">
        <v>139</v>
      </c>
      <c r="D2826" t="s">
        <v>6520</v>
      </c>
      <c r="E2826" t="s">
        <v>6521</v>
      </c>
      <c r="F2826" t="s">
        <v>142</v>
      </c>
      <c r="G2826" t="s">
        <v>5601</v>
      </c>
      <c r="H2826" t="s">
        <v>6523</v>
      </c>
      <c r="J2826" t="str">
        <f>HYPERLINK("https://twitter.com/CAViren_21/status/1755957714327351557","https://twitter.com/CAViren_21/status/1755957714327351557")</f>
        <v>https://twitter.com/CAViren_21/status/1755957714327351557</v>
      </c>
      <c r="K2826" t="s">
        <v>145</v>
      </c>
      <c r="O2826">
        <v>0</v>
      </c>
      <c r="P2826">
        <v>0</v>
      </c>
      <c r="Q2826">
        <v>327</v>
      </c>
      <c r="R2826" t="s">
        <v>1946</v>
      </c>
      <c r="S2826">
        <v>0</v>
      </c>
      <c r="T2826">
        <v>0</v>
      </c>
      <c r="U2826">
        <v>0</v>
      </c>
      <c r="W2826" t="s">
        <v>552</v>
      </c>
    </row>
    <row r="2827" spans="1:23" x14ac:dyDescent="0.35">
      <c r="A2827" t="s">
        <v>45</v>
      </c>
      <c r="B2827" t="s">
        <v>6350</v>
      </c>
      <c r="C2827" t="s">
        <v>139</v>
      </c>
      <c r="D2827" t="s">
        <v>6524</v>
      </c>
      <c r="E2827" t="s">
        <v>6525</v>
      </c>
      <c r="F2827" t="s">
        <v>142</v>
      </c>
      <c r="G2827" t="s">
        <v>5601</v>
      </c>
      <c r="H2827" t="s">
        <v>6526</v>
      </c>
      <c r="J2827" t="str">
        <f>HYPERLINK("https://twitter.com/Kumarga62487532/status/1755957222247428489","https://twitter.com/Kumarga62487532/status/1755957222247428489")</f>
        <v>https://twitter.com/Kumarga62487532/status/1755957222247428489</v>
      </c>
      <c r="O2827">
        <v>0</v>
      </c>
      <c r="P2827">
        <v>0</v>
      </c>
      <c r="Q2827">
        <v>334</v>
      </c>
      <c r="R2827" t="s">
        <v>6379</v>
      </c>
      <c r="S2827">
        <v>0</v>
      </c>
      <c r="T2827">
        <v>0</v>
      </c>
      <c r="U2827">
        <v>0</v>
      </c>
      <c r="W2827" t="s">
        <v>552</v>
      </c>
    </row>
    <row r="2828" spans="1:23" x14ac:dyDescent="0.35">
      <c r="A2828" t="s">
        <v>45</v>
      </c>
      <c r="B2828" t="s">
        <v>6350</v>
      </c>
      <c r="C2828" t="s">
        <v>139</v>
      </c>
      <c r="D2828" t="s">
        <v>6527</v>
      </c>
      <c r="E2828" t="s">
        <v>6528</v>
      </c>
      <c r="F2828" t="s">
        <v>142</v>
      </c>
      <c r="G2828" t="s">
        <v>5601</v>
      </c>
      <c r="H2828" t="s">
        <v>6529</v>
      </c>
      <c r="J2828" t="str">
        <f>HYPERLINK("https://twitter.com/ca20647816/status/1755956696894107933","https://twitter.com/ca20647816/status/1755956696894107933")</f>
        <v>https://twitter.com/ca20647816/status/1755956696894107933</v>
      </c>
      <c r="O2828">
        <v>0</v>
      </c>
      <c r="P2828">
        <v>0</v>
      </c>
      <c r="Q2828">
        <v>401</v>
      </c>
      <c r="S2828">
        <v>0</v>
      </c>
      <c r="T2828">
        <v>0</v>
      </c>
      <c r="U2828">
        <v>0</v>
      </c>
      <c r="W2828" t="s">
        <v>552</v>
      </c>
    </row>
    <row r="2829" spans="1:23" x14ac:dyDescent="0.35">
      <c r="A2829" t="s">
        <v>45</v>
      </c>
      <c r="B2829" t="s">
        <v>6350</v>
      </c>
      <c r="C2829" t="s">
        <v>139</v>
      </c>
      <c r="D2829" t="s">
        <v>6530</v>
      </c>
      <c r="E2829" t="s">
        <v>6531</v>
      </c>
      <c r="F2829" t="s">
        <v>142</v>
      </c>
      <c r="G2829" t="s">
        <v>5601</v>
      </c>
      <c r="H2829" t="s">
        <v>6532</v>
      </c>
      <c r="J2829" t="str">
        <f>HYPERLINK("https://twitter.com/Study_with_viki/status/1755955711186465022","https://twitter.com/Study_with_viki/status/1755955711186465022")</f>
        <v>https://twitter.com/Study_with_viki/status/1755955711186465022</v>
      </c>
      <c r="K2829" t="s">
        <v>145</v>
      </c>
      <c r="O2829">
        <v>0</v>
      </c>
      <c r="P2829">
        <v>0</v>
      </c>
      <c r="Q2829">
        <v>36</v>
      </c>
      <c r="S2829">
        <v>0</v>
      </c>
      <c r="T2829">
        <v>0</v>
      </c>
      <c r="U2829">
        <v>0</v>
      </c>
      <c r="W2829" t="s">
        <v>552</v>
      </c>
    </row>
    <row r="2830" spans="1:23" x14ac:dyDescent="0.35">
      <c r="A2830" t="s">
        <v>45</v>
      </c>
      <c r="B2830" t="s">
        <v>6350</v>
      </c>
      <c r="C2830" t="s">
        <v>139</v>
      </c>
      <c r="D2830" t="s">
        <v>6533</v>
      </c>
      <c r="E2830" t="s">
        <v>6534</v>
      </c>
      <c r="F2830" t="s">
        <v>142</v>
      </c>
      <c r="G2830" t="s">
        <v>5601</v>
      </c>
      <c r="H2830" t="s">
        <v>6535</v>
      </c>
      <c r="J2830" t="str">
        <f>HYPERLINK("https://twitter.com/niharjadav/status/1755955072511697138","https://twitter.com/niharjadav/status/1755955072511697138")</f>
        <v>https://twitter.com/niharjadav/status/1755955072511697138</v>
      </c>
      <c r="K2830" t="s">
        <v>145</v>
      </c>
      <c r="O2830">
        <v>0</v>
      </c>
      <c r="P2830">
        <v>0</v>
      </c>
      <c r="Q2830">
        <v>176</v>
      </c>
      <c r="R2830" t="s">
        <v>6536</v>
      </c>
      <c r="S2830">
        <v>0</v>
      </c>
      <c r="T2830">
        <v>0</v>
      </c>
      <c r="U2830">
        <v>0</v>
      </c>
      <c r="W2830" t="s">
        <v>552</v>
      </c>
    </row>
    <row r="2831" spans="1:23" x14ac:dyDescent="0.35">
      <c r="A2831" t="s">
        <v>45</v>
      </c>
      <c r="B2831" t="s">
        <v>6350</v>
      </c>
      <c r="C2831" t="s">
        <v>139</v>
      </c>
      <c r="D2831" t="s">
        <v>6537</v>
      </c>
      <c r="E2831" t="s">
        <v>6538</v>
      </c>
      <c r="F2831" t="s">
        <v>142</v>
      </c>
      <c r="G2831" t="s">
        <v>5601</v>
      </c>
      <c r="H2831" t="s">
        <v>6539</v>
      </c>
      <c r="J2831" t="str">
        <f>HYPERLINK("https://twitter.com/thesacredhindu/status/1755954392006836359","https://twitter.com/thesacredhindu/status/1755954392006836359")</f>
        <v>https://twitter.com/thesacredhindu/status/1755954392006836359</v>
      </c>
      <c r="O2831">
        <v>0</v>
      </c>
      <c r="P2831">
        <v>0</v>
      </c>
      <c r="Q2831">
        <v>201</v>
      </c>
      <c r="R2831" t="s">
        <v>582</v>
      </c>
      <c r="S2831">
        <v>0</v>
      </c>
      <c r="T2831">
        <v>0</v>
      </c>
      <c r="U2831">
        <v>0</v>
      </c>
      <c r="W2831" t="s">
        <v>552</v>
      </c>
    </row>
    <row r="2832" spans="1:23" x14ac:dyDescent="0.35">
      <c r="A2832" t="s">
        <v>45</v>
      </c>
      <c r="B2832" t="s">
        <v>6350</v>
      </c>
      <c r="C2832" t="s">
        <v>139</v>
      </c>
      <c r="D2832" t="s">
        <v>6540</v>
      </c>
      <c r="E2832" t="s">
        <v>6541</v>
      </c>
      <c r="F2832" t="s">
        <v>142</v>
      </c>
      <c r="G2832" t="s">
        <v>5601</v>
      </c>
      <c r="H2832" t="s">
        <v>6542</v>
      </c>
      <c r="J2832" t="str">
        <f>HYPERLINK("https://twitter.com/indrajitprakas1/status/1755954086158229809","https://twitter.com/indrajitprakas1/status/1755954086158229809")</f>
        <v>https://twitter.com/indrajitprakas1/status/1755954086158229809</v>
      </c>
      <c r="K2832" t="s">
        <v>145</v>
      </c>
      <c r="O2832">
        <v>0</v>
      </c>
      <c r="P2832">
        <v>0</v>
      </c>
      <c r="Q2832">
        <v>340</v>
      </c>
      <c r="R2832" t="s">
        <v>582</v>
      </c>
      <c r="S2832">
        <v>0</v>
      </c>
      <c r="T2832">
        <v>0</v>
      </c>
      <c r="U2832">
        <v>0</v>
      </c>
      <c r="W2832" t="s">
        <v>552</v>
      </c>
    </row>
    <row r="2833" spans="1:45" x14ac:dyDescent="0.35">
      <c r="A2833" t="s">
        <v>45</v>
      </c>
      <c r="B2833" t="s">
        <v>6350</v>
      </c>
      <c r="C2833" t="s">
        <v>58</v>
      </c>
      <c r="D2833" t="s">
        <v>6085</v>
      </c>
      <c r="E2833" t="s">
        <v>6085</v>
      </c>
      <c r="F2833" t="s">
        <v>49</v>
      </c>
      <c r="G2833" t="s">
        <v>6543</v>
      </c>
      <c r="H2833" t="s">
        <v>6544</v>
      </c>
      <c r="J2833" t="str">
        <f>HYPERLINK("https://www.youtube.com/watch?v=stoQug3arng","https://www.youtube.com/watch?v=stoQug3arng")</f>
        <v>https://www.youtube.com/watch?v=stoQug3arng</v>
      </c>
      <c r="O2833">
        <v>0</v>
      </c>
      <c r="P2833">
        <v>0</v>
      </c>
      <c r="Q2833">
        <v>0</v>
      </c>
      <c r="S2833">
        <v>0</v>
      </c>
      <c r="T2833">
        <v>0</v>
      </c>
      <c r="U2833">
        <v>0</v>
      </c>
      <c r="W2833" t="s">
        <v>106</v>
      </c>
      <c r="AP2833" t="s">
        <v>94</v>
      </c>
    </row>
    <row r="2834" spans="1:45" x14ac:dyDescent="0.35">
      <c r="A2834" t="s">
        <v>45</v>
      </c>
      <c r="B2834" t="s">
        <v>6350</v>
      </c>
      <c r="C2834" t="s">
        <v>139</v>
      </c>
      <c r="D2834" t="s">
        <v>6545</v>
      </c>
      <c r="E2834" t="s">
        <v>6546</v>
      </c>
      <c r="F2834" t="s">
        <v>142</v>
      </c>
      <c r="G2834" t="s">
        <v>5601</v>
      </c>
      <c r="H2834" t="s">
        <v>6547</v>
      </c>
      <c r="J2834" t="str">
        <f>HYPERLINK("https://twitter.com/MShukla57/status/1755953469637132634","https://twitter.com/MShukla57/status/1755953469637132634")</f>
        <v>https://twitter.com/MShukla57/status/1755953469637132634</v>
      </c>
      <c r="O2834">
        <v>0</v>
      </c>
      <c r="P2834">
        <v>0</v>
      </c>
      <c r="Q2834">
        <v>771</v>
      </c>
      <c r="R2834" t="s">
        <v>6548</v>
      </c>
      <c r="S2834">
        <v>0</v>
      </c>
      <c r="T2834">
        <v>0</v>
      </c>
      <c r="U2834">
        <v>0</v>
      </c>
      <c r="W2834" t="s">
        <v>552</v>
      </c>
    </row>
    <row r="2835" spans="1:45" x14ac:dyDescent="0.35">
      <c r="A2835" t="s">
        <v>45</v>
      </c>
      <c r="B2835" t="s">
        <v>6350</v>
      </c>
      <c r="C2835" t="s">
        <v>139</v>
      </c>
      <c r="D2835" t="s">
        <v>6549</v>
      </c>
      <c r="E2835" t="s">
        <v>6550</v>
      </c>
      <c r="F2835" t="s">
        <v>142</v>
      </c>
      <c r="G2835" t="s">
        <v>5601</v>
      </c>
      <c r="H2835" t="s">
        <v>6551</v>
      </c>
      <c r="J2835" t="str">
        <f>HYPERLINK("https://twitter.com/sunilgurjar1011/status/1755952332758778144","https://twitter.com/sunilgurjar1011/status/1755952332758778144")</f>
        <v>https://twitter.com/sunilgurjar1011/status/1755952332758778144</v>
      </c>
      <c r="O2835">
        <v>0</v>
      </c>
      <c r="P2835">
        <v>0</v>
      </c>
      <c r="Q2835">
        <v>46</v>
      </c>
      <c r="S2835">
        <v>0</v>
      </c>
      <c r="T2835">
        <v>0</v>
      </c>
      <c r="U2835">
        <v>0</v>
      </c>
      <c r="W2835" t="s">
        <v>552</v>
      </c>
    </row>
    <row r="2836" spans="1:45" x14ac:dyDescent="0.35">
      <c r="A2836" t="s">
        <v>45</v>
      </c>
      <c r="B2836" t="s">
        <v>6350</v>
      </c>
      <c r="C2836" t="s">
        <v>139</v>
      </c>
      <c r="D2836" t="s">
        <v>6552</v>
      </c>
      <c r="E2836" t="s">
        <v>6553</v>
      </c>
      <c r="F2836" t="s">
        <v>142</v>
      </c>
      <c r="G2836" t="s">
        <v>5601</v>
      </c>
      <c r="H2836" t="s">
        <v>6554</v>
      </c>
      <c r="J2836" t="str">
        <f>HYPERLINK("https://twitter.com/gnagpal652/status/1755952309694054547","https://twitter.com/gnagpal652/status/1755952309694054547")</f>
        <v>https://twitter.com/gnagpal652/status/1755952309694054547</v>
      </c>
      <c r="K2836" t="s">
        <v>145</v>
      </c>
      <c r="O2836">
        <v>0</v>
      </c>
      <c r="P2836">
        <v>0</v>
      </c>
      <c r="Q2836">
        <v>162</v>
      </c>
      <c r="S2836">
        <v>0</v>
      </c>
      <c r="T2836">
        <v>0</v>
      </c>
      <c r="U2836">
        <v>0</v>
      </c>
      <c r="W2836" t="s">
        <v>552</v>
      </c>
    </row>
    <row r="2837" spans="1:45" x14ac:dyDescent="0.35">
      <c r="A2837" t="s">
        <v>45</v>
      </c>
      <c r="B2837" t="s">
        <v>6350</v>
      </c>
      <c r="C2837" t="s">
        <v>139</v>
      </c>
      <c r="D2837" t="s">
        <v>6555</v>
      </c>
      <c r="E2837" t="s">
        <v>6556</v>
      </c>
      <c r="F2837" t="s">
        <v>142</v>
      </c>
      <c r="G2837" t="s">
        <v>5601</v>
      </c>
      <c r="H2837" t="s">
        <v>6557</v>
      </c>
      <c r="J2837" t="str">
        <f>HYPERLINK("https://twitter.com/kristanjore/status/1755950560258170903","https://twitter.com/kristanjore/status/1755950560258170903")</f>
        <v>https://twitter.com/kristanjore/status/1755950560258170903</v>
      </c>
      <c r="K2837" t="s">
        <v>145</v>
      </c>
      <c r="O2837">
        <v>0</v>
      </c>
      <c r="P2837">
        <v>0</v>
      </c>
      <c r="Q2837">
        <v>3430</v>
      </c>
      <c r="R2837" t="s">
        <v>6558</v>
      </c>
      <c r="S2837">
        <v>0</v>
      </c>
      <c r="T2837">
        <v>0</v>
      </c>
      <c r="U2837">
        <v>0</v>
      </c>
      <c r="W2837" t="s">
        <v>552</v>
      </c>
    </row>
    <row r="2838" spans="1:45" x14ac:dyDescent="0.35">
      <c r="A2838" t="s">
        <v>45</v>
      </c>
      <c r="B2838" t="s">
        <v>6350</v>
      </c>
      <c r="C2838" t="s">
        <v>139</v>
      </c>
      <c r="D2838" t="s">
        <v>6559</v>
      </c>
      <c r="E2838" t="s">
        <v>6560</v>
      </c>
      <c r="F2838" t="s">
        <v>142</v>
      </c>
      <c r="G2838" t="s">
        <v>6561</v>
      </c>
      <c r="H2838" t="s">
        <v>6562</v>
      </c>
      <c r="J2838" t="str">
        <f>HYPERLINK("https://twitter.com/Paytm_care_64/status/1755950390393323944","https://twitter.com/Paytm_care_64/status/1755950390393323944")</f>
        <v>https://twitter.com/Paytm_care_64/status/1755950390393323944</v>
      </c>
      <c r="O2838">
        <v>0</v>
      </c>
      <c r="P2838">
        <v>0</v>
      </c>
      <c r="Q2838">
        <v>0</v>
      </c>
      <c r="S2838">
        <v>0</v>
      </c>
      <c r="T2838">
        <v>0</v>
      </c>
      <c r="U2838">
        <v>0</v>
      </c>
      <c r="W2838" t="s">
        <v>552</v>
      </c>
    </row>
    <row r="2839" spans="1:45" x14ac:dyDescent="0.35">
      <c r="A2839" t="s">
        <v>45</v>
      </c>
      <c r="B2839" t="s">
        <v>6350</v>
      </c>
      <c r="C2839" t="s">
        <v>139</v>
      </c>
      <c r="D2839" t="s">
        <v>6563</v>
      </c>
      <c r="E2839" t="s">
        <v>6564</v>
      </c>
      <c r="F2839" t="s">
        <v>142</v>
      </c>
      <c r="G2839" t="s">
        <v>6561</v>
      </c>
      <c r="H2839" t="s">
        <v>6565</v>
      </c>
      <c r="J2839" t="str">
        <f>HYPERLINK("https://twitter.com/realNipeshPatel/status/1755950333094732092","https://twitter.com/realNipeshPatel/status/1755950333094732092")</f>
        <v>https://twitter.com/realNipeshPatel/status/1755950333094732092</v>
      </c>
      <c r="K2839" t="s">
        <v>145</v>
      </c>
      <c r="O2839">
        <v>0</v>
      </c>
      <c r="P2839">
        <v>0</v>
      </c>
      <c r="Q2839">
        <v>2748</v>
      </c>
      <c r="R2839" t="s">
        <v>1819</v>
      </c>
      <c r="S2839">
        <v>0</v>
      </c>
      <c r="T2839">
        <v>0</v>
      </c>
      <c r="U2839">
        <v>0</v>
      </c>
      <c r="W2839" t="s">
        <v>146</v>
      </c>
    </row>
    <row r="2840" spans="1:45" x14ac:dyDescent="0.35">
      <c r="A2840" t="s">
        <v>45</v>
      </c>
      <c r="B2840" t="s">
        <v>6350</v>
      </c>
      <c r="C2840" t="s">
        <v>139</v>
      </c>
      <c r="D2840" t="s">
        <v>6566</v>
      </c>
      <c r="E2840" t="s">
        <v>6567</v>
      </c>
      <c r="F2840" t="s">
        <v>142</v>
      </c>
      <c r="G2840" t="s">
        <v>5601</v>
      </c>
      <c r="H2840" t="s">
        <v>6568</v>
      </c>
      <c r="J2840" t="str">
        <f>HYPERLINK("https://twitter.com/Bhubaneswar2020/status/1755949796961984865","https://twitter.com/Bhubaneswar2020/status/1755949796961984865")</f>
        <v>https://twitter.com/Bhubaneswar2020/status/1755949796961984865</v>
      </c>
      <c r="O2840">
        <v>0</v>
      </c>
      <c r="P2840">
        <v>0</v>
      </c>
      <c r="Q2840">
        <v>480</v>
      </c>
      <c r="R2840" t="s">
        <v>6569</v>
      </c>
      <c r="S2840">
        <v>0</v>
      </c>
      <c r="T2840">
        <v>0</v>
      </c>
      <c r="U2840">
        <v>0</v>
      </c>
      <c r="W2840" t="s">
        <v>552</v>
      </c>
    </row>
    <row r="2841" spans="1:45" x14ac:dyDescent="0.35">
      <c r="A2841" t="s">
        <v>45</v>
      </c>
      <c r="B2841" t="s">
        <v>6350</v>
      </c>
      <c r="C2841" t="s">
        <v>139</v>
      </c>
      <c r="D2841" t="s">
        <v>6570</v>
      </c>
      <c r="E2841" t="s">
        <v>6571</v>
      </c>
      <c r="F2841" t="s">
        <v>142</v>
      </c>
      <c r="G2841" t="s">
        <v>5601</v>
      </c>
      <c r="H2841" t="s">
        <v>6572</v>
      </c>
      <c r="J2841" t="str">
        <f>HYPERLINK("https://twitter.com/cryptosaner/status/1755949311970709582","https://twitter.com/cryptosaner/status/1755949311970709582")</f>
        <v>https://twitter.com/cryptosaner/status/1755949311970709582</v>
      </c>
      <c r="O2841">
        <v>0</v>
      </c>
      <c r="P2841">
        <v>0</v>
      </c>
      <c r="Q2841">
        <v>73</v>
      </c>
      <c r="S2841">
        <v>0</v>
      </c>
      <c r="T2841">
        <v>0</v>
      </c>
      <c r="U2841">
        <v>0</v>
      </c>
      <c r="W2841" t="s">
        <v>552</v>
      </c>
    </row>
    <row r="2842" spans="1:45" x14ac:dyDescent="0.35">
      <c r="A2842" t="s">
        <v>45</v>
      </c>
      <c r="B2842" t="s">
        <v>6350</v>
      </c>
      <c r="C2842" t="s">
        <v>139</v>
      </c>
      <c r="D2842" t="s">
        <v>6573</v>
      </c>
      <c r="E2842" t="s">
        <v>6574</v>
      </c>
      <c r="F2842" t="s">
        <v>142</v>
      </c>
      <c r="G2842" t="s">
        <v>5601</v>
      </c>
      <c r="H2842" t="s">
        <v>6575</v>
      </c>
      <c r="J2842" t="str">
        <f>HYPERLINK("https://twitter.com/KrishanHarjule/status/1755949001323733256","https://twitter.com/KrishanHarjule/status/1755949001323733256")</f>
        <v>https://twitter.com/KrishanHarjule/status/1755949001323733256</v>
      </c>
      <c r="K2842" t="s">
        <v>145</v>
      </c>
      <c r="O2842">
        <v>0</v>
      </c>
      <c r="P2842">
        <v>0</v>
      </c>
      <c r="Q2842">
        <v>34</v>
      </c>
      <c r="S2842">
        <v>0</v>
      </c>
      <c r="T2842">
        <v>0</v>
      </c>
      <c r="U2842">
        <v>0</v>
      </c>
      <c r="W2842" t="s">
        <v>552</v>
      </c>
    </row>
    <row r="2843" spans="1:45" x14ac:dyDescent="0.35">
      <c r="A2843" t="s">
        <v>45</v>
      </c>
      <c r="B2843" t="s">
        <v>6350</v>
      </c>
      <c r="C2843" t="s">
        <v>47</v>
      </c>
      <c r="D2843" t="s">
        <v>4488</v>
      </c>
      <c r="E2843" t="s">
        <v>4488</v>
      </c>
      <c r="F2843" t="s">
        <v>49</v>
      </c>
      <c r="G2843" t="s">
        <v>6576</v>
      </c>
      <c r="H2843" t="s">
        <v>6577</v>
      </c>
      <c r="J2843" t="str">
        <f>HYPERLINK("https://www.facebook.com/454965103328545/posts/768116778680041?comment_id=760114475775634","https://www.facebook.com/454965103328545/posts/768116778680041?comment_id=760114475775634")</f>
        <v>https://www.facebook.com/454965103328545/posts/768116778680041?comment_id=760114475775634</v>
      </c>
      <c r="O2843">
        <v>0</v>
      </c>
      <c r="P2843">
        <v>0</v>
      </c>
      <c r="Q2843">
        <v>0</v>
      </c>
      <c r="S2843">
        <v>0</v>
      </c>
      <c r="T2843">
        <v>0</v>
      </c>
      <c r="U2843">
        <v>0</v>
      </c>
      <c r="W2843" t="s">
        <v>62</v>
      </c>
      <c r="AS2843" t="s">
        <v>375</v>
      </c>
    </row>
    <row r="2844" spans="1:45" x14ac:dyDescent="0.35">
      <c r="A2844" t="s">
        <v>45</v>
      </c>
      <c r="B2844" t="s">
        <v>6350</v>
      </c>
      <c r="C2844" t="s">
        <v>139</v>
      </c>
      <c r="D2844" t="s">
        <v>6578</v>
      </c>
      <c r="E2844" t="s">
        <v>6579</v>
      </c>
      <c r="F2844" t="s">
        <v>142</v>
      </c>
      <c r="G2844" t="s">
        <v>5601</v>
      </c>
      <c r="H2844" t="s">
        <v>6580</v>
      </c>
      <c r="J2844" t="str">
        <f>HYPERLINK("https://twitter.com/Mehulkumar2020/status/1755947693485207843","https://twitter.com/Mehulkumar2020/status/1755947693485207843")</f>
        <v>https://twitter.com/Mehulkumar2020/status/1755947693485207843</v>
      </c>
      <c r="K2844" t="s">
        <v>145</v>
      </c>
      <c r="O2844">
        <v>0</v>
      </c>
      <c r="P2844">
        <v>0</v>
      </c>
      <c r="Q2844">
        <v>1076</v>
      </c>
      <c r="R2844" t="s">
        <v>6581</v>
      </c>
      <c r="S2844">
        <v>0</v>
      </c>
      <c r="T2844">
        <v>0</v>
      </c>
      <c r="U2844">
        <v>0</v>
      </c>
      <c r="W2844" t="s">
        <v>552</v>
      </c>
    </row>
    <row r="2845" spans="1:45" x14ac:dyDescent="0.35">
      <c r="A2845" t="s">
        <v>45</v>
      </c>
      <c r="B2845" t="s">
        <v>6350</v>
      </c>
      <c r="C2845" t="s">
        <v>139</v>
      </c>
      <c r="D2845" t="s">
        <v>6582</v>
      </c>
      <c r="E2845" t="s">
        <v>6583</v>
      </c>
      <c r="F2845" t="s">
        <v>142</v>
      </c>
      <c r="G2845" t="s">
        <v>5601</v>
      </c>
      <c r="H2845" t="s">
        <v>6584</v>
      </c>
      <c r="J2845" t="str">
        <f>HYPERLINK("https://twitter.com/russiarocks69/status/1755945993223405672","https://twitter.com/russiarocks69/status/1755945993223405672")</f>
        <v>https://twitter.com/russiarocks69/status/1755945993223405672</v>
      </c>
      <c r="O2845">
        <v>0</v>
      </c>
      <c r="P2845">
        <v>0</v>
      </c>
      <c r="Q2845">
        <v>326</v>
      </c>
      <c r="S2845">
        <v>0</v>
      </c>
      <c r="T2845">
        <v>0</v>
      </c>
      <c r="U2845">
        <v>0</v>
      </c>
      <c r="W2845" t="s">
        <v>552</v>
      </c>
    </row>
    <row r="2846" spans="1:45" x14ac:dyDescent="0.35">
      <c r="A2846" t="s">
        <v>45</v>
      </c>
      <c r="B2846" t="s">
        <v>6350</v>
      </c>
      <c r="C2846" t="s">
        <v>139</v>
      </c>
      <c r="D2846" t="s">
        <v>6585</v>
      </c>
      <c r="E2846" t="s">
        <v>6586</v>
      </c>
      <c r="F2846" t="s">
        <v>142</v>
      </c>
      <c r="G2846" t="s">
        <v>5601</v>
      </c>
      <c r="H2846" t="s">
        <v>6587</v>
      </c>
      <c r="J2846" t="str">
        <f>HYPERLINK("https://twitter.com/KishanB78388093/status/1755945835974566059","https://twitter.com/KishanB78388093/status/1755945835974566059")</f>
        <v>https://twitter.com/KishanB78388093/status/1755945835974566059</v>
      </c>
      <c r="O2846">
        <v>0</v>
      </c>
      <c r="P2846">
        <v>0</v>
      </c>
      <c r="Q2846">
        <v>122</v>
      </c>
      <c r="S2846">
        <v>0</v>
      </c>
      <c r="T2846">
        <v>0</v>
      </c>
      <c r="U2846">
        <v>0</v>
      </c>
      <c r="W2846" t="s">
        <v>552</v>
      </c>
    </row>
    <row r="2847" spans="1:45" x14ac:dyDescent="0.35">
      <c r="A2847" t="s">
        <v>45</v>
      </c>
      <c r="B2847" t="s">
        <v>6350</v>
      </c>
      <c r="C2847" t="s">
        <v>139</v>
      </c>
      <c r="D2847" t="s">
        <v>6588</v>
      </c>
      <c r="E2847" t="s">
        <v>6589</v>
      </c>
      <c r="F2847" t="s">
        <v>142</v>
      </c>
      <c r="G2847" t="s">
        <v>5601</v>
      </c>
      <c r="H2847" t="s">
        <v>6590</v>
      </c>
      <c r="J2847" t="str">
        <f>HYPERLINK("https://twitter.com/kushgrwl/status/1755945548048470181","https://twitter.com/kushgrwl/status/1755945548048470181")</f>
        <v>https://twitter.com/kushgrwl/status/1755945548048470181</v>
      </c>
      <c r="K2847" t="s">
        <v>145</v>
      </c>
      <c r="O2847">
        <v>0</v>
      </c>
      <c r="P2847">
        <v>0</v>
      </c>
      <c r="Q2847">
        <v>5619</v>
      </c>
      <c r="R2847" t="s">
        <v>6591</v>
      </c>
      <c r="S2847">
        <v>0</v>
      </c>
      <c r="T2847">
        <v>0</v>
      </c>
      <c r="U2847">
        <v>0</v>
      </c>
      <c r="W2847" t="s">
        <v>552</v>
      </c>
    </row>
    <row r="2848" spans="1:45" x14ac:dyDescent="0.35">
      <c r="A2848" t="s">
        <v>45</v>
      </c>
      <c r="B2848" t="s">
        <v>6350</v>
      </c>
      <c r="C2848" t="s">
        <v>139</v>
      </c>
      <c r="D2848" t="s">
        <v>6592</v>
      </c>
      <c r="E2848" t="s">
        <v>6593</v>
      </c>
      <c r="F2848" t="s">
        <v>49</v>
      </c>
      <c r="G2848" t="s">
        <v>6594</v>
      </c>
      <c r="H2848" t="s">
        <v>6595</v>
      </c>
      <c r="J2848" t="str">
        <f>HYPERLINK("https://twitter.com/wingsoffly67/status/1755945252626784583","https://twitter.com/wingsoffly67/status/1755945252626784583")</f>
        <v>https://twitter.com/wingsoffly67/status/1755945252626784583</v>
      </c>
      <c r="K2848" t="s">
        <v>145</v>
      </c>
      <c r="O2848">
        <v>0</v>
      </c>
      <c r="P2848">
        <v>0</v>
      </c>
      <c r="Q2848">
        <v>1660</v>
      </c>
      <c r="R2848" t="s">
        <v>6596</v>
      </c>
      <c r="S2848">
        <v>0</v>
      </c>
      <c r="T2848">
        <v>0</v>
      </c>
      <c r="U2848">
        <v>0</v>
      </c>
      <c r="W2848" t="s">
        <v>146</v>
      </c>
    </row>
    <row r="2849" spans="1:45" x14ac:dyDescent="0.35">
      <c r="A2849" t="s">
        <v>45</v>
      </c>
      <c r="B2849" t="s">
        <v>6350</v>
      </c>
      <c r="C2849" t="s">
        <v>139</v>
      </c>
      <c r="D2849" t="s">
        <v>6597</v>
      </c>
      <c r="E2849" t="s">
        <v>6598</v>
      </c>
      <c r="F2849" t="s">
        <v>142</v>
      </c>
      <c r="G2849" t="s">
        <v>5601</v>
      </c>
      <c r="H2849" t="s">
        <v>6599</v>
      </c>
      <c r="J2849" t="str">
        <f>HYPERLINK("https://twitter.com/sharmabhu/status/1755945233068490943","https://twitter.com/sharmabhu/status/1755945233068490943")</f>
        <v>https://twitter.com/sharmabhu/status/1755945233068490943</v>
      </c>
      <c r="K2849" t="s">
        <v>145</v>
      </c>
      <c r="O2849">
        <v>0</v>
      </c>
      <c r="P2849">
        <v>0</v>
      </c>
      <c r="Q2849">
        <v>1328</v>
      </c>
      <c r="R2849" t="s">
        <v>6600</v>
      </c>
      <c r="S2849">
        <v>0</v>
      </c>
      <c r="T2849">
        <v>0</v>
      </c>
      <c r="U2849">
        <v>0</v>
      </c>
      <c r="W2849" t="s">
        <v>552</v>
      </c>
    </row>
    <row r="2850" spans="1:45" x14ac:dyDescent="0.35">
      <c r="A2850" t="s">
        <v>45</v>
      </c>
      <c r="B2850" t="s">
        <v>6350</v>
      </c>
      <c r="C2850" t="s">
        <v>139</v>
      </c>
      <c r="D2850" t="s">
        <v>6601</v>
      </c>
      <c r="E2850" t="s">
        <v>6602</v>
      </c>
      <c r="F2850" t="s">
        <v>142</v>
      </c>
      <c r="G2850" t="s">
        <v>5601</v>
      </c>
      <c r="H2850" t="s">
        <v>6599</v>
      </c>
      <c r="J2850" t="str">
        <f>HYPERLINK("https://twitter.com/startupindiabot/status/1755945234889060623","https://twitter.com/startupindiabot/status/1755945234889060623")</f>
        <v>https://twitter.com/startupindiabot/status/1755945234889060623</v>
      </c>
      <c r="O2850">
        <v>0</v>
      </c>
      <c r="P2850">
        <v>0</v>
      </c>
      <c r="Q2850">
        <v>9</v>
      </c>
      <c r="S2850">
        <v>0</v>
      </c>
      <c r="T2850">
        <v>0</v>
      </c>
      <c r="U2850">
        <v>0</v>
      </c>
      <c r="W2850" t="s">
        <v>552</v>
      </c>
    </row>
    <row r="2851" spans="1:45" x14ac:dyDescent="0.35">
      <c r="A2851" t="s">
        <v>45</v>
      </c>
      <c r="B2851" t="s">
        <v>6350</v>
      </c>
      <c r="C2851" t="s">
        <v>139</v>
      </c>
      <c r="D2851" t="s">
        <v>6559</v>
      </c>
      <c r="E2851" t="s">
        <v>6560</v>
      </c>
      <c r="F2851" t="s">
        <v>49</v>
      </c>
      <c r="G2851" t="s">
        <v>6603</v>
      </c>
      <c r="H2851" t="s">
        <v>6604</v>
      </c>
      <c r="J2851" t="str">
        <f>HYPERLINK("https://twitter.com/Paytm_care_64/status/1755945057373577618","https://twitter.com/Paytm_care_64/status/1755945057373577618")</f>
        <v>https://twitter.com/Paytm_care_64/status/1755945057373577618</v>
      </c>
      <c r="O2851">
        <v>0</v>
      </c>
      <c r="P2851">
        <v>0</v>
      </c>
      <c r="Q2851">
        <v>0</v>
      </c>
      <c r="S2851">
        <v>0</v>
      </c>
      <c r="T2851">
        <v>0</v>
      </c>
      <c r="U2851">
        <v>0</v>
      </c>
      <c r="W2851" t="s">
        <v>146</v>
      </c>
    </row>
    <row r="2852" spans="1:45" x14ac:dyDescent="0.35">
      <c r="A2852" t="s">
        <v>45</v>
      </c>
      <c r="B2852" t="s">
        <v>6350</v>
      </c>
      <c r="C2852" t="s">
        <v>139</v>
      </c>
      <c r="D2852" t="s">
        <v>5675</v>
      </c>
      <c r="E2852" t="s">
        <v>5675</v>
      </c>
      <c r="F2852" t="s">
        <v>142</v>
      </c>
      <c r="G2852" t="s">
        <v>5601</v>
      </c>
      <c r="H2852" t="s">
        <v>6605</v>
      </c>
      <c r="J2852" t="str">
        <f>HYPERLINK("https://twitter.com/Ravisutanjani/status/1755945031356264491","https://twitter.com/Ravisutanjani/status/1755945031356264491")</f>
        <v>https://twitter.com/Ravisutanjani/status/1755945031356264491</v>
      </c>
      <c r="O2852">
        <v>0</v>
      </c>
      <c r="P2852">
        <v>0</v>
      </c>
      <c r="Q2852">
        <v>122477</v>
      </c>
      <c r="R2852" t="s">
        <v>5677</v>
      </c>
      <c r="S2852">
        <v>0</v>
      </c>
      <c r="T2852">
        <v>0</v>
      </c>
      <c r="U2852">
        <v>0</v>
      </c>
      <c r="V2852" t="s">
        <v>642</v>
      </c>
      <c r="W2852" t="s">
        <v>146</v>
      </c>
    </row>
    <row r="2853" spans="1:45" x14ac:dyDescent="0.35">
      <c r="A2853" t="s">
        <v>45</v>
      </c>
      <c r="B2853" t="s">
        <v>6350</v>
      </c>
      <c r="C2853" t="s">
        <v>47</v>
      </c>
      <c r="D2853" t="s">
        <v>6606</v>
      </c>
      <c r="E2853" t="s">
        <v>6606</v>
      </c>
      <c r="F2853" t="s">
        <v>76</v>
      </c>
      <c r="G2853" t="s">
        <v>6607</v>
      </c>
      <c r="H2853" t="s">
        <v>6608</v>
      </c>
      <c r="J2853" t="str">
        <f>HYPERLINK("https://www.facebook.com/357267201017935/inbox/7020831427994779/","https://www.facebook.com/357267201017935/inbox/7020831427994779/")</f>
        <v>https://www.facebook.com/357267201017935/inbox/7020831427994779/</v>
      </c>
      <c r="O2853">
        <v>0</v>
      </c>
      <c r="P2853">
        <v>0</v>
      </c>
      <c r="Q2853">
        <v>0</v>
      </c>
      <c r="S2853">
        <v>0</v>
      </c>
      <c r="T2853">
        <v>0</v>
      </c>
      <c r="U2853">
        <v>0</v>
      </c>
      <c r="W2853" t="s">
        <v>52</v>
      </c>
      <c r="AP2853" t="s">
        <v>101</v>
      </c>
      <c r="AS2853" t="s">
        <v>375</v>
      </c>
    </row>
    <row r="2854" spans="1:45" x14ac:dyDescent="0.35">
      <c r="A2854" t="s">
        <v>45</v>
      </c>
      <c r="B2854" t="s">
        <v>6350</v>
      </c>
      <c r="C2854" t="s">
        <v>47</v>
      </c>
      <c r="D2854" t="s">
        <v>6606</v>
      </c>
      <c r="E2854" t="s">
        <v>6606</v>
      </c>
      <c r="F2854" t="s">
        <v>49</v>
      </c>
      <c r="G2854" t="s">
        <v>6609</v>
      </c>
      <c r="H2854" t="s">
        <v>6610</v>
      </c>
      <c r="J2854" t="str">
        <f>HYPERLINK("https://www.facebook.com/357267201017935/inbox/7020831427994779/","https://www.facebook.com/357267201017935/inbox/7020831427994779/")</f>
        <v>https://www.facebook.com/357267201017935/inbox/7020831427994779/</v>
      </c>
      <c r="O2854">
        <v>0</v>
      </c>
      <c r="P2854">
        <v>0</v>
      </c>
      <c r="Q2854">
        <v>0</v>
      </c>
      <c r="S2854">
        <v>0</v>
      </c>
      <c r="T2854">
        <v>0</v>
      </c>
      <c r="U2854">
        <v>0</v>
      </c>
      <c r="W2854" t="s">
        <v>52</v>
      </c>
    </row>
    <row r="2855" spans="1:45" x14ac:dyDescent="0.35">
      <c r="A2855" t="s">
        <v>45</v>
      </c>
      <c r="B2855" t="s">
        <v>6350</v>
      </c>
      <c r="C2855" t="s">
        <v>102</v>
      </c>
      <c r="D2855" t="s">
        <v>6611</v>
      </c>
      <c r="E2855" t="s">
        <v>6611</v>
      </c>
      <c r="F2855" t="s">
        <v>76</v>
      </c>
      <c r="G2855" t="s">
        <v>6612</v>
      </c>
      <c r="H2855" t="s">
        <v>6613</v>
      </c>
      <c r="J2855" t="str">
        <f>HYPERLINK("https://www.linkedin.com/feed/update/urn:li:share:7158447824953655296/?commentUrn=urn:li:comment:(urn:li:activity:7158447826098610177,7161698962008207360)","https://www.linkedin.com/feed/update/urn:li:share:7158447824953655296/?commentUrn=urn:li:comment:(urn:li:activity:7158447826098610177,7161698962008207360)")</f>
        <v>https://www.linkedin.com/feed/update/urn:li:share:7158447824953655296/?commentUrn=urn:li:comment:(urn:li:activity:7158447826098610177,7161698962008207360)</v>
      </c>
      <c r="O2855">
        <v>0</v>
      </c>
      <c r="P2855">
        <v>0</v>
      </c>
      <c r="Q2855">
        <v>0</v>
      </c>
      <c r="S2855">
        <v>0</v>
      </c>
      <c r="T2855">
        <v>0</v>
      </c>
      <c r="U2855">
        <v>0</v>
      </c>
      <c r="W2855" t="s">
        <v>62</v>
      </c>
      <c r="AP2855" t="s">
        <v>101</v>
      </c>
    </row>
    <row r="2856" spans="1:45" x14ac:dyDescent="0.35">
      <c r="A2856" t="s">
        <v>45</v>
      </c>
      <c r="B2856" t="s">
        <v>6350</v>
      </c>
      <c r="C2856" t="s">
        <v>139</v>
      </c>
      <c r="D2856" t="s">
        <v>6614</v>
      </c>
      <c r="E2856" t="s">
        <v>6606</v>
      </c>
      <c r="F2856" t="s">
        <v>76</v>
      </c>
      <c r="G2856" t="s">
        <v>6615</v>
      </c>
      <c r="H2856" t="s">
        <v>6616</v>
      </c>
      <c r="J2856" t="str">
        <f>HYPERLINK("https://twitter.com/soumyas360/status/1755932934559908249","https://twitter.com/soumyas360/status/1755932934559908249")</f>
        <v>https://twitter.com/soumyas360/status/1755932934559908249</v>
      </c>
      <c r="K2856" t="s">
        <v>145</v>
      </c>
      <c r="O2856">
        <v>0</v>
      </c>
      <c r="P2856">
        <v>0</v>
      </c>
      <c r="Q2856">
        <v>0</v>
      </c>
      <c r="S2856">
        <v>0</v>
      </c>
      <c r="T2856">
        <v>0</v>
      </c>
      <c r="U2856">
        <v>0</v>
      </c>
      <c r="W2856" t="s">
        <v>146</v>
      </c>
      <c r="AP2856" t="s">
        <v>101</v>
      </c>
    </row>
    <row r="2857" spans="1:45" x14ac:dyDescent="0.35">
      <c r="A2857" t="s">
        <v>45</v>
      </c>
      <c r="B2857" t="s">
        <v>6350</v>
      </c>
      <c r="C2857" t="s">
        <v>139</v>
      </c>
      <c r="D2857" t="s">
        <v>6617</v>
      </c>
      <c r="E2857" t="s">
        <v>6618</v>
      </c>
      <c r="F2857" t="s">
        <v>49</v>
      </c>
      <c r="G2857" t="s">
        <v>6619</v>
      </c>
      <c r="H2857" t="s">
        <v>6620</v>
      </c>
      <c r="J2857" t="str">
        <f>HYPERLINK("https://twitter.com/TheodoraZa64999/status/1755932531730370889","https://twitter.com/TheodoraZa64999/status/1755932531730370889")</f>
        <v>https://twitter.com/TheodoraZa64999/status/1755932531730370889</v>
      </c>
      <c r="K2857" t="s">
        <v>1769</v>
      </c>
      <c r="O2857">
        <v>0</v>
      </c>
      <c r="P2857">
        <v>0</v>
      </c>
      <c r="Q2857">
        <v>0</v>
      </c>
      <c r="S2857">
        <v>0</v>
      </c>
      <c r="T2857">
        <v>0</v>
      </c>
      <c r="U2857">
        <v>0</v>
      </c>
      <c r="W2857" t="s">
        <v>146</v>
      </c>
    </row>
    <row r="2858" spans="1:45" x14ac:dyDescent="0.35">
      <c r="A2858" t="s">
        <v>45</v>
      </c>
      <c r="B2858" t="s">
        <v>6350</v>
      </c>
      <c r="C2858" t="s">
        <v>47</v>
      </c>
      <c r="D2858" t="s">
        <v>5936</v>
      </c>
      <c r="E2858" t="s">
        <v>5936</v>
      </c>
      <c r="F2858" t="s">
        <v>49</v>
      </c>
      <c r="G2858" t="s">
        <v>6621</v>
      </c>
      <c r="H2858" t="s">
        <v>6622</v>
      </c>
      <c r="J2858" t="str">
        <f>HYPERLINK("https://www.facebook.com/454965103328545/posts/768116778680041?comment_id=412060081223490","https://www.facebook.com/454965103328545/posts/768116778680041?comment_id=412060081223490")</f>
        <v>https://www.facebook.com/454965103328545/posts/768116778680041?comment_id=412060081223490</v>
      </c>
      <c r="O2858">
        <v>0</v>
      </c>
      <c r="P2858">
        <v>0</v>
      </c>
      <c r="Q2858">
        <v>0</v>
      </c>
      <c r="S2858">
        <v>0</v>
      </c>
      <c r="T2858">
        <v>0</v>
      </c>
      <c r="U2858">
        <v>0</v>
      </c>
      <c r="W2858" t="s">
        <v>62</v>
      </c>
      <c r="AP2858" t="s">
        <v>101</v>
      </c>
      <c r="AS2858" t="s">
        <v>375</v>
      </c>
    </row>
    <row r="2859" spans="1:45" x14ac:dyDescent="0.35">
      <c r="A2859" t="s">
        <v>45</v>
      </c>
      <c r="B2859" t="s">
        <v>6350</v>
      </c>
      <c r="C2859" t="s">
        <v>47</v>
      </c>
      <c r="D2859" t="s">
        <v>6623</v>
      </c>
      <c r="E2859" t="s">
        <v>6623</v>
      </c>
      <c r="F2859" t="s">
        <v>49</v>
      </c>
      <c r="G2859" t="s">
        <v>6624</v>
      </c>
      <c r="H2859" t="s">
        <v>6625</v>
      </c>
      <c r="J2859" t="str">
        <f>HYPERLINK("https://www.facebook.com/357267201017935/inbox/7020673214677267/","https://www.facebook.com/357267201017935/inbox/7020673214677267/")</f>
        <v>https://www.facebook.com/357267201017935/inbox/7020673214677267/</v>
      </c>
      <c r="O2859">
        <v>0</v>
      </c>
      <c r="P2859">
        <v>0</v>
      </c>
      <c r="Q2859">
        <v>0</v>
      </c>
      <c r="S2859">
        <v>0</v>
      </c>
      <c r="T2859">
        <v>0</v>
      </c>
      <c r="U2859">
        <v>0</v>
      </c>
      <c r="W2859" t="s">
        <v>52</v>
      </c>
    </row>
    <row r="2860" spans="1:45" x14ac:dyDescent="0.35">
      <c r="A2860" t="s">
        <v>45</v>
      </c>
      <c r="B2860" t="s">
        <v>6350</v>
      </c>
      <c r="C2860" t="s">
        <v>47</v>
      </c>
      <c r="D2860" t="s">
        <v>6626</v>
      </c>
      <c r="E2860" t="s">
        <v>6626</v>
      </c>
      <c r="F2860" t="s">
        <v>49</v>
      </c>
      <c r="G2860" t="s">
        <v>6627</v>
      </c>
      <c r="H2860" t="s">
        <v>6628</v>
      </c>
      <c r="J2860" t="str">
        <f>HYPERLINK("https://www.facebook.com/454965103328545/posts/768116778680041?comment_id=1454506348827017","https://www.facebook.com/454965103328545/posts/768116778680041?comment_id=1454506348827017")</f>
        <v>https://www.facebook.com/454965103328545/posts/768116778680041?comment_id=1454506348827017</v>
      </c>
      <c r="O2860">
        <v>0</v>
      </c>
      <c r="P2860">
        <v>0</v>
      </c>
      <c r="Q2860">
        <v>0</v>
      </c>
      <c r="S2860">
        <v>0</v>
      </c>
      <c r="T2860">
        <v>0</v>
      </c>
      <c r="U2860">
        <v>0</v>
      </c>
      <c r="W2860" t="s">
        <v>62</v>
      </c>
      <c r="AS2860" t="s">
        <v>375</v>
      </c>
    </row>
    <row r="2861" spans="1:45" x14ac:dyDescent="0.35">
      <c r="A2861" t="s">
        <v>45</v>
      </c>
      <c r="B2861" t="s">
        <v>6350</v>
      </c>
      <c r="C2861" t="s">
        <v>63</v>
      </c>
      <c r="D2861" t="s">
        <v>186</v>
      </c>
      <c r="E2861" t="s">
        <v>186</v>
      </c>
      <c r="F2861" t="s">
        <v>49</v>
      </c>
      <c r="G2861" t="s">
        <v>6629</v>
      </c>
      <c r="H2861" t="s">
        <v>6630</v>
      </c>
      <c r="J2861" t="str">
        <f>HYPERLINK("https://www.instagram.com/reel/C3IAldFqwtC/","https://www.instagram.com/reel/C3IAldFqwtC/")</f>
        <v>https://www.instagram.com/reel/C3IAldFqwtC/</v>
      </c>
      <c r="O2861">
        <v>0</v>
      </c>
      <c r="P2861">
        <v>0</v>
      </c>
      <c r="Q2861">
        <v>0</v>
      </c>
      <c r="S2861">
        <v>1</v>
      </c>
      <c r="T2861">
        <v>103</v>
      </c>
      <c r="U2861">
        <v>0</v>
      </c>
      <c r="W2861" t="s">
        <v>106</v>
      </c>
    </row>
    <row r="2862" spans="1:45" x14ac:dyDescent="0.35">
      <c r="A2862" t="s">
        <v>45</v>
      </c>
      <c r="B2862" t="s">
        <v>6350</v>
      </c>
      <c r="C2862" t="s">
        <v>47</v>
      </c>
      <c r="D2862" t="s">
        <v>45</v>
      </c>
      <c r="E2862" t="s">
        <v>45</v>
      </c>
      <c r="F2862" t="s">
        <v>49</v>
      </c>
      <c r="G2862" t="s">
        <v>6629</v>
      </c>
      <c r="H2862" t="s">
        <v>6631</v>
      </c>
      <c r="J2862" t="str">
        <f>HYPERLINK("https://www.facebook.com/357267201017935_768116778680041","https://www.facebook.com/357267201017935_768116778680041")</f>
        <v>https://www.facebook.com/357267201017935_768116778680041</v>
      </c>
      <c r="O2862">
        <v>0</v>
      </c>
      <c r="P2862">
        <v>0</v>
      </c>
      <c r="Q2862">
        <v>0</v>
      </c>
      <c r="S2862">
        <v>15</v>
      </c>
      <c r="T2862">
        <v>130</v>
      </c>
      <c r="U2862">
        <v>17</v>
      </c>
      <c r="W2862" t="s">
        <v>106</v>
      </c>
    </row>
    <row r="2863" spans="1:45" x14ac:dyDescent="0.35">
      <c r="A2863" t="s">
        <v>45</v>
      </c>
      <c r="B2863" t="s">
        <v>6350</v>
      </c>
      <c r="C2863" t="s">
        <v>139</v>
      </c>
      <c r="D2863" t="s">
        <v>190</v>
      </c>
      <c r="E2863" t="s">
        <v>45</v>
      </c>
      <c r="F2863" t="s">
        <v>49</v>
      </c>
      <c r="G2863" t="s">
        <v>4802</v>
      </c>
      <c r="H2863" t="s">
        <v>6632</v>
      </c>
      <c r="J2863" t="str">
        <f>HYPERLINK("https://twitter.com/FinoPaymntsBank/status/1755916958275367154","https://twitter.com/FinoPaymntsBank/status/1755916958275367154")</f>
        <v>https://twitter.com/FinoPaymntsBank/status/1755916958275367154</v>
      </c>
      <c r="K2863" t="s">
        <v>145</v>
      </c>
      <c r="O2863">
        <v>0</v>
      </c>
      <c r="P2863">
        <v>0</v>
      </c>
      <c r="Q2863">
        <v>8371</v>
      </c>
      <c r="R2863" t="s">
        <v>193</v>
      </c>
      <c r="S2863">
        <v>0</v>
      </c>
      <c r="T2863">
        <v>0</v>
      </c>
      <c r="U2863">
        <v>0</v>
      </c>
      <c r="W2863" t="s">
        <v>146</v>
      </c>
    </row>
    <row r="2864" spans="1:45" x14ac:dyDescent="0.35">
      <c r="A2864" t="s">
        <v>45</v>
      </c>
      <c r="B2864" t="s">
        <v>6350</v>
      </c>
      <c r="C2864" t="s">
        <v>47</v>
      </c>
      <c r="D2864" t="s">
        <v>6633</v>
      </c>
      <c r="E2864" t="s">
        <v>6633</v>
      </c>
      <c r="F2864" t="s">
        <v>49</v>
      </c>
      <c r="G2864" t="s">
        <v>6634</v>
      </c>
      <c r="H2864" t="s">
        <v>6635</v>
      </c>
      <c r="J2864" t="str">
        <f>HYPERLINK("https://www.facebook.com/454965103328545/posts/755939476564438?comment_id=653912593580041&amp;reply_comment_id=1785933228572203","https://www.facebook.com/454965103328545/posts/755939476564438?comment_id=653912593580041&amp;reply_comment_id=1785933228572203")</f>
        <v>https://www.facebook.com/454965103328545/posts/755939476564438?comment_id=653912593580041&amp;reply_comment_id=1785933228572203</v>
      </c>
      <c r="O2864">
        <v>0</v>
      </c>
      <c r="P2864">
        <v>0</v>
      </c>
      <c r="Q2864">
        <v>0</v>
      </c>
      <c r="S2864">
        <v>0</v>
      </c>
      <c r="T2864">
        <v>0</v>
      </c>
      <c r="U2864">
        <v>0</v>
      </c>
      <c r="W2864" t="s">
        <v>62</v>
      </c>
    </row>
    <row r="2865" spans="1:45" x14ac:dyDescent="0.35">
      <c r="A2865" t="s">
        <v>45</v>
      </c>
      <c r="B2865" t="s">
        <v>6350</v>
      </c>
      <c r="C2865" t="s">
        <v>47</v>
      </c>
      <c r="D2865" t="s">
        <v>6633</v>
      </c>
      <c r="E2865" t="s">
        <v>6633</v>
      </c>
      <c r="F2865" t="s">
        <v>49</v>
      </c>
      <c r="G2865" s="1" t="s">
        <v>6636</v>
      </c>
      <c r="H2865" t="s">
        <v>6637</v>
      </c>
      <c r="J2865" t="str">
        <f>HYPERLINK("https://www.facebook.com/454965103328545/posts/755939476564438?comment_id=778458837676172","https://www.facebook.com/454965103328545/posts/755939476564438?comment_id=778458837676172")</f>
        <v>https://www.facebook.com/454965103328545/posts/755939476564438?comment_id=778458837676172</v>
      </c>
      <c r="O2865">
        <v>0</v>
      </c>
      <c r="P2865">
        <v>0</v>
      </c>
      <c r="Q2865">
        <v>0</v>
      </c>
      <c r="S2865">
        <v>0</v>
      </c>
      <c r="T2865">
        <v>0</v>
      </c>
      <c r="U2865">
        <v>0</v>
      </c>
      <c r="W2865" t="s">
        <v>62</v>
      </c>
    </row>
    <row r="2866" spans="1:45" x14ac:dyDescent="0.35">
      <c r="A2866" t="s">
        <v>45</v>
      </c>
      <c r="B2866" t="s">
        <v>6350</v>
      </c>
      <c r="C2866" t="s">
        <v>47</v>
      </c>
      <c r="D2866" t="s">
        <v>6638</v>
      </c>
      <c r="E2866" t="s">
        <v>6638</v>
      </c>
      <c r="F2866" t="s">
        <v>49</v>
      </c>
      <c r="G2866" t="s">
        <v>6639</v>
      </c>
      <c r="H2866" t="s">
        <v>6640</v>
      </c>
      <c r="J2866" t="str">
        <f>HYPERLINK("https://www.facebook.com/357267201017935/inbox/7015020385242550/","https://www.facebook.com/357267201017935/inbox/7015020385242550/")</f>
        <v>https://www.facebook.com/357267201017935/inbox/7015020385242550/</v>
      </c>
      <c r="O2866">
        <v>0</v>
      </c>
      <c r="P2866">
        <v>0</v>
      </c>
      <c r="Q2866">
        <v>0</v>
      </c>
      <c r="S2866">
        <v>0</v>
      </c>
      <c r="T2866">
        <v>0</v>
      </c>
      <c r="U2866">
        <v>0</v>
      </c>
      <c r="W2866" t="s">
        <v>52</v>
      </c>
    </row>
    <row r="2867" spans="1:45" x14ac:dyDescent="0.35">
      <c r="A2867" t="s">
        <v>45</v>
      </c>
      <c r="B2867" t="s">
        <v>6350</v>
      </c>
      <c r="C2867" t="s">
        <v>47</v>
      </c>
      <c r="D2867" t="s">
        <v>6641</v>
      </c>
      <c r="E2867" t="s">
        <v>6641</v>
      </c>
      <c r="F2867" t="s">
        <v>76</v>
      </c>
      <c r="G2867" t="s">
        <v>6642</v>
      </c>
      <c r="H2867" t="s">
        <v>6643</v>
      </c>
      <c r="J2867" t="str">
        <f>HYPERLINK("https://www.facebook.com/454965103328545/posts/750007137157672?comment_id=709817261239578&amp;reply_comment_id=3669826803294117","https://www.facebook.com/454965103328545/posts/750007137157672?comment_id=709817261239578&amp;reply_comment_id=3669826803294117")</f>
        <v>https://www.facebook.com/454965103328545/posts/750007137157672?comment_id=709817261239578&amp;reply_comment_id=3669826803294117</v>
      </c>
      <c r="O2867">
        <v>0</v>
      </c>
      <c r="P2867">
        <v>0</v>
      </c>
      <c r="Q2867">
        <v>0</v>
      </c>
      <c r="S2867">
        <v>0</v>
      </c>
      <c r="T2867">
        <v>0</v>
      </c>
      <c r="U2867">
        <v>0</v>
      </c>
      <c r="W2867" t="s">
        <v>62</v>
      </c>
    </row>
    <row r="2868" spans="1:45" x14ac:dyDescent="0.35">
      <c r="A2868" t="s">
        <v>45</v>
      </c>
      <c r="B2868" t="s">
        <v>6350</v>
      </c>
      <c r="C2868" t="s">
        <v>47</v>
      </c>
      <c r="D2868" t="s">
        <v>6644</v>
      </c>
      <c r="E2868" t="s">
        <v>6644</v>
      </c>
      <c r="F2868" t="s">
        <v>49</v>
      </c>
      <c r="G2868" t="s">
        <v>6645</v>
      </c>
      <c r="H2868" t="s">
        <v>6646</v>
      </c>
      <c r="J2868" t="str">
        <f>HYPERLINK("https://www.facebook.com/454965103328545/videos/3697954183759550?comment_id=369887482340545&amp;reply_comment_id=1195994365120907","https://www.facebook.com/454965103328545/videos/3697954183759550?comment_id=369887482340545&amp;reply_comment_id=1195994365120907")</f>
        <v>https://www.facebook.com/454965103328545/videos/3697954183759550?comment_id=369887482340545&amp;reply_comment_id=1195994365120907</v>
      </c>
      <c r="O2868">
        <v>0</v>
      </c>
      <c r="P2868">
        <v>0</v>
      </c>
      <c r="Q2868">
        <v>0</v>
      </c>
      <c r="S2868">
        <v>0</v>
      </c>
      <c r="T2868">
        <v>0</v>
      </c>
      <c r="U2868">
        <v>0</v>
      </c>
      <c r="W2868" t="s">
        <v>62</v>
      </c>
    </row>
    <row r="2869" spans="1:45" x14ac:dyDescent="0.35">
      <c r="A2869" t="s">
        <v>45</v>
      </c>
      <c r="B2869" t="s">
        <v>6350</v>
      </c>
      <c r="C2869" t="s">
        <v>47</v>
      </c>
      <c r="D2869" t="s">
        <v>6647</v>
      </c>
      <c r="E2869" t="s">
        <v>6647</v>
      </c>
      <c r="F2869" t="s">
        <v>49</v>
      </c>
      <c r="G2869" t="s">
        <v>6648</v>
      </c>
      <c r="H2869" t="s">
        <v>6649</v>
      </c>
      <c r="J2869" t="str">
        <f>HYPERLINK("https://www.facebook.com/454965103328545/videos/3697954183759550?comment_id=6577786358992433","https://www.facebook.com/454965103328545/videos/3697954183759550?comment_id=6577786358992433")</f>
        <v>https://www.facebook.com/454965103328545/videos/3697954183759550?comment_id=6577786358992433</v>
      </c>
      <c r="O2869">
        <v>0</v>
      </c>
      <c r="P2869">
        <v>0</v>
      </c>
      <c r="Q2869">
        <v>0</v>
      </c>
      <c r="S2869">
        <v>0</v>
      </c>
      <c r="T2869">
        <v>0</v>
      </c>
      <c r="U2869">
        <v>0</v>
      </c>
      <c r="W2869" t="s">
        <v>62</v>
      </c>
      <c r="AS2869" t="s">
        <v>375</v>
      </c>
    </row>
    <row r="2870" spans="1:45" x14ac:dyDescent="0.35">
      <c r="A2870" t="s">
        <v>45</v>
      </c>
      <c r="B2870" t="s">
        <v>6350</v>
      </c>
      <c r="C2870" t="s">
        <v>47</v>
      </c>
      <c r="D2870" t="s">
        <v>45</v>
      </c>
      <c r="E2870" t="s">
        <v>45</v>
      </c>
      <c r="F2870" t="s">
        <v>49</v>
      </c>
      <c r="G2870" t="s">
        <v>5973</v>
      </c>
      <c r="H2870" t="s">
        <v>6650</v>
      </c>
      <c r="J2870" t="str">
        <f>HYPERLINK("https://www.facebook.com/357267201017935_768715968620122","https://www.facebook.com/357267201017935_768715968620122")</f>
        <v>https://www.facebook.com/357267201017935_768715968620122</v>
      </c>
      <c r="O2870">
        <v>0</v>
      </c>
      <c r="P2870">
        <v>0</v>
      </c>
      <c r="Q2870">
        <v>0</v>
      </c>
      <c r="S2870">
        <v>1</v>
      </c>
      <c r="T2870">
        <v>45</v>
      </c>
      <c r="U2870">
        <v>7</v>
      </c>
      <c r="W2870" t="s">
        <v>106</v>
      </c>
    </row>
    <row r="2871" spans="1:45" x14ac:dyDescent="0.35">
      <c r="A2871" t="s">
        <v>45</v>
      </c>
      <c r="B2871" t="s">
        <v>6350</v>
      </c>
      <c r="C2871" t="s">
        <v>47</v>
      </c>
      <c r="D2871" t="s">
        <v>45</v>
      </c>
      <c r="E2871" t="s">
        <v>45</v>
      </c>
      <c r="F2871" t="s">
        <v>49</v>
      </c>
      <c r="G2871" t="s">
        <v>5709</v>
      </c>
      <c r="H2871" t="s">
        <v>6651</v>
      </c>
      <c r="J2871" t="str">
        <f>HYPERLINK("https://www.facebook.com/357267201017935_768711221953930","https://www.facebook.com/357267201017935_768711221953930")</f>
        <v>https://www.facebook.com/357267201017935_768711221953930</v>
      </c>
      <c r="O2871">
        <v>0</v>
      </c>
      <c r="P2871">
        <v>0</v>
      </c>
      <c r="Q2871">
        <v>0</v>
      </c>
      <c r="S2871">
        <v>0</v>
      </c>
      <c r="T2871">
        <v>29</v>
      </c>
      <c r="U2871">
        <v>5</v>
      </c>
      <c r="W2871" t="s">
        <v>106</v>
      </c>
    </row>
    <row r="2872" spans="1:45" x14ac:dyDescent="0.35">
      <c r="A2872" t="s">
        <v>45</v>
      </c>
      <c r="B2872" t="s">
        <v>6350</v>
      </c>
      <c r="C2872" t="s">
        <v>47</v>
      </c>
      <c r="D2872" t="s">
        <v>6652</v>
      </c>
      <c r="E2872" t="s">
        <v>6652</v>
      </c>
      <c r="F2872" t="s">
        <v>49</v>
      </c>
      <c r="G2872" t="s">
        <v>50</v>
      </c>
      <c r="H2872" t="s">
        <v>6653</v>
      </c>
      <c r="J2872" t="str">
        <f>HYPERLINK("https://www.facebook.com/357267201017935/inbox/7020211861390069/","https://www.facebook.com/357267201017935/inbox/7020211861390069/")</f>
        <v>https://www.facebook.com/357267201017935/inbox/7020211861390069/</v>
      </c>
      <c r="O2872">
        <v>0</v>
      </c>
      <c r="P2872">
        <v>0</v>
      </c>
      <c r="Q2872">
        <v>0</v>
      </c>
      <c r="S2872">
        <v>0</v>
      </c>
      <c r="T2872">
        <v>0</v>
      </c>
      <c r="U2872">
        <v>0</v>
      </c>
      <c r="W2872" t="s">
        <v>52</v>
      </c>
    </row>
    <row r="2873" spans="1:45" x14ac:dyDescent="0.35">
      <c r="A2873" t="s">
        <v>45</v>
      </c>
      <c r="B2873" t="s">
        <v>6350</v>
      </c>
      <c r="C2873" t="s">
        <v>47</v>
      </c>
      <c r="D2873" t="s">
        <v>4488</v>
      </c>
      <c r="E2873" t="s">
        <v>4488</v>
      </c>
      <c r="F2873" t="s">
        <v>49</v>
      </c>
      <c r="G2873" t="s">
        <v>6654</v>
      </c>
      <c r="H2873" t="s">
        <v>6655</v>
      </c>
      <c r="J2873" t="str">
        <f>HYPERLINK("https://www.facebook.com/454965103328545/posts/763715162453536?comment_id=369645655697410&amp;reply_comment_id=1080430473103415","https://www.facebook.com/454965103328545/posts/763715162453536?comment_id=369645655697410&amp;reply_comment_id=1080430473103415")</f>
        <v>https://www.facebook.com/454965103328545/posts/763715162453536?comment_id=369645655697410&amp;reply_comment_id=1080430473103415</v>
      </c>
      <c r="O2873">
        <v>0</v>
      </c>
      <c r="P2873">
        <v>0</v>
      </c>
      <c r="Q2873">
        <v>0</v>
      </c>
      <c r="S2873">
        <v>0</v>
      </c>
      <c r="T2873">
        <v>0</v>
      </c>
      <c r="U2873">
        <v>0</v>
      </c>
      <c r="W2873" t="s">
        <v>62</v>
      </c>
    </row>
    <row r="2874" spans="1:45" x14ac:dyDescent="0.35">
      <c r="A2874" t="s">
        <v>45</v>
      </c>
      <c r="B2874" t="s">
        <v>6350</v>
      </c>
      <c r="C2874" t="s">
        <v>47</v>
      </c>
      <c r="D2874" t="s">
        <v>4488</v>
      </c>
      <c r="E2874" t="s">
        <v>4488</v>
      </c>
      <c r="F2874" t="s">
        <v>49</v>
      </c>
      <c r="G2874" t="s">
        <v>45</v>
      </c>
      <c r="H2874" t="s">
        <v>6656</v>
      </c>
      <c r="J2874" t="str">
        <f>HYPERLINK("https://www.facebook.com/454965103328545/posts/763715162453536?comment_id=369645655697410&amp;reply_comment_id=748134843950041","https://www.facebook.com/454965103328545/posts/763715162453536?comment_id=369645655697410&amp;reply_comment_id=748134843950041")</f>
        <v>https://www.facebook.com/454965103328545/posts/763715162453536?comment_id=369645655697410&amp;reply_comment_id=748134843950041</v>
      </c>
      <c r="O2874">
        <v>0</v>
      </c>
      <c r="P2874">
        <v>0</v>
      </c>
      <c r="Q2874">
        <v>0</v>
      </c>
      <c r="S2874">
        <v>0</v>
      </c>
      <c r="T2874">
        <v>0</v>
      </c>
      <c r="U2874">
        <v>0</v>
      </c>
      <c r="W2874" t="s">
        <v>62</v>
      </c>
    </row>
    <row r="2875" spans="1:45" x14ac:dyDescent="0.35">
      <c r="A2875" t="s">
        <v>45</v>
      </c>
      <c r="B2875" t="s">
        <v>6350</v>
      </c>
      <c r="C2875" t="s">
        <v>47</v>
      </c>
      <c r="D2875" t="s">
        <v>4488</v>
      </c>
      <c r="E2875" t="s">
        <v>4488</v>
      </c>
      <c r="F2875" t="s">
        <v>49</v>
      </c>
      <c r="G2875">
        <v>9927836462</v>
      </c>
      <c r="H2875" t="s">
        <v>6657</v>
      </c>
      <c r="J2875" t="str">
        <f>HYPERLINK("https://www.facebook.com/454965103328545/posts/767562042068848?comment_id=1097870211539367&amp;reply_comment_id=433008469084194","https://www.facebook.com/454965103328545/posts/767562042068848?comment_id=1097870211539367&amp;reply_comment_id=433008469084194")</f>
        <v>https://www.facebook.com/454965103328545/posts/767562042068848?comment_id=1097870211539367&amp;reply_comment_id=433008469084194</v>
      </c>
      <c r="O2875">
        <v>0</v>
      </c>
      <c r="P2875">
        <v>0</v>
      </c>
      <c r="Q2875">
        <v>0</v>
      </c>
      <c r="S2875">
        <v>0</v>
      </c>
      <c r="T2875">
        <v>0</v>
      </c>
      <c r="U2875">
        <v>0</v>
      </c>
      <c r="W2875" t="s">
        <v>62</v>
      </c>
    </row>
    <row r="2876" spans="1:45" x14ac:dyDescent="0.35">
      <c r="A2876" t="s">
        <v>45</v>
      </c>
      <c r="B2876" t="s">
        <v>6350</v>
      </c>
      <c r="C2876" t="s">
        <v>139</v>
      </c>
      <c r="D2876" t="s">
        <v>6658</v>
      </c>
      <c r="E2876" t="s">
        <v>6659</v>
      </c>
      <c r="F2876" t="s">
        <v>49</v>
      </c>
      <c r="G2876" t="s">
        <v>6660</v>
      </c>
      <c r="H2876" t="s">
        <v>6661</v>
      </c>
      <c r="J2876" t="str">
        <f>HYPERLINK("https://twitter.com/SiddharthDesai/status/1755871948377297076","https://twitter.com/SiddharthDesai/status/1755871948377297076")</f>
        <v>https://twitter.com/SiddharthDesai/status/1755871948377297076</v>
      </c>
      <c r="K2876" t="s">
        <v>145</v>
      </c>
      <c r="O2876">
        <v>0</v>
      </c>
      <c r="P2876">
        <v>0</v>
      </c>
      <c r="Q2876">
        <v>1428</v>
      </c>
      <c r="R2876" t="s">
        <v>2924</v>
      </c>
      <c r="S2876">
        <v>0</v>
      </c>
      <c r="T2876">
        <v>0</v>
      </c>
      <c r="U2876">
        <v>0</v>
      </c>
      <c r="W2876" t="s">
        <v>52</v>
      </c>
    </row>
    <row r="2877" spans="1:45" x14ac:dyDescent="0.35">
      <c r="A2877" t="s">
        <v>45</v>
      </c>
      <c r="B2877" t="s">
        <v>6350</v>
      </c>
      <c r="C2877" t="s">
        <v>47</v>
      </c>
      <c r="D2877" t="s">
        <v>6662</v>
      </c>
      <c r="E2877" t="s">
        <v>6662</v>
      </c>
      <c r="F2877" t="s">
        <v>49</v>
      </c>
      <c r="G2877" t="s">
        <v>6663</v>
      </c>
      <c r="H2877" t="s">
        <v>6664</v>
      </c>
      <c r="J2877" t="str">
        <f>HYPERLINK("https://www.facebook.com/357267201017935/inbox/7007407672670488/","https://www.facebook.com/357267201017935/inbox/7007407672670488/")</f>
        <v>https://www.facebook.com/357267201017935/inbox/7007407672670488/</v>
      </c>
      <c r="O2877">
        <v>0</v>
      </c>
      <c r="P2877">
        <v>0</v>
      </c>
      <c r="Q2877">
        <v>0</v>
      </c>
      <c r="S2877">
        <v>0</v>
      </c>
      <c r="T2877">
        <v>0</v>
      </c>
      <c r="U2877">
        <v>0</v>
      </c>
      <c r="W2877" t="s">
        <v>52</v>
      </c>
    </row>
    <row r="2878" spans="1:45" x14ac:dyDescent="0.35">
      <c r="A2878" t="s">
        <v>45</v>
      </c>
      <c r="B2878" t="s">
        <v>6350</v>
      </c>
      <c r="C2878" t="s">
        <v>47</v>
      </c>
      <c r="D2878" t="s">
        <v>6662</v>
      </c>
      <c r="E2878" t="s">
        <v>6662</v>
      </c>
      <c r="F2878" t="s">
        <v>49</v>
      </c>
      <c r="G2878" t="s">
        <v>6665</v>
      </c>
      <c r="H2878" t="s">
        <v>6666</v>
      </c>
      <c r="J2878" t="str">
        <f>HYPERLINK("https://www.facebook.com/357267201017935/inbox/7007407672670488/","https://www.facebook.com/357267201017935/inbox/7007407672670488/")</f>
        <v>https://www.facebook.com/357267201017935/inbox/7007407672670488/</v>
      </c>
      <c r="O2878">
        <v>0</v>
      </c>
      <c r="P2878">
        <v>0</v>
      </c>
      <c r="Q2878">
        <v>0</v>
      </c>
      <c r="S2878">
        <v>0</v>
      </c>
      <c r="T2878">
        <v>0</v>
      </c>
      <c r="U2878">
        <v>0</v>
      </c>
      <c r="W2878" t="s">
        <v>52</v>
      </c>
      <c r="AP2878" t="s">
        <v>94</v>
      </c>
    </row>
    <row r="2879" spans="1:45" x14ac:dyDescent="0.35">
      <c r="A2879" t="s">
        <v>45</v>
      </c>
      <c r="B2879" t="s">
        <v>6350</v>
      </c>
      <c r="C2879" t="s">
        <v>47</v>
      </c>
      <c r="D2879" t="s">
        <v>6290</v>
      </c>
      <c r="E2879" t="s">
        <v>6290</v>
      </c>
      <c r="F2879" t="s">
        <v>49</v>
      </c>
      <c r="G2879" t="s">
        <v>6667</v>
      </c>
      <c r="H2879" t="s">
        <v>6668</v>
      </c>
      <c r="J2879" t="str">
        <f>HYPERLINK("https://www.facebook.com/357267201017935/inbox/7008768595867729/","https://www.facebook.com/357267201017935/inbox/7008768595867729/")</f>
        <v>https://www.facebook.com/357267201017935/inbox/7008768595867729/</v>
      </c>
      <c r="O2879">
        <v>0</v>
      </c>
      <c r="P2879">
        <v>0</v>
      </c>
      <c r="Q2879">
        <v>0</v>
      </c>
      <c r="S2879">
        <v>0</v>
      </c>
      <c r="T2879">
        <v>0</v>
      </c>
      <c r="U2879">
        <v>0</v>
      </c>
      <c r="W2879" t="s">
        <v>52</v>
      </c>
      <c r="AS2879" t="s">
        <v>375</v>
      </c>
    </row>
    <row r="2880" spans="1:45" x14ac:dyDescent="0.35">
      <c r="A2880" t="s">
        <v>45</v>
      </c>
      <c r="B2880" t="s">
        <v>6350</v>
      </c>
      <c r="C2880" t="s">
        <v>47</v>
      </c>
      <c r="D2880" t="s">
        <v>45</v>
      </c>
      <c r="E2880" t="s">
        <v>45</v>
      </c>
      <c r="F2880" t="s">
        <v>49</v>
      </c>
      <c r="G2880" t="s">
        <v>6669</v>
      </c>
      <c r="H2880" t="s">
        <v>6670</v>
      </c>
      <c r="J2880" t="str">
        <f>HYPERLINK("https://www.facebook.com/357267201017935/inbox/7007285719349350/","https://www.facebook.com/357267201017935/inbox/7007285719349350/")</f>
        <v>https://www.facebook.com/357267201017935/inbox/7007285719349350/</v>
      </c>
      <c r="O2880">
        <v>0</v>
      </c>
      <c r="P2880">
        <v>0</v>
      </c>
      <c r="Q2880">
        <v>0</v>
      </c>
      <c r="S2880">
        <v>0</v>
      </c>
      <c r="T2880">
        <v>0</v>
      </c>
      <c r="U2880">
        <v>0</v>
      </c>
      <c r="W2880" t="s">
        <v>52</v>
      </c>
    </row>
    <row r="2881" spans="1:41" x14ac:dyDescent="0.35">
      <c r="A2881" t="s">
        <v>45</v>
      </c>
      <c r="B2881" t="s">
        <v>6350</v>
      </c>
      <c r="C2881" t="s">
        <v>47</v>
      </c>
      <c r="D2881" t="s">
        <v>45</v>
      </c>
      <c r="E2881" t="s">
        <v>45</v>
      </c>
      <c r="F2881" t="s">
        <v>49</v>
      </c>
      <c r="G2881" t="s">
        <v>6671</v>
      </c>
      <c r="H2881" t="s">
        <v>6672</v>
      </c>
      <c r="J2881" t="str">
        <f>HYPERLINK("https://www.facebook.com/357267201017935/inbox/7007407672670488/","https://www.facebook.com/357267201017935/inbox/7007407672670488/")</f>
        <v>https://www.facebook.com/357267201017935/inbox/7007407672670488/</v>
      </c>
      <c r="O2881">
        <v>0</v>
      </c>
      <c r="P2881">
        <v>0</v>
      </c>
      <c r="Q2881">
        <v>0</v>
      </c>
      <c r="S2881">
        <v>0</v>
      </c>
      <c r="T2881">
        <v>0</v>
      </c>
      <c r="U2881">
        <v>0</v>
      </c>
      <c r="W2881" t="s">
        <v>52</v>
      </c>
    </row>
    <row r="2882" spans="1:41" x14ac:dyDescent="0.35">
      <c r="A2882" t="s">
        <v>45</v>
      </c>
      <c r="B2882" t="s">
        <v>6350</v>
      </c>
      <c r="C2882" t="s">
        <v>47</v>
      </c>
      <c r="D2882" t="s">
        <v>45</v>
      </c>
      <c r="E2882" t="s">
        <v>45</v>
      </c>
      <c r="F2882" t="s">
        <v>49</v>
      </c>
      <c r="G2882" t="s">
        <v>6673</v>
      </c>
      <c r="H2882" t="s">
        <v>6674</v>
      </c>
      <c r="J2882" t="str">
        <f>HYPERLINK("https://www.facebook.com/357267201017935/inbox/7007639975980591/","https://www.facebook.com/357267201017935/inbox/7007639975980591/")</f>
        <v>https://www.facebook.com/357267201017935/inbox/7007639975980591/</v>
      </c>
      <c r="O2882">
        <v>0</v>
      </c>
      <c r="P2882">
        <v>0</v>
      </c>
      <c r="Q2882">
        <v>0</v>
      </c>
      <c r="S2882">
        <v>0</v>
      </c>
      <c r="T2882">
        <v>0</v>
      </c>
      <c r="U2882">
        <v>0</v>
      </c>
      <c r="W2882" t="s">
        <v>52</v>
      </c>
    </row>
    <row r="2883" spans="1:41" x14ac:dyDescent="0.35">
      <c r="A2883" t="s">
        <v>45</v>
      </c>
      <c r="B2883" t="s">
        <v>6350</v>
      </c>
      <c r="C2883" t="s">
        <v>47</v>
      </c>
      <c r="D2883" t="s">
        <v>45</v>
      </c>
      <c r="E2883" t="s">
        <v>45</v>
      </c>
      <c r="F2883" t="s">
        <v>49</v>
      </c>
      <c r="G2883" t="s">
        <v>6675</v>
      </c>
      <c r="H2883" t="s">
        <v>6676</v>
      </c>
      <c r="J2883" t="str">
        <f>HYPERLINK("https://www.facebook.com/454965103328545/posts/766279632197089?comment_id=1100472927653821&amp;reply_comment_id=921651912950080","https://www.facebook.com/454965103328545/posts/766279632197089?comment_id=1100472927653821&amp;reply_comment_id=921651912950080")</f>
        <v>https://www.facebook.com/454965103328545/posts/766279632197089?comment_id=1100472927653821&amp;reply_comment_id=921651912950080</v>
      </c>
      <c r="O2883">
        <v>0</v>
      </c>
      <c r="P2883">
        <v>0</v>
      </c>
      <c r="Q2883">
        <v>0</v>
      </c>
      <c r="S2883">
        <v>0</v>
      </c>
      <c r="T2883">
        <v>0</v>
      </c>
      <c r="U2883">
        <v>0</v>
      </c>
      <c r="W2883" t="s">
        <v>62</v>
      </c>
    </row>
    <row r="2884" spans="1:41" x14ac:dyDescent="0.35">
      <c r="A2884" t="s">
        <v>45</v>
      </c>
      <c r="B2884" t="s">
        <v>6350</v>
      </c>
      <c r="C2884" t="s">
        <v>47</v>
      </c>
      <c r="D2884" t="s">
        <v>6677</v>
      </c>
      <c r="E2884" t="s">
        <v>6677</v>
      </c>
      <c r="F2884" t="s">
        <v>49</v>
      </c>
      <c r="G2884" t="s">
        <v>6678</v>
      </c>
      <c r="H2884" t="s">
        <v>6679</v>
      </c>
      <c r="J2884" t="str">
        <f>HYPERLINK("https://www.facebook.com/454965103328545/videos/3697954183759550?comment_id=917370336551069","https://www.facebook.com/454965103328545/videos/3697954183759550?comment_id=917370336551069")</f>
        <v>https://www.facebook.com/454965103328545/videos/3697954183759550?comment_id=917370336551069</v>
      </c>
      <c r="O2884">
        <v>0</v>
      </c>
      <c r="P2884">
        <v>0</v>
      </c>
      <c r="Q2884">
        <v>0</v>
      </c>
      <c r="S2884">
        <v>0</v>
      </c>
      <c r="T2884">
        <v>0</v>
      </c>
      <c r="U2884">
        <v>0</v>
      </c>
      <c r="W2884" t="s">
        <v>62</v>
      </c>
    </row>
    <row r="2885" spans="1:41" x14ac:dyDescent="0.35">
      <c r="A2885" t="s">
        <v>45</v>
      </c>
      <c r="B2885" t="s">
        <v>6350</v>
      </c>
      <c r="C2885" t="s">
        <v>47</v>
      </c>
      <c r="D2885" t="s">
        <v>45</v>
      </c>
      <c r="E2885" t="s">
        <v>45</v>
      </c>
      <c r="F2885" t="s">
        <v>49</v>
      </c>
      <c r="G2885" t="s">
        <v>6680</v>
      </c>
      <c r="H2885" t="s">
        <v>6681</v>
      </c>
      <c r="J2885" t="str">
        <f>HYPERLINK("https://www.facebook.com/357267201017935/inbox/7008768595867729/","https://www.facebook.com/357267201017935/inbox/7008768595867729/")</f>
        <v>https://www.facebook.com/357267201017935/inbox/7008768595867729/</v>
      </c>
      <c r="O2885">
        <v>0</v>
      </c>
      <c r="P2885">
        <v>0</v>
      </c>
      <c r="Q2885">
        <v>0</v>
      </c>
      <c r="S2885">
        <v>0</v>
      </c>
      <c r="T2885">
        <v>0</v>
      </c>
      <c r="U2885">
        <v>0</v>
      </c>
      <c r="W2885" t="s">
        <v>52</v>
      </c>
    </row>
    <row r="2886" spans="1:41" x14ac:dyDescent="0.35">
      <c r="A2886" t="s">
        <v>45</v>
      </c>
      <c r="B2886" t="s">
        <v>6350</v>
      </c>
      <c r="C2886" t="s">
        <v>47</v>
      </c>
      <c r="D2886" t="s">
        <v>45</v>
      </c>
      <c r="E2886" t="s">
        <v>45</v>
      </c>
      <c r="F2886" t="s">
        <v>49</v>
      </c>
      <c r="G2886" t="s">
        <v>6682</v>
      </c>
      <c r="H2886" t="s">
        <v>6683</v>
      </c>
      <c r="J2886" t="str">
        <f>HYPERLINK("https://www.facebook.com/357267201017935/inbox/7008941989183723/","https://www.facebook.com/357267201017935/inbox/7008941989183723/")</f>
        <v>https://www.facebook.com/357267201017935/inbox/7008941989183723/</v>
      </c>
      <c r="O2886">
        <v>0</v>
      </c>
      <c r="P2886">
        <v>0</v>
      </c>
      <c r="Q2886">
        <v>0</v>
      </c>
      <c r="S2886">
        <v>0</v>
      </c>
      <c r="T2886">
        <v>0</v>
      </c>
      <c r="U2886">
        <v>0</v>
      </c>
      <c r="W2886" t="s">
        <v>52</v>
      </c>
    </row>
    <row r="2887" spans="1:41" x14ac:dyDescent="0.35">
      <c r="A2887" t="s">
        <v>45</v>
      </c>
      <c r="B2887" t="s">
        <v>6350</v>
      </c>
      <c r="C2887" t="s">
        <v>47</v>
      </c>
      <c r="D2887" t="s">
        <v>45</v>
      </c>
      <c r="E2887" t="s">
        <v>45</v>
      </c>
      <c r="F2887" t="s">
        <v>49</v>
      </c>
      <c r="G2887" t="s">
        <v>5969</v>
      </c>
      <c r="H2887" t="s">
        <v>6684</v>
      </c>
      <c r="J2887" t="str">
        <f>HYPERLINK("https://www.facebook.com/454965103328545/posts/766279632197089?comment_id=999990781703960&amp;reply_comment_id=985408992943692","https://www.facebook.com/454965103328545/posts/766279632197089?comment_id=999990781703960&amp;reply_comment_id=985408992943692")</f>
        <v>https://www.facebook.com/454965103328545/posts/766279632197089?comment_id=999990781703960&amp;reply_comment_id=985408992943692</v>
      </c>
      <c r="O2887">
        <v>0</v>
      </c>
      <c r="P2887">
        <v>0</v>
      </c>
      <c r="Q2887">
        <v>0</v>
      </c>
      <c r="S2887">
        <v>0</v>
      </c>
      <c r="T2887">
        <v>0</v>
      </c>
      <c r="U2887">
        <v>0</v>
      </c>
      <c r="W2887" t="s">
        <v>62</v>
      </c>
    </row>
    <row r="2888" spans="1:41" x14ac:dyDescent="0.35">
      <c r="A2888" t="s">
        <v>45</v>
      </c>
      <c r="B2888" t="s">
        <v>6350</v>
      </c>
      <c r="C2888" t="s">
        <v>47</v>
      </c>
      <c r="D2888" t="s">
        <v>45</v>
      </c>
      <c r="E2888" t="s">
        <v>45</v>
      </c>
      <c r="F2888" t="s">
        <v>49</v>
      </c>
      <c r="G2888" t="s">
        <v>5969</v>
      </c>
      <c r="H2888" t="s">
        <v>6685</v>
      </c>
      <c r="J2888" t="str">
        <f>HYPERLINK("https://www.facebook.com/454965103328545/posts/766279632197089?comment_id=1117050055970561&amp;reply_comment_id=2064271903931233","https://www.facebook.com/454965103328545/posts/766279632197089?comment_id=1117050055970561&amp;reply_comment_id=2064271903931233")</f>
        <v>https://www.facebook.com/454965103328545/posts/766279632197089?comment_id=1117050055970561&amp;reply_comment_id=2064271903931233</v>
      </c>
      <c r="O2888">
        <v>0</v>
      </c>
      <c r="P2888">
        <v>0</v>
      </c>
      <c r="Q2888">
        <v>0</v>
      </c>
      <c r="S2888">
        <v>0</v>
      </c>
      <c r="T2888">
        <v>0</v>
      </c>
      <c r="U2888">
        <v>0</v>
      </c>
      <c r="W2888" t="s">
        <v>62</v>
      </c>
    </row>
    <row r="2889" spans="1:41" x14ac:dyDescent="0.35">
      <c r="A2889" t="s">
        <v>45</v>
      </c>
      <c r="B2889" t="s">
        <v>6350</v>
      </c>
      <c r="C2889" t="s">
        <v>47</v>
      </c>
      <c r="D2889" t="s">
        <v>45</v>
      </c>
      <c r="E2889" t="s">
        <v>45</v>
      </c>
      <c r="F2889" t="s">
        <v>49</v>
      </c>
      <c r="G2889" t="s">
        <v>6686</v>
      </c>
      <c r="H2889" t="s">
        <v>6687</v>
      </c>
      <c r="J2889" t="str">
        <f>HYPERLINK("https://www.facebook.com/357267201017935/inbox/7010864198991502/","https://www.facebook.com/357267201017935/inbox/7010864198991502/")</f>
        <v>https://www.facebook.com/357267201017935/inbox/7010864198991502/</v>
      </c>
      <c r="O2889">
        <v>0</v>
      </c>
      <c r="P2889">
        <v>0</v>
      </c>
      <c r="Q2889">
        <v>0</v>
      </c>
      <c r="S2889">
        <v>0</v>
      </c>
      <c r="T2889">
        <v>0</v>
      </c>
      <c r="U2889">
        <v>0</v>
      </c>
      <c r="W2889" t="s">
        <v>52</v>
      </c>
    </row>
    <row r="2890" spans="1:41" x14ac:dyDescent="0.35">
      <c r="A2890" t="s">
        <v>45</v>
      </c>
      <c r="B2890" t="s">
        <v>6350</v>
      </c>
      <c r="C2890" t="s">
        <v>47</v>
      </c>
      <c r="D2890" t="s">
        <v>45</v>
      </c>
      <c r="E2890" t="s">
        <v>45</v>
      </c>
      <c r="F2890" t="s">
        <v>49</v>
      </c>
      <c r="G2890" t="s">
        <v>6688</v>
      </c>
      <c r="H2890" t="s">
        <v>6689</v>
      </c>
      <c r="J2890" t="str">
        <f>HYPERLINK("https://www.facebook.com/357267201017935/inbox/7010892538988668/","https://www.facebook.com/357267201017935/inbox/7010892538988668/")</f>
        <v>https://www.facebook.com/357267201017935/inbox/7010892538988668/</v>
      </c>
      <c r="O2890">
        <v>0</v>
      </c>
      <c r="P2890">
        <v>0</v>
      </c>
      <c r="Q2890">
        <v>0</v>
      </c>
      <c r="S2890">
        <v>0</v>
      </c>
      <c r="T2890">
        <v>0</v>
      </c>
      <c r="U2890">
        <v>0</v>
      </c>
      <c r="W2890" t="s">
        <v>52</v>
      </c>
    </row>
    <row r="2891" spans="1:41" x14ac:dyDescent="0.35">
      <c r="A2891" t="s">
        <v>45</v>
      </c>
      <c r="B2891" t="s">
        <v>6350</v>
      </c>
      <c r="C2891" t="s">
        <v>47</v>
      </c>
      <c r="D2891" t="s">
        <v>45</v>
      </c>
      <c r="E2891" t="s">
        <v>45</v>
      </c>
      <c r="F2891" t="s">
        <v>49</v>
      </c>
      <c r="G2891" t="s">
        <v>6690</v>
      </c>
      <c r="H2891" t="s">
        <v>6691</v>
      </c>
      <c r="J2891" t="str">
        <f>HYPERLINK("https://www.facebook.com/454965103328545/videos/3697954183759550?comment_id=369887482340545&amp;reply_comment_id=1702076533613809","https://www.facebook.com/454965103328545/videos/3697954183759550?comment_id=369887482340545&amp;reply_comment_id=1702076533613809")</f>
        <v>https://www.facebook.com/454965103328545/videos/3697954183759550?comment_id=369887482340545&amp;reply_comment_id=1702076533613809</v>
      </c>
      <c r="O2891">
        <v>0</v>
      </c>
      <c r="P2891">
        <v>0</v>
      </c>
      <c r="Q2891">
        <v>0</v>
      </c>
      <c r="S2891">
        <v>0</v>
      </c>
      <c r="T2891">
        <v>0</v>
      </c>
      <c r="U2891">
        <v>0</v>
      </c>
      <c r="W2891" t="s">
        <v>62</v>
      </c>
    </row>
    <row r="2892" spans="1:41" x14ac:dyDescent="0.35">
      <c r="A2892" t="s">
        <v>45</v>
      </c>
      <c r="B2892" t="s">
        <v>6350</v>
      </c>
      <c r="C2892" t="s">
        <v>47</v>
      </c>
      <c r="D2892" t="s">
        <v>3843</v>
      </c>
      <c r="E2892" t="s">
        <v>3843</v>
      </c>
      <c r="F2892" t="s">
        <v>49</v>
      </c>
      <c r="G2892" t="s">
        <v>6692</v>
      </c>
      <c r="H2892" t="s">
        <v>6693</v>
      </c>
      <c r="J2892" t="str">
        <f>HYPERLINK("https://www.facebook.com/357267201017935/inbox/7012421342169121/","https://www.facebook.com/357267201017935/inbox/7012421342169121/")</f>
        <v>https://www.facebook.com/357267201017935/inbox/7012421342169121/</v>
      </c>
      <c r="O2892">
        <v>0</v>
      </c>
      <c r="P2892">
        <v>0</v>
      </c>
      <c r="Q2892">
        <v>0</v>
      </c>
      <c r="S2892">
        <v>0</v>
      </c>
      <c r="T2892">
        <v>0</v>
      </c>
      <c r="U2892">
        <v>0</v>
      </c>
      <c r="W2892" t="s">
        <v>52</v>
      </c>
      <c r="AO2892" t="s">
        <v>119</v>
      </c>
    </row>
    <row r="2893" spans="1:41" x14ac:dyDescent="0.35">
      <c r="A2893" t="s">
        <v>45</v>
      </c>
      <c r="B2893" t="s">
        <v>6350</v>
      </c>
      <c r="C2893" t="s">
        <v>47</v>
      </c>
      <c r="D2893" t="s">
        <v>1284</v>
      </c>
      <c r="E2893" t="s">
        <v>1284</v>
      </c>
      <c r="F2893" t="s">
        <v>49</v>
      </c>
      <c r="G2893" t="s">
        <v>6351</v>
      </c>
      <c r="H2893" t="s">
        <v>6694</v>
      </c>
      <c r="J2893" t="str">
        <f>HYPERLINK("https://www.facebook.com/454965103328545/posts/734813295343723?comment_id=409109374909428","https://www.facebook.com/454965103328545/posts/734813295343723?comment_id=409109374909428")</f>
        <v>https://www.facebook.com/454965103328545/posts/734813295343723?comment_id=409109374909428</v>
      </c>
      <c r="O2893">
        <v>0</v>
      </c>
      <c r="P2893">
        <v>0</v>
      </c>
      <c r="Q2893">
        <v>0</v>
      </c>
      <c r="S2893">
        <v>0</v>
      </c>
      <c r="T2893">
        <v>0</v>
      </c>
      <c r="U2893">
        <v>0</v>
      </c>
      <c r="W2893" t="s">
        <v>62</v>
      </c>
    </row>
    <row r="2894" spans="1:41" x14ac:dyDescent="0.35">
      <c r="A2894" t="s">
        <v>45</v>
      </c>
      <c r="B2894" t="s">
        <v>6350</v>
      </c>
      <c r="C2894" t="s">
        <v>139</v>
      </c>
      <c r="D2894" t="s">
        <v>6695</v>
      </c>
      <c r="E2894" t="s">
        <v>6696</v>
      </c>
      <c r="F2894" t="s">
        <v>49</v>
      </c>
      <c r="G2894" t="s">
        <v>6697</v>
      </c>
      <c r="H2894" t="s">
        <v>6698</v>
      </c>
      <c r="J2894" t="str">
        <f>HYPERLINK("https://twitter.com/Crypto_Troop/status/1755853482563719661","https://twitter.com/Crypto_Troop/status/1755853482563719661")</f>
        <v>https://twitter.com/Crypto_Troop/status/1755853482563719661</v>
      </c>
      <c r="K2894" t="s">
        <v>145</v>
      </c>
      <c r="O2894">
        <v>0</v>
      </c>
      <c r="P2894">
        <v>0</v>
      </c>
      <c r="Q2894">
        <v>200</v>
      </c>
      <c r="R2894" t="s">
        <v>582</v>
      </c>
      <c r="S2894">
        <v>0</v>
      </c>
      <c r="T2894">
        <v>0</v>
      </c>
      <c r="U2894">
        <v>0</v>
      </c>
      <c r="W2894" t="s">
        <v>146</v>
      </c>
    </row>
    <row r="2895" spans="1:41" x14ac:dyDescent="0.35">
      <c r="A2895" t="s">
        <v>45</v>
      </c>
      <c r="B2895" t="s">
        <v>6350</v>
      </c>
      <c r="C2895" t="s">
        <v>47</v>
      </c>
      <c r="D2895" t="s">
        <v>45</v>
      </c>
      <c r="E2895" t="s">
        <v>45</v>
      </c>
      <c r="F2895" t="s">
        <v>49</v>
      </c>
      <c r="G2895" t="s">
        <v>6699</v>
      </c>
      <c r="H2895" t="s">
        <v>6700</v>
      </c>
      <c r="J2895" t="str">
        <f>HYPERLINK("https://www.facebook.com/357267201017935/posts/3069910089753619/?comment_id=850610890154763&amp;reply_comment_id=992946818886751","https://www.facebook.com/357267201017935/posts/3069910089753619/?comment_id=850610890154763&amp;reply_comment_id=992946818886751")</f>
        <v>https://www.facebook.com/357267201017935/posts/3069910089753619/?comment_id=850610890154763&amp;reply_comment_id=992946818886751</v>
      </c>
      <c r="O2895">
        <v>0</v>
      </c>
      <c r="P2895">
        <v>0</v>
      </c>
      <c r="Q2895">
        <v>0</v>
      </c>
      <c r="S2895">
        <v>0</v>
      </c>
      <c r="T2895">
        <v>0</v>
      </c>
      <c r="U2895">
        <v>0</v>
      </c>
      <c r="W2895" t="s">
        <v>62</v>
      </c>
    </row>
    <row r="2896" spans="1:41" x14ac:dyDescent="0.35">
      <c r="A2896" t="s">
        <v>45</v>
      </c>
      <c r="B2896" t="s">
        <v>6350</v>
      </c>
      <c r="C2896" t="s">
        <v>47</v>
      </c>
      <c r="D2896" t="s">
        <v>45</v>
      </c>
      <c r="E2896" t="s">
        <v>45</v>
      </c>
      <c r="F2896" t="s">
        <v>49</v>
      </c>
      <c r="G2896" t="s">
        <v>6701</v>
      </c>
      <c r="H2896" t="s">
        <v>6702</v>
      </c>
      <c r="J2896" t="str">
        <f>HYPERLINK("https://www.facebook.com/357267201017935/inbox/7011333122277943/","https://www.facebook.com/357267201017935/inbox/7011333122277943/")</f>
        <v>https://www.facebook.com/357267201017935/inbox/7011333122277943/</v>
      </c>
      <c r="O2896">
        <v>0</v>
      </c>
      <c r="P2896">
        <v>0</v>
      </c>
      <c r="Q2896">
        <v>0</v>
      </c>
      <c r="S2896">
        <v>0</v>
      </c>
      <c r="T2896">
        <v>0</v>
      </c>
      <c r="U2896">
        <v>0</v>
      </c>
      <c r="W2896" t="s">
        <v>52</v>
      </c>
    </row>
    <row r="2897" spans="1:42" x14ac:dyDescent="0.35">
      <c r="A2897" t="s">
        <v>45</v>
      </c>
      <c r="B2897" t="s">
        <v>6350</v>
      </c>
      <c r="C2897" t="s">
        <v>47</v>
      </c>
      <c r="D2897" t="s">
        <v>45</v>
      </c>
      <c r="E2897" t="s">
        <v>45</v>
      </c>
      <c r="F2897" t="s">
        <v>49</v>
      </c>
      <c r="G2897" t="s">
        <v>6703</v>
      </c>
      <c r="H2897" t="s">
        <v>6704</v>
      </c>
      <c r="J2897" t="str">
        <f>HYPERLINK("https://www.facebook.com/357267201017935/inbox/7011333122277943/","https://www.facebook.com/357267201017935/inbox/7011333122277943/")</f>
        <v>https://www.facebook.com/357267201017935/inbox/7011333122277943/</v>
      </c>
      <c r="O2897">
        <v>0</v>
      </c>
      <c r="P2897">
        <v>0</v>
      </c>
      <c r="Q2897">
        <v>0</v>
      </c>
      <c r="S2897">
        <v>0</v>
      </c>
      <c r="T2897">
        <v>0</v>
      </c>
      <c r="U2897">
        <v>0</v>
      </c>
      <c r="W2897" t="s">
        <v>52</v>
      </c>
    </row>
    <row r="2898" spans="1:42" x14ac:dyDescent="0.35">
      <c r="A2898" t="s">
        <v>45</v>
      </c>
      <c r="B2898" t="s">
        <v>6350</v>
      </c>
      <c r="C2898" t="s">
        <v>139</v>
      </c>
      <c r="D2898" t="s">
        <v>190</v>
      </c>
      <c r="E2898" t="s">
        <v>45</v>
      </c>
      <c r="F2898" t="s">
        <v>49</v>
      </c>
      <c r="G2898" t="s">
        <v>3039</v>
      </c>
      <c r="H2898" t="s">
        <v>6705</v>
      </c>
      <c r="J2898" t="str">
        <f>HYPERLINK("https://twitter.com/FinoPaymntsBank/status/1755851355183542718","https://twitter.com/FinoPaymntsBank/status/1755851355183542718")</f>
        <v>https://twitter.com/FinoPaymntsBank/status/1755851355183542718</v>
      </c>
      <c r="K2898" t="s">
        <v>1994</v>
      </c>
      <c r="O2898">
        <v>0</v>
      </c>
      <c r="P2898">
        <v>0</v>
      </c>
      <c r="Q2898">
        <v>8370</v>
      </c>
      <c r="R2898" t="s">
        <v>193</v>
      </c>
      <c r="S2898">
        <v>0</v>
      </c>
      <c r="T2898">
        <v>0</v>
      </c>
      <c r="U2898">
        <v>0</v>
      </c>
      <c r="W2898" t="s">
        <v>52</v>
      </c>
    </row>
    <row r="2899" spans="1:42" x14ac:dyDescent="0.35">
      <c r="A2899" t="s">
        <v>45</v>
      </c>
      <c r="B2899" t="s">
        <v>6350</v>
      </c>
      <c r="C2899" t="s">
        <v>139</v>
      </c>
      <c r="D2899" t="s">
        <v>6706</v>
      </c>
      <c r="E2899" t="s">
        <v>6707</v>
      </c>
      <c r="F2899" t="s">
        <v>142</v>
      </c>
      <c r="G2899" t="s">
        <v>6708</v>
      </c>
      <c r="H2899" t="s">
        <v>6709</v>
      </c>
      <c r="J2899" t="str">
        <f>HYPERLINK("https://twitter.com/Khurshid_Alam__/status/1755850251963969591","https://twitter.com/Khurshid_Alam__/status/1755850251963969591")</f>
        <v>https://twitter.com/Khurshid_Alam__/status/1755850251963969591</v>
      </c>
      <c r="K2899" t="s">
        <v>1769</v>
      </c>
      <c r="O2899">
        <v>0</v>
      </c>
      <c r="P2899">
        <v>0</v>
      </c>
      <c r="Q2899">
        <v>2</v>
      </c>
      <c r="S2899">
        <v>0</v>
      </c>
      <c r="T2899">
        <v>0</v>
      </c>
      <c r="U2899">
        <v>0</v>
      </c>
      <c r="W2899" t="s">
        <v>146</v>
      </c>
      <c r="AP2899" t="s">
        <v>147</v>
      </c>
    </row>
    <row r="2900" spans="1:42" x14ac:dyDescent="0.35">
      <c r="A2900" t="s">
        <v>45</v>
      </c>
      <c r="B2900" t="s">
        <v>6350</v>
      </c>
      <c r="C2900" t="s">
        <v>47</v>
      </c>
      <c r="D2900" t="s">
        <v>6710</v>
      </c>
      <c r="E2900" t="s">
        <v>6710</v>
      </c>
      <c r="F2900" t="s">
        <v>49</v>
      </c>
      <c r="G2900" t="s">
        <v>6711</v>
      </c>
      <c r="H2900" t="s">
        <v>6712</v>
      </c>
      <c r="J2900" t="str">
        <f>HYPERLINK("https://www.facebook.com/357267201017935/inbox/6743898455688079/","https://www.facebook.com/357267201017935/inbox/6743898455688079/")</f>
        <v>https://www.facebook.com/357267201017935/inbox/6743898455688079/</v>
      </c>
      <c r="O2900">
        <v>0</v>
      </c>
      <c r="P2900">
        <v>0</v>
      </c>
      <c r="Q2900">
        <v>0</v>
      </c>
      <c r="S2900">
        <v>0</v>
      </c>
      <c r="T2900">
        <v>0</v>
      </c>
      <c r="U2900">
        <v>0</v>
      </c>
      <c r="W2900" t="s">
        <v>52</v>
      </c>
    </row>
    <row r="2901" spans="1:42" x14ac:dyDescent="0.35">
      <c r="A2901" t="s">
        <v>45</v>
      </c>
      <c r="B2901" t="s">
        <v>6350</v>
      </c>
      <c r="C2901" t="s">
        <v>47</v>
      </c>
      <c r="D2901" t="s">
        <v>6710</v>
      </c>
      <c r="E2901" t="s">
        <v>6710</v>
      </c>
      <c r="F2901" t="s">
        <v>49</v>
      </c>
      <c r="G2901" t="s">
        <v>6713</v>
      </c>
      <c r="H2901" t="s">
        <v>6714</v>
      </c>
      <c r="J2901" t="str">
        <f>HYPERLINK("https://www.facebook.com/357267201017935/inbox/6743898455688079/","https://www.facebook.com/357267201017935/inbox/6743898455688079/")</f>
        <v>https://www.facebook.com/357267201017935/inbox/6743898455688079/</v>
      </c>
      <c r="O2901">
        <v>0</v>
      </c>
      <c r="P2901">
        <v>0</v>
      </c>
      <c r="Q2901">
        <v>0</v>
      </c>
      <c r="S2901">
        <v>0</v>
      </c>
      <c r="T2901">
        <v>0</v>
      </c>
      <c r="U2901">
        <v>0</v>
      </c>
      <c r="W2901" t="s">
        <v>52</v>
      </c>
    </row>
    <row r="2902" spans="1:42" x14ac:dyDescent="0.35">
      <c r="A2902" t="s">
        <v>45</v>
      </c>
      <c r="B2902" t="s">
        <v>6350</v>
      </c>
      <c r="C2902" t="s">
        <v>47</v>
      </c>
      <c r="D2902" t="s">
        <v>45</v>
      </c>
      <c r="E2902" t="s">
        <v>45</v>
      </c>
      <c r="F2902" t="s">
        <v>49</v>
      </c>
      <c r="G2902" t="s">
        <v>6715</v>
      </c>
      <c r="H2902" t="s">
        <v>6716</v>
      </c>
      <c r="J2902" t="str">
        <f>HYPERLINK("https://www.facebook.com/357267201017935/inbox/6743898455688079/","https://www.facebook.com/357267201017935/inbox/6743898455688079/")</f>
        <v>https://www.facebook.com/357267201017935/inbox/6743898455688079/</v>
      </c>
      <c r="O2902">
        <v>0</v>
      </c>
      <c r="P2902">
        <v>0</v>
      </c>
      <c r="Q2902">
        <v>0</v>
      </c>
      <c r="S2902">
        <v>0</v>
      </c>
      <c r="T2902">
        <v>0</v>
      </c>
      <c r="U2902">
        <v>0</v>
      </c>
      <c r="W2902" t="s">
        <v>52</v>
      </c>
    </row>
    <row r="2903" spans="1:42" x14ac:dyDescent="0.35">
      <c r="A2903" t="s">
        <v>45</v>
      </c>
      <c r="B2903" t="s">
        <v>6350</v>
      </c>
      <c r="C2903" t="s">
        <v>47</v>
      </c>
      <c r="D2903" t="s">
        <v>45</v>
      </c>
      <c r="E2903" t="s">
        <v>45</v>
      </c>
      <c r="F2903" t="s">
        <v>49</v>
      </c>
      <c r="G2903" t="s">
        <v>4012</v>
      </c>
      <c r="H2903" t="s">
        <v>6717</v>
      </c>
      <c r="J2903" t="str">
        <f>HYPERLINK("https://www.facebook.com/357267201017935/inbox/7012421342169121/","https://www.facebook.com/357267201017935/inbox/7012421342169121/")</f>
        <v>https://www.facebook.com/357267201017935/inbox/7012421342169121/</v>
      </c>
      <c r="O2903">
        <v>0</v>
      </c>
      <c r="P2903">
        <v>0</v>
      </c>
      <c r="Q2903">
        <v>0</v>
      </c>
      <c r="S2903">
        <v>0</v>
      </c>
      <c r="T2903">
        <v>0</v>
      </c>
      <c r="U2903">
        <v>0</v>
      </c>
      <c r="W2903" t="s">
        <v>52</v>
      </c>
    </row>
    <row r="2904" spans="1:42" x14ac:dyDescent="0.35">
      <c r="A2904" t="s">
        <v>45</v>
      </c>
      <c r="B2904" t="s">
        <v>6350</v>
      </c>
      <c r="C2904" t="s">
        <v>58</v>
      </c>
      <c r="D2904" t="s">
        <v>3346</v>
      </c>
      <c r="E2904" t="s">
        <v>3346</v>
      </c>
      <c r="F2904" t="s">
        <v>142</v>
      </c>
      <c r="G2904" t="s">
        <v>6718</v>
      </c>
      <c r="H2904" t="s">
        <v>6719</v>
      </c>
      <c r="J2904" t="str">
        <f>HYPERLINK("https://www.youtube.com/watch?v=0KvY_m97BQM","https://www.youtube.com/watch?v=0KvY_m97BQM")</f>
        <v>https://www.youtube.com/watch?v=0KvY_m97BQM</v>
      </c>
      <c r="O2904">
        <v>0</v>
      </c>
      <c r="P2904">
        <v>0</v>
      </c>
      <c r="Q2904">
        <v>0</v>
      </c>
      <c r="S2904">
        <v>0</v>
      </c>
      <c r="T2904">
        <v>0</v>
      </c>
      <c r="U2904">
        <v>0</v>
      </c>
      <c r="W2904" t="s">
        <v>106</v>
      </c>
    </row>
    <row r="2905" spans="1:42" x14ac:dyDescent="0.35">
      <c r="A2905" t="s">
        <v>45</v>
      </c>
      <c r="B2905" t="s">
        <v>6350</v>
      </c>
      <c r="C2905" t="s">
        <v>47</v>
      </c>
      <c r="D2905" t="s">
        <v>6720</v>
      </c>
      <c r="E2905" t="s">
        <v>6720</v>
      </c>
      <c r="F2905" t="s">
        <v>49</v>
      </c>
      <c r="G2905" t="s">
        <v>6721</v>
      </c>
      <c r="H2905" t="s">
        <v>6722</v>
      </c>
      <c r="J2905" t="str">
        <f>HYPERLINK("https://www.facebook.com/357267201017935/inbox/7013630118714910/","https://www.facebook.com/357267201017935/inbox/7013630118714910/")</f>
        <v>https://www.facebook.com/357267201017935/inbox/7013630118714910/</v>
      </c>
      <c r="O2905">
        <v>0</v>
      </c>
      <c r="P2905">
        <v>0</v>
      </c>
      <c r="Q2905">
        <v>0</v>
      </c>
      <c r="S2905">
        <v>0</v>
      </c>
      <c r="T2905">
        <v>0</v>
      </c>
      <c r="U2905">
        <v>0</v>
      </c>
      <c r="W2905" t="s">
        <v>52</v>
      </c>
    </row>
    <row r="2906" spans="1:42" x14ac:dyDescent="0.35">
      <c r="A2906" t="s">
        <v>45</v>
      </c>
      <c r="B2906" t="s">
        <v>6350</v>
      </c>
      <c r="C2906" t="s">
        <v>47</v>
      </c>
      <c r="D2906" t="s">
        <v>246</v>
      </c>
      <c r="E2906" t="s">
        <v>246</v>
      </c>
      <c r="F2906" t="s">
        <v>49</v>
      </c>
      <c r="G2906" t="s">
        <v>247</v>
      </c>
      <c r="H2906" t="s">
        <v>6723</v>
      </c>
      <c r="J2906" t="str">
        <f>HYPERLINK("https://www.facebook.com/454965103328545/posts/763871475771238?comment_id=784429353532261&amp;reply_comment_id=1267453214213723","https://www.facebook.com/454965103328545/posts/763871475771238?comment_id=784429353532261&amp;reply_comment_id=1267453214213723")</f>
        <v>https://www.facebook.com/454965103328545/posts/763871475771238?comment_id=784429353532261&amp;reply_comment_id=1267453214213723</v>
      </c>
      <c r="O2906">
        <v>0</v>
      </c>
      <c r="P2906">
        <v>0</v>
      </c>
      <c r="Q2906">
        <v>0</v>
      </c>
      <c r="S2906">
        <v>0</v>
      </c>
      <c r="T2906">
        <v>0</v>
      </c>
      <c r="U2906">
        <v>0</v>
      </c>
      <c r="W2906" t="s">
        <v>62</v>
      </c>
    </row>
    <row r="2907" spans="1:42" x14ac:dyDescent="0.35">
      <c r="A2907" t="s">
        <v>45</v>
      </c>
      <c r="B2907" t="s">
        <v>6350</v>
      </c>
      <c r="C2907" t="s">
        <v>47</v>
      </c>
      <c r="D2907" t="s">
        <v>6724</v>
      </c>
      <c r="E2907" t="s">
        <v>6724</v>
      </c>
      <c r="F2907" t="s">
        <v>49</v>
      </c>
      <c r="G2907" t="s">
        <v>6725</v>
      </c>
      <c r="H2907" t="s">
        <v>6726</v>
      </c>
      <c r="J2907" t="str">
        <f>HYPERLINK("https://www.facebook.com/454965103328545/posts/766279632197089?comment_id=1105756190615909&amp;reply_comment_id=788383579862843","https://www.facebook.com/454965103328545/posts/766279632197089?comment_id=1105756190615909&amp;reply_comment_id=788383579862843")</f>
        <v>https://www.facebook.com/454965103328545/posts/766279632197089?comment_id=1105756190615909&amp;reply_comment_id=788383579862843</v>
      </c>
      <c r="O2907">
        <v>0</v>
      </c>
      <c r="P2907">
        <v>0</v>
      </c>
      <c r="Q2907">
        <v>0</v>
      </c>
      <c r="S2907">
        <v>0</v>
      </c>
      <c r="T2907">
        <v>0</v>
      </c>
      <c r="U2907">
        <v>0</v>
      </c>
      <c r="W2907" t="s">
        <v>62</v>
      </c>
    </row>
    <row r="2908" spans="1:42" x14ac:dyDescent="0.35">
      <c r="A2908" t="s">
        <v>45</v>
      </c>
      <c r="B2908" t="s">
        <v>6350</v>
      </c>
      <c r="C2908" t="s">
        <v>47</v>
      </c>
      <c r="D2908" t="s">
        <v>6710</v>
      </c>
      <c r="E2908" t="s">
        <v>6710</v>
      </c>
      <c r="F2908" t="s">
        <v>76</v>
      </c>
      <c r="G2908" t="s">
        <v>6727</v>
      </c>
      <c r="H2908" t="s">
        <v>6728</v>
      </c>
      <c r="J2908" t="str">
        <f>HYPERLINK("https://www.facebook.com/357267201017935/inbox/6743898455688079/","https://www.facebook.com/357267201017935/inbox/6743898455688079/")</f>
        <v>https://www.facebook.com/357267201017935/inbox/6743898455688079/</v>
      </c>
      <c r="O2908">
        <v>0</v>
      </c>
      <c r="P2908">
        <v>0</v>
      </c>
      <c r="Q2908">
        <v>0</v>
      </c>
      <c r="S2908">
        <v>0</v>
      </c>
      <c r="T2908">
        <v>0</v>
      </c>
      <c r="U2908">
        <v>0</v>
      </c>
      <c r="W2908" t="s">
        <v>52</v>
      </c>
    </row>
    <row r="2909" spans="1:42" x14ac:dyDescent="0.35">
      <c r="A2909" t="s">
        <v>45</v>
      </c>
      <c r="B2909" t="s">
        <v>6350</v>
      </c>
      <c r="C2909" t="s">
        <v>47</v>
      </c>
      <c r="D2909" t="s">
        <v>45</v>
      </c>
      <c r="E2909" t="s">
        <v>45</v>
      </c>
      <c r="F2909" t="s">
        <v>49</v>
      </c>
      <c r="G2909" t="s">
        <v>6729</v>
      </c>
      <c r="H2909" t="s">
        <v>6730</v>
      </c>
      <c r="J2909" t="str">
        <f>HYPERLINK("https://www.facebook.com/454965103328545/posts/766279632197089?comment_id=263821323411129&amp;reply_comment_id=240835765743312","https://www.facebook.com/454965103328545/posts/766279632197089?comment_id=263821323411129&amp;reply_comment_id=240835765743312")</f>
        <v>https://www.facebook.com/454965103328545/posts/766279632197089?comment_id=263821323411129&amp;reply_comment_id=240835765743312</v>
      </c>
      <c r="O2909">
        <v>0</v>
      </c>
      <c r="P2909">
        <v>0</v>
      </c>
      <c r="Q2909">
        <v>0</v>
      </c>
      <c r="S2909">
        <v>0</v>
      </c>
      <c r="T2909">
        <v>0</v>
      </c>
      <c r="U2909">
        <v>0</v>
      </c>
      <c r="W2909" t="s">
        <v>62</v>
      </c>
    </row>
    <row r="2910" spans="1:42" x14ac:dyDescent="0.35">
      <c r="A2910" t="s">
        <v>45</v>
      </c>
      <c r="B2910" t="s">
        <v>6350</v>
      </c>
      <c r="C2910" t="s">
        <v>47</v>
      </c>
      <c r="D2910" t="s">
        <v>6710</v>
      </c>
      <c r="E2910" t="s">
        <v>6710</v>
      </c>
      <c r="F2910" t="s">
        <v>49</v>
      </c>
      <c r="G2910" t="s">
        <v>6731</v>
      </c>
      <c r="H2910" t="s">
        <v>6732</v>
      </c>
      <c r="J2910" t="str">
        <f>HYPERLINK("https://www.facebook.com/357267201017935/inbox/6743898455688079/","https://www.facebook.com/357267201017935/inbox/6743898455688079/")</f>
        <v>https://www.facebook.com/357267201017935/inbox/6743898455688079/</v>
      </c>
      <c r="O2910">
        <v>0</v>
      </c>
      <c r="P2910">
        <v>0</v>
      </c>
      <c r="Q2910">
        <v>0</v>
      </c>
      <c r="S2910">
        <v>0</v>
      </c>
      <c r="T2910">
        <v>0</v>
      </c>
      <c r="U2910">
        <v>0</v>
      </c>
      <c r="W2910" t="s">
        <v>52</v>
      </c>
    </row>
    <row r="2911" spans="1:42" x14ac:dyDescent="0.35">
      <c r="A2911" t="s">
        <v>45</v>
      </c>
      <c r="B2911" t="s">
        <v>6350</v>
      </c>
      <c r="C2911" t="s">
        <v>47</v>
      </c>
      <c r="D2911" t="s">
        <v>6733</v>
      </c>
      <c r="E2911" t="s">
        <v>6733</v>
      </c>
      <c r="F2911" t="s">
        <v>142</v>
      </c>
      <c r="G2911" t="s">
        <v>6734</v>
      </c>
      <c r="H2911" t="s">
        <v>6735</v>
      </c>
      <c r="J2911" t="str">
        <f>HYPERLINK("https://www.facebook.com/454965103328545/posts/734813295343723?comment_id=2447599428755696","https://www.facebook.com/454965103328545/posts/734813295343723?comment_id=2447599428755696")</f>
        <v>https://www.facebook.com/454965103328545/posts/734813295343723?comment_id=2447599428755696</v>
      </c>
      <c r="O2911">
        <v>0</v>
      </c>
      <c r="P2911">
        <v>0</v>
      </c>
      <c r="Q2911">
        <v>0</v>
      </c>
      <c r="S2911">
        <v>0</v>
      </c>
      <c r="T2911">
        <v>0</v>
      </c>
      <c r="U2911">
        <v>0</v>
      </c>
      <c r="W2911" t="s">
        <v>62</v>
      </c>
    </row>
    <row r="2912" spans="1:42" x14ac:dyDescent="0.35">
      <c r="A2912" t="s">
        <v>45</v>
      </c>
      <c r="B2912" t="s">
        <v>6350</v>
      </c>
      <c r="C2912" t="s">
        <v>47</v>
      </c>
      <c r="D2912" t="s">
        <v>6710</v>
      </c>
      <c r="E2912" t="s">
        <v>6710</v>
      </c>
      <c r="F2912" t="s">
        <v>49</v>
      </c>
      <c r="G2912" t="s">
        <v>6736</v>
      </c>
      <c r="H2912" t="s">
        <v>6737</v>
      </c>
      <c r="J2912" t="str">
        <f>HYPERLINK("https://www.facebook.com/357267201017935/inbox/6743898455688079/","https://www.facebook.com/357267201017935/inbox/6743898455688079/")</f>
        <v>https://www.facebook.com/357267201017935/inbox/6743898455688079/</v>
      </c>
      <c r="O2912">
        <v>0</v>
      </c>
      <c r="P2912">
        <v>0</v>
      </c>
      <c r="Q2912">
        <v>0</v>
      </c>
      <c r="S2912">
        <v>0</v>
      </c>
      <c r="T2912">
        <v>0</v>
      </c>
      <c r="U2912">
        <v>0</v>
      </c>
      <c r="W2912" t="s">
        <v>52</v>
      </c>
    </row>
    <row r="2913" spans="1:23" x14ac:dyDescent="0.35">
      <c r="A2913" t="s">
        <v>45</v>
      </c>
      <c r="B2913" t="s">
        <v>6350</v>
      </c>
      <c r="C2913" t="s">
        <v>47</v>
      </c>
      <c r="D2913" t="s">
        <v>1779</v>
      </c>
      <c r="E2913" t="s">
        <v>1779</v>
      </c>
      <c r="F2913" t="s">
        <v>49</v>
      </c>
      <c r="G2913" t="s">
        <v>6738</v>
      </c>
      <c r="H2913" t="s">
        <v>6739</v>
      </c>
      <c r="J2913" t="str">
        <f>HYPERLINK("https://www.facebook.com/454965103328545/posts/767562042068848?comment_id=6961641523961555&amp;reply_comment_id=784652420142728","https://www.facebook.com/454965103328545/posts/767562042068848?comment_id=6961641523961555&amp;reply_comment_id=784652420142728")</f>
        <v>https://www.facebook.com/454965103328545/posts/767562042068848?comment_id=6961641523961555&amp;reply_comment_id=784652420142728</v>
      </c>
      <c r="O2913">
        <v>0</v>
      </c>
      <c r="P2913">
        <v>0</v>
      </c>
      <c r="Q2913">
        <v>0</v>
      </c>
      <c r="S2913">
        <v>0</v>
      </c>
      <c r="T2913">
        <v>0</v>
      </c>
      <c r="U2913">
        <v>0</v>
      </c>
      <c r="W2913" t="s">
        <v>62</v>
      </c>
    </row>
    <row r="2914" spans="1:23" x14ac:dyDescent="0.35">
      <c r="A2914" t="s">
        <v>45</v>
      </c>
      <c r="B2914" t="s">
        <v>6350</v>
      </c>
      <c r="C2914" t="s">
        <v>47</v>
      </c>
      <c r="D2914" t="s">
        <v>45</v>
      </c>
      <c r="E2914" t="s">
        <v>45</v>
      </c>
      <c r="F2914" t="s">
        <v>49</v>
      </c>
      <c r="G2914" t="s">
        <v>6715</v>
      </c>
      <c r="H2914" t="s">
        <v>6740</v>
      </c>
      <c r="J2914" t="str">
        <f>HYPERLINK("https://www.facebook.com/357267201017935/inbox/6743898455688079/","https://www.facebook.com/357267201017935/inbox/6743898455688079/")</f>
        <v>https://www.facebook.com/357267201017935/inbox/6743898455688079/</v>
      </c>
      <c r="O2914">
        <v>0</v>
      </c>
      <c r="P2914">
        <v>0</v>
      </c>
      <c r="Q2914">
        <v>0</v>
      </c>
      <c r="S2914">
        <v>0</v>
      </c>
      <c r="T2914">
        <v>0</v>
      </c>
      <c r="U2914">
        <v>0</v>
      </c>
      <c r="W2914" t="s">
        <v>52</v>
      </c>
    </row>
    <row r="2915" spans="1:23" x14ac:dyDescent="0.35">
      <c r="A2915" t="s">
        <v>45</v>
      </c>
      <c r="B2915" t="s">
        <v>6350</v>
      </c>
      <c r="C2915" t="s">
        <v>47</v>
      </c>
      <c r="D2915" t="s">
        <v>45</v>
      </c>
      <c r="E2915" t="s">
        <v>45</v>
      </c>
      <c r="F2915" t="s">
        <v>49</v>
      </c>
      <c r="G2915" t="s">
        <v>4012</v>
      </c>
      <c r="H2915" t="s">
        <v>6741</v>
      </c>
      <c r="J2915" t="str">
        <f>HYPERLINK("https://www.facebook.com/357267201017935/inbox/7012421342169121/","https://www.facebook.com/357267201017935/inbox/7012421342169121/")</f>
        <v>https://www.facebook.com/357267201017935/inbox/7012421342169121/</v>
      </c>
      <c r="O2915">
        <v>0</v>
      </c>
      <c r="P2915">
        <v>0</v>
      </c>
      <c r="Q2915">
        <v>0</v>
      </c>
      <c r="S2915">
        <v>0</v>
      </c>
      <c r="T2915">
        <v>0</v>
      </c>
      <c r="U2915">
        <v>0</v>
      </c>
      <c r="W2915" t="s">
        <v>52</v>
      </c>
    </row>
    <row r="2916" spans="1:23" x14ac:dyDescent="0.35">
      <c r="A2916" t="s">
        <v>45</v>
      </c>
      <c r="B2916" t="s">
        <v>6350</v>
      </c>
      <c r="C2916" t="s">
        <v>47</v>
      </c>
      <c r="D2916" t="s">
        <v>45</v>
      </c>
      <c r="E2916" t="s">
        <v>45</v>
      </c>
      <c r="F2916" t="s">
        <v>49</v>
      </c>
      <c r="G2916" t="s">
        <v>6742</v>
      </c>
      <c r="H2916" t="s">
        <v>6743</v>
      </c>
      <c r="J2916" t="str">
        <f>HYPERLINK("https://www.facebook.com/454965103328545/videos/3697954183759550?comment_id=1789070404890021&amp;reply_comment_id=382225051115791","https://www.facebook.com/454965103328545/videos/3697954183759550?comment_id=1789070404890021&amp;reply_comment_id=382225051115791")</f>
        <v>https://www.facebook.com/454965103328545/videos/3697954183759550?comment_id=1789070404890021&amp;reply_comment_id=382225051115791</v>
      </c>
      <c r="O2916">
        <v>0</v>
      </c>
      <c r="P2916">
        <v>0</v>
      </c>
      <c r="Q2916">
        <v>0</v>
      </c>
      <c r="S2916">
        <v>0</v>
      </c>
      <c r="T2916">
        <v>0</v>
      </c>
      <c r="U2916">
        <v>0</v>
      </c>
      <c r="W2916" t="s">
        <v>62</v>
      </c>
    </row>
    <row r="2917" spans="1:23" x14ac:dyDescent="0.35">
      <c r="A2917" t="s">
        <v>45</v>
      </c>
      <c r="B2917" t="s">
        <v>6350</v>
      </c>
      <c r="C2917" t="s">
        <v>47</v>
      </c>
      <c r="D2917" t="s">
        <v>45</v>
      </c>
      <c r="E2917" t="s">
        <v>45</v>
      </c>
      <c r="F2917" t="s">
        <v>49</v>
      </c>
      <c r="G2917" t="s">
        <v>6744</v>
      </c>
      <c r="H2917" t="s">
        <v>6745</v>
      </c>
      <c r="J2917" t="str">
        <f>HYPERLINK("https://www.facebook.com/454965103328545/posts/763715162453536?comment_id=380385844597322&amp;reply_comment_id=1524467041707710","https://www.facebook.com/454965103328545/posts/763715162453536?comment_id=380385844597322&amp;reply_comment_id=1524467041707710")</f>
        <v>https://www.facebook.com/454965103328545/posts/763715162453536?comment_id=380385844597322&amp;reply_comment_id=1524467041707710</v>
      </c>
      <c r="O2917">
        <v>0</v>
      </c>
      <c r="P2917">
        <v>0</v>
      </c>
      <c r="Q2917">
        <v>0</v>
      </c>
      <c r="S2917">
        <v>0</v>
      </c>
      <c r="T2917">
        <v>0</v>
      </c>
      <c r="U2917">
        <v>0</v>
      </c>
      <c r="W2917" t="s">
        <v>62</v>
      </c>
    </row>
    <row r="2918" spans="1:23" x14ac:dyDescent="0.35">
      <c r="A2918" t="s">
        <v>45</v>
      </c>
      <c r="B2918" t="s">
        <v>6350</v>
      </c>
      <c r="C2918" t="s">
        <v>47</v>
      </c>
      <c r="D2918" t="s">
        <v>6746</v>
      </c>
      <c r="E2918" t="s">
        <v>6746</v>
      </c>
      <c r="F2918" t="s">
        <v>49</v>
      </c>
      <c r="G2918" t="s">
        <v>6747</v>
      </c>
      <c r="H2918" t="s">
        <v>6748</v>
      </c>
      <c r="J2918" t="str">
        <f>HYPERLINK("https://www.facebook.com/357267201017935/inbox/7013092892101966/","https://www.facebook.com/357267201017935/inbox/7013092892101966/")</f>
        <v>https://www.facebook.com/357267201017935/inbox/7013092892101966/</v>
      </c>
      <c r="O2918">
        <v>0</v>
      </c>
      <c r="P2918">
        <v>0</v>
      </c>
      <c r="Q2918">
        <v>0</v>
      </c>
      <c r="S2918">
        <v>0</v>
      </c>
      <c r="T2918">
        <v>0</v>
      </c>
      <c r="U2918">
        <v>0</v>
      </c>
      <c r="W2918" t="s">
        <v>52</v>
      </c>
    </row>
    <row r="2919" spans="1:23" x14ac:dyDescent="0.35">
      <c r="A2919" t="s">
        <v>45</v>
      </c>
      <c r="B2919" t="s">
        <v>6350</v>
      </c>
      <c r="C2919" t="s">
        <v>47</v>
      </c>
      <c r="D2919" t="s">
        <v>45</v>
      </c>
      <c r="E2919" t="s">
        <v>45</v>
      </c>
      <c r="F2919" t="s">
        <v>49</v>
      </c>
      <c r="G2919" t="s">
        <v>6749</v>
      </c>
      <c r="H2919" t="s">
        <v>6750</v>
      </c>
      <c r="J2919" t="str">
        <f>HYPERLINK("https://www.facebook.com/357267201017935/inbox/7013092892101966/","https://www.facebook.com/357267201017935/inbox/7013092892101966/")</f>
        <v>https://www.facebook.com/357267201017935/inbox/7013092892101966/</v>
      </c>
      <c r="O2919">
        <v>0</v>
      </c>
      <c r="P2919">
        <v>0</v>
      </c>
      <c r="Q2919">
        <v>0</v>
      </c>
      <c r="S2919">
        <v>0</v>
      </c>
      <c r="T2919">
        <v>0</v>
      </c>
      <c r="U2919">
        <v>0</v>
      </c>
      <c r="W2919" t="s">
        <v>52</v>
      </c>
    </row>
    <row r="2920" spans="1:23" x14ac:dyDescent="0.35">
      <c r="A2920" t="s">
        <v>45</v>
      </c>
      <c r="B2920" t="s">
        <v>6350</v>
      </c>
      <c r="C2920" t="s">
        <v>47</v>
      </c>
      <c r="D2920" t="s">
        <v>45</v>
      </c>
      <c r="E2920" t="s">
        <v>45</v>
      </c>
      <c r="F2920" t="s">
        <v>49</v>
      </c>
      <c r="G2920" t="s">
        <v>6751</v>
      </c>
      <c r="H2920" t="s">
        <v>6752</v>
      </c>
      <c r="J2920" t="str">
        <f>HYPERLINK("https://www.facebook.com/454965103328545/posts/734813295343723?comment_id=374202175330824&amp;reply_comment_id=302967812757991","https://www.facebook.com/454965103328545/posts/734813295343723?comment_id=374202175330824&amp;reply_comment_id=302967812757991")</f>
        <v>https://www.facebook.com/454965103328545/posts/734813295343723?comment_id=374202175330824&amp;reply_comment_id=302967812757991</v>
      </c>
      <c r="O2920">
        <v>0</v>
      </c>
      <c r="P2920">
        <v>0</v>
      </c>
      <c r="Q2920">
        <v>0</v>
      </c>
      <c r="S2920">
        <v>0</v>
      </c>
      <c r="T2920">
        <v>0</v>
      </c>
      <c r="U2920">
        <v>0</v>
      </c>
      <c r="W2920" t="s">
        <v>62</v>
      </c>
    </row>
    <row r="2921" spans="1:23" x14ac:dyDescent="0.35">
      <c r="A2921" t="s">
        <v>45</v>
      </c>
      <c r="B2921" t="s">
        <v>6350</v>
      </c>
      <c r="C2921" t="s">
        <v>47</v>
      </c>
      <c r="D2921" t="s">
        <v>45</v>
      </c>
      <c r="E2921" t="s">
        <v>45</v>
      </c>
      <c r="F2921" t="s">
        <v>49</v>
      </c>
      <c r="G2921" t="s">
        <v>6753</v>
      </c>
      <c r="H2921" t="s">
        <v>6754</v>
      </c>
      <c r="J2921" t="str">
        <f>HYPERLINK("https://www.facebook.com/357267201017935/inbox/7013437542067501/","https://www.facebook.com/357267201017935/inbox/7013437542067501/")</f>
        <v>https://www.facebook.com/357267201017935/inbox/7013437542067501/</v>
      </c>
      <c r="O2921">
        <v>0</v>
      </c>
      <c r="P2921">
        <v>0</v>
      </c>
      <c r="Q2921">
        <v>0</v>
      </c>
      <c r="S2921">
        <v>0</v>
      </c>
      <c r="T2921">
        <v>0</v>
      </c>
      <c r="U2921">
        <v>0</v>
      </c>
      <c r="W2921" t="s">
        <v>52</v>
      </c>
    </row>
    <row r="2922" spans="1:23" x14ac:dyDescent="0.35">
      <c r="A2922" t="s">
        <v>45</v>
      </c>
      <c r="B2922" t="s">
        <v>6350</v>
      </c>
      <c r="C2922" t="s">
        <v>47</v>
      </c>
      <c r="D2922" t="s">
        <v>45</v>
      </c>
      <c r="E2922" t="s">
        <v>45</v>
      </c>
      <c r="F2922" t="s">
        <v>49</v>
      </c>
      <c r="G2922" t="s">
        <v>6755</v>
      </c>
      <c r="H2922" t="s">
        <v>6756</v>
      </c>
      <c r="J2922" t="str">
        <f>HYPERLINK("https://www.facebook.com/357267201017935/inbox/7013630118714910/","https://www.facebook.com/357267201017935/inbox/7013630118714910/")</f>
        <v>https://www.facebook.com/357267201017935/inbox/7013630118714910/</v>
      </c>
      <c r="O2922">
        <v>0</v>
      </c>
      <c r="P2922">
        <v>0</v>
      </c>
      <c r="Q2922">
        <v>0</v>
      </c>
      <c r="S2922">
        <v>0</v>
      </c>
      <c r="T2922">
        <v>0</v>
      </c>
      <c r="U2922">
        <v>0</v>
      </c>
      <c r="W2922" t="s">
        <v>52</v>
      </c>
    </row>
    <row r="2923" spans="1:23" x14ac:dyDescent="0.35">
      <c r="A2923" t="s">
        <v>45</v>
      </c>
      <c r="B2923" t="s">
        <v>6350</v>
      </c>
      <c r="C2923" t="s">
        <v>47</v>
      </c>
      <c r="D2923" t="s">
        <v>45</v>
      </c>
      <c r="E2923" t="s">
        <v>45</v>
      </c>
      <c r="F2923" t="s">
        <v>49</v>
      </c>
      <c r="G2923" t="s">
        <v>6757</v>
      </c>
      <c r="H2923" t="s">
        <v>6758</v>
      </c>
      <c r="J2923" t="str">
        <f>HYPERLINK("https://www.facebook.com/357267201017935/inbox/7014873801923875/","https://www.facebook.com/357267201017935/inbox/7014873801923875/")</f>
        <v>https://www.facebook.com/357267201017935/inbox/7014873801923875/</v>
      </c>
      <c r="O2923">
        <v>0</v>
      </c>
      <c r="P2923">
        <v>0</v>
      </c>
      <c r="Q2923">
        <v>0</v>
      </c>
      <c r="S2923">
        <v>0</v>
      </c>
      <c r="T2923">
        <v>0</v>
      </c>
      <c r="U2923">
        <v>0</v>
      </c>
      <c r="W2923" t="s">
        <v>52</v>
      </c>
    </row>
    <row r="2924" spans="1:23" x14ac:dyDescent="0.35">
      <c r="A2924" t="s">
        <v>45</v>
      </c>
      <c r="B2924" t="s">
        <v>6350</v>
      </c>
      <c r="C2924" t="s">
        <v>47</v>
      </c>
      <c r="D2924" t="s">
        <v>45</v>
      </c>
      <c r="E2924" t="s">
        <v>45</v>
      </c>
      <c r="F2924" t="s">
        <v>49</v>
      </c>
      <c r="G2924" t="s">
        <v>6759</v>
      </c>
      <c r="H2924" t="s">
        <v>6760</v>
      </c>
      <c r="J2924" t="str">
        <f>HYPERLINK("https://www.facebook.com/357267201017935/inbox/7015020385242550/","https://www.facebook.com/357267201017935/inbox/7015020385242550/")</f>
        <v>https://www.facebook.com/357267201017935/inbox/7015020385242550/</v>
      </c>
      <c r="O2924">
        <v>0</v>
      </c>
      <c r="P2924">
        <v>0</v>
      </c>
      <c r="Q2924">
        <v>0</v>
      </c>
      <c r="S2924">
        <v>0</v>
      </c>
      <c r="T2924">
        <v>0</v>
      </c>
      <c r="U2924">
        <v>0</v>
      </c>
      <c r="W2924" t="s">
        <v>52</v>
      </c>
    </row>
    <row r="2925" spans="1:23" x14ac:dyDescent="0.35">
      <c r="A2925" t="s">
        <v>45</v>
      </c>
      <c r="B2925" t="s">
        <v>6350</v>
      </c>
      <c r="C2925" t="s">
        <v>47</v>
      </c>
      <c r="D2925" t="s">
        <v>45</v>
      </c>
      <c r="E2925" t="s">
        <v>45</v>
      </c>
      <c r="F2925" t="s">
        <v>49</v>
      </c>
      <c r="G2925" t="s">
        <v>264</v>
      </c>
      <c r="H2925" t="s">
        <v>6761</v>
      </c>
      <c r="J2925" t="str">
        <f>HYPERLINK("https://www.facebook.com/454965103328545/posts/763871475771238?comment_id=784429353532261&amp;reply_comment_id=418932013934981","https://www.facebook.com/454965103328545/posts/763871475771238?comment_id=784429353532261&amp;reply_comment_id=418932013934981")</f>
        <v>https://www.facebook.com/454965103328545/posts/763871475771238?comment_id=784429353532261&amp;reply_comment_id=418932013934981</v>
      </c>
      <c r="O2925">
        <v>0</v>
      </c>
      <c r="P2925">
        <v>0</v>
      </c>
      <c r="Q2925">
        <v>0</v>
      </c>
      <c r="S2925">
        <v>0</v>
      </c>
      <c r="T2925">
        <v>0</v>
      </c>
      <c r="U2925">
        <v>0</v>
      </c>
      <c r="W2925" t="s">
        <v>62</v>
      </c>
    </row>
    <row r="2926" spans="1:23" x14ac:dyDescent="0.35">
      <c r="A2926" t="s">
        <v>45</v>
      </c>
      <c r="B2926" t="s">
        <v>6350</v>
      </c>
      <c r="C2926" t="s">
        <v>47</v>
      </c>
      <c r="D2926" t="s">
        <v>45</v>
      </c>
      <c r="E2926" t="s">
        <v>45</v>
      </c>
      <c r="F2926" t="s">
        <v>49</v>
      </c>
      <c r="G2926" t="s">
        <v>6762</v>
      </c>
      <c r="H2926" t="s">
        <v>6763</v>
      </c>
      <c r="J2926" t="str">
        <f>HYPERLINK("https://www.facebook.com/454965103328545/posts/734813295343723?comment_id=896475382221163&amp;reply_comment_id=917752893692638","https://www.facebook.com/454965103328545/posts/734813295343723?comment_id=896475382221163&amp;reply_comment_id=917752893692638")</f>
        <v>https://www.facebook.com/454965103328545/posts/734813295343723?comment_id=896475382221163&amp;reply_comment_id=917752893692638</v>
      </c>
      <c r="O2926">
        <v>0</v>
      </c>
      <c r="P2926">
        <v>0</v>
      </c>
      <c r="Q2926">
        <v>0</v>
      </c>
      <c r="S2926">
        <v>0</v>
      </c>
      <c r="T2926">
        <v>0</v>
      </c>
      <c r="U2926">
        <v>0</v>
      </c>
      <c r="W2926" t="s">
        <v>62</v>
      </c>
    </row>
    <row r="2927" spans="1:23" x14ac:dyDescent="0.35">
      <c r="A2927" t="s">
        <v>45</v>
      </c>
      <c r="B2927" t="s">
        <v>6350</v>
      </c>
      <c r="C2927" t="s">
        <v>47</v>
      </c>
      <c r="D2927" t="s">
        <v>45</v>
      </c>
      <c r="E2927" t="s">
        <v>45</v>
      </c>
      <c r="F2927" t="s">
        <v>49</v>
      </c>
      <c r="G2927" t="s">
        <v>6764</v>
      </c>
      <c r="H2927" t="s">
        <v>6765</v>
      </c>
      <c r="J2927" t="str">
        <f>HYPERLINK("https://www.facebook.com/357267201017935/inbox/7015689571842298/","https://www.facebook.com/357267201017935/inbox/7015689571842298/")</f>
        <v>https://www.facebook.com/357267201017935/inbox/7015689571842298/</v>
      </c>
      <c r="O2927">
        <v>0</v>
      </c>
      <c r="P2927">
        <v>0</v>
      </c>
      <c r="Q2927">
        <v>0</v>
      </c>
      <c r="S2927">
        <v>0</v>
      </c>
      <c r="T2927">
        <v>0</v>
      </c>
      <c r="U2927">
        <v>0</v>
      </c>
      <c r="W2927" t="s">
        <v>52</v>
      </c>
    </row>
    <row r="2928" spans="1:23" x14ac:dyDescent="0.35">
      <c r="A2928" t="s">
        <v>45</v>
      </c>
      <c r="B2928" t="s">
        <v>6350</v>
      </c>
      <c r="C2928" t="s">
        <v>47</v>
      </c>
      <c r="D2928" t="s">
        <v>45</v>
      </c>
      <c r="E2928" t="s">
        <v>45</v>
      </c>
      <c r="F2928" t="s">
        <v>49</v>
      </c>
      <c r="G2928" t="s">
        <v>6766</v>
      </c>
      <c r="H2928" t="s">
        <v>6767</v>
      </c>
      <c r="J2928" t="str">
        <f>HYPERLINK("https://www.facebook.com/357267201017935/inbox/7015719461839309/","https://www.facebook.com/357267201017935/inbox/7015719461839309/")</f>
        <v>https://www.facebook.com/357267201017935/inbox/7015719461839309/</v>
      </c>
      <c r="O2928">
        <v>0</v>
      </c>
      <c r="P2928">
        <v>0</v>
      </c>
      <c r="Q2928">
        <v>0</v>
      </c>
      <c r="S2928">
        <v>0</v>
      </c>
      <c r="T2928">
        <v>0</v>
      </c>
      <c r="U2928">
        <v>0</v>
      </c>
      <c r="W2928" t="s">
        <v>52</v>
      </c>
    </row>
    <row r="2929" spans="1:42" x14ac:dyDescent="0.35">
      <c r="A2929" t="s">
        <v>45</v>
      </c>
      <c r="B2929" t="s">
        <v>6350</v>
      </c>
      <c r="C2929" t="s">
        <v>47</v>
      </c>
      <c r="D2929" t="s">
        <v>45</v>
      </c>
      <c r="E2929" t="s">
        <v>45</v>
      </c>
      <c r="F2929" t="s">
        <v>49</v>
      </c>
      <c r="G2929" t="s">
        <v>6768</v>
      </c>
      <c r="H2929" t="s">
        <v>6769</v>
      </c>
      <c r="J2929" t="str">
        <f>HYPERLINK("https://www.facebook.com/357267201017935/inbox/7015719461839309/","https://www.facebook.com/357267201017935/inbox/7015719461839309/")</f>
        <v>https://www.facebook.com/357267201017935/inbox/7015719461839309/</v>
      </c>
      <c r="O2929">
        <v>0</v>
      </c>
      <c r="P2929">
        <v>0</v>
      </c>
      <c r="Q2929">
        <v>0</v>
      </c>
      <c r="S2929">
        <v>0</v>
      </c>
      <c r="T2929">
        <v>0</v>
      </c>
      <c r="U2929">
        <v>0</v>
      </c>
      <c r="W2929" t="s">
        <v>52</v>
      </c>
    </row>
    <row r="2930" spans="1:42" x14ac:dyDescent="0.35">
      <c r="A2930" t="s">
        <v>45</v>
      </c>
      <c r="B2930" t="s">
        <v>6350</v>
      </c>
      <c r="C2930" t="s">
        <v>47</v>
      </c>
      <c r="D2930" t="s">
        <v>45</v>
      </c>
      <c r="E2930" t="s">
        <v>45</v>
      </c>
      <c r="F2930" t="s">
        <v>49</v>
      </c>
      <c r="G2930" t="s">
        <v>6770</v>
      </c>
      <c r="H2930" t="s">
        <v>6771</v>
      </c>
      <c r="J2930" t="str">
        <f>HYPERLINK("https://www.facebook.com/357267201017935/inbox/7015869258490996/","https://www.facebook.com/357267201017935/inbox/7015869258490996/")</f>
        <v>https://www.facebook.com/357267201017935/inbox/7015869258490996/</v>
      </c>
      <c r="O2930">
        <v>0</v>
      </c>
      <c r="P2930">
        <v>0</v>
      </c>
      <c r="Q2930">
        <v>0</v>
      </c>
      <c r="S2930">
        <v>0</v>
      </c>
      <c r="T2930">
        <v>0</v>
      </c>
      <c r="U2930">
        <v>0</v>
      </c>
      <c r="W2930" t="s">
        <v>52</v>
      </c>
    </row>
    <row r="2931" spans="1:42" x14ac:dyDescent="0.35">
      <c r="A2931" t="s">
        <v>45</v>
      </c>
      <c r="B2931" t="s">
        <v>6350</v>
      </c>
      <c r="C2931" t="s">
        <v>139</v>
      </c>
      <c r="D2931" t="s">
        <v>6772</v>
      </c>
      <c r="E2931" t="s">
        <v>6773</v>
      </c>
      <c r="F2931" t="s">
        <v>49</v>
      </c>
      <c r="G2931" t="s">
        <v>6774</v>
      </c>
      <c r="H2931" t="s">
        <v>6775</v>
      </c>
      <c r="J2931" t="str">
        <f>HYPERLINK("https://twitter.com/CarePaytm56902/status/1755838742492016743","https://twitter.com/CarePaytm56902/status/1755838742492016743")</f>
        <v>https://twitter.com/CarePaytm56902/status/1755838742492016743</v>
      </c>
      <c r="O2931">
        <v>0</v>
      </c>
      <c r="P2931">
        <v>0</v>
      </c>
      <c r="Q2931">
        <v>0</v>
      </c>
      <c r="R2931" t="s">
        <v>582</v>
      </c>
      <c r="S2931">
        <v>0</v>
      </c>
      <c r="T2931">
        <v>0</v>
      </c>
      <c r="U2931">
        <v>0</v>
      </c>
      <c r="W2931" t="s">
        <v>146</v>
      </c>
    </row>
    <row r="2932" spans="1:42" x14ac:dyDescent="0.35">
      <c r="A2932" t="s">
        <v>45</v>
      </c>
      <c r="B2932" t="s">
        <v>6350</v>
      </c>
      <c r="C2932" t="s">
        <v>58</v>
      </c>
      <c r="D2932" t="s">
        <v>277</v>
      </c>
      <c r="E2932" t="s">
        <v>277</v>
      </c>
      <c r="F2932" t="s">
        <v>49</v>
      </c>
      <c r="G2932" t="s">
        <v>296</v>
      </c>
      <c r="H2932" t="s">
        <v>6776</v>
      </c>
      <c r="J2932" t="str">
        <f>HYPERLINK("https://www.youtube.com/watch?v=n3kQsgUvu1k&amp;lc=Ugz1MICrDuUGAdmKwVJ4AaABAg.A-YkGA_mFpLA-_xgSPopbb","https://www.youtube.com/watch?v=n3kQsgUvu1k&amp;lc=Ugz1MICrDuUGAdmKwVJ4AaABAg.A-YkGA_mFpLA-_xgSPopbb")</f>
        <v>https://www.youtube.com/watch?v=n3kQsgUvu1k&amp;lc=Ugz1MICrDuUGAdmKwVJ4AaABAg.A-YkGA_mFpLA-_xgSPopbb</v>
      </c>
      <c r="O2932">
        <v>0</v>
      </c>
      <c r="P2932">
        <v>0</v>
      </c>
      <c r="Q2932">
        <v>0</v>
      </c>
      <c r="S2932">
        <v>0</v>
      </c>
      <c r="T2932">
        <v>0</v>
      </c>
      <c r="U2932">
        <v>0</v>
      </c>
      <c r="W2932" t="s">
        <v>62</v>
      </c>
    </row>
    <row r="2933" spans="1:42" x14ac:dyDescent="0.35">
      <c r="A2933" t="s">
        <v>45</v>
      </c>
      <c r="B2933" t="s">
        <v>6350</v>
      </c>
      <c r="C2933" t="s">
        <v>58</v>
      </c>
      <c r="D2933" t="s">
        <v>277</v>
      </c>
      <c r="E2933" t="s">
        <v>277</v>
      </c>
      <c r="F2933" t="s">
        <v>49</v>
      </c>
      <c r="G2933" t="s">
        <v>320</v>
      </c>
      <c r="H2933" t="s">
        <v>6777</v>
      </c>
      <c r="J2933" t="str">
        <f>HYPERLINK("https://www.youtube.com/watch?v=uIKLPIGHaTc&amp;lc=UgxneuM66WESwemiO054AaABAg.A-YkN_l2ezfA-_xdl9nC97","https://www.youtube.com/watch?v=uIKLPIGHaTc&amp;lc=UgxneuM66WESwemiO054AaABAg.A-YkN_l2ezfA-_xdl9nC97")</f>
        <v>https://www.youtube.com/watch?v=uIKLPIGHaTc&amp;lc=UgxneuM66WESwemiO054AaABAg.A-YkN_l2ezfA-_xdl9nC97</v>
      </c>
      <c r="O2933">
        <v>0</v>
      </c>
      <c r="P2933">
        <v>0</v>
      </c>
      <c r="Q2933">
        <v>0</v>
      </c>
      <c r="S2933">
        <v>0</v>
      </c>
      <c r="T2933">
        <v>0</v>
      </c>
      <c r="U2933">
        <v>0</v>
      </c>
      <c r="W2933" t="s">
        <v>62</v>
      </c>
    </row>
    <row r="2934" spans="1:42" x14ac:dyDescent="0.35">
      <c r="A2934" t="s">
        <v>45</v>
      </c>
      <c r="B2934" t="s">
        <v>6350</v>
      </c>
      <c r="C2934" t="s">
        <v>47</v>
      </c>
      <c r="D2934" t="s">
        <v>45</v>
      </c>
      <c r="E2934" t="s">
        <v>45</v>
      </c>
      <c r="F2934" t="s">
        <v>49</v>
      </c>
      <c r="G2934" t="s">
        <v>6778</v>
      </c>
      <c r="H2934" t="s">
        <v>6779</v>
      </c>
      <c r="J2934" t="str">
        <f>HYPERLINK("https://www.facebook.com/454965103328545/posts/750007137157672?comment_id=1086288285748006&amp;reply_comment_id=936475137830137","https://www.facebook.com/454965103328545/posts/750007137157672?comment_id=1086288285748006&amp;reply_comment_id=936475137830137")</f>
        <v>https://www.facebook.com/454965103328545/posts/750007137157672?comment_id=1086288285748006&amp;reply_comment_id=936475137830137</v>
      </c>
      <c r="O2934">
        <v>0</v>
      </c>
      <c r="P2934">
        <v>0</v>
      </c>
      <c r="Q2934">
        <v>0</v>
      </c>
      <c r="S2934">
        <v>0</v>
      </c>
      <c r="T2934">
        <v>0</v>
      </c>
      <c r="U2934">
        <v>0</v>
      </c>
      <c r="W2934" t="s">
        <v>62</v>
      </c>
      <c r="AP2934" t="s">
        <v>101</v>
      </c>
    </row>
    <row r="2935" spans="1:42" x14ac:dyDescent="0.35">
      <c r="A2935" t="s">
        <v>45</v>
      </c>
      <c r="B2935" t="s">
        <v>6350</v>
      </c>
      <c r="C2935" t="s">
        <v>47</v>
      </c>
      <c r="D2935" t="s">
        <v>45</v>
      </c>
      <c r="E2935" t="s">
        <v>45</v>
      </c>
      <c r="F2935" t="s">
        <v>49</v>
      </c>
      <c r="G2935" t="s">
        <v>6780</v>
      </c>
      <c r="H2935" t="s">
        <v>6781</v>
      </c>
      <c r="J2935" t="str">
        <f>HYPERLINK("https://www.facebook.com/357267201017935/inbox/5546515182093085/","https://www.facebook.com/357267201017935/inbox/5546515182093085/")</f>
        <v>https://www.facebook.com/357267201017935/inbox/5546515182093085/</v>
      </c>
      <c r="O2935">
        <v>0</v>
      </c>
      <c r="P2935">
        <v>0</v>
      </c>
      <c r="Q2935">
        <v>0</v>
      </c>
      <c r="S2935">
        <v>0</v>
      </c>
      <c r="T2935">
        <v>0</v>
      </c>
      <c r="U2935">
        <v>0</v>
      </c>
      <c r="W2935" t="s">
        <v>52</v>
      </c>
    </row>
    <row r="2936" spans="1:42" x14ac:dyDescent="0.35">
      <c r="A2936" t="s">
        <v>45</v>
      </c>
      <c r="B2936" t="s">
        <v>6350</v>
      </c>
      <c r="C2936" t="s">
        <v>47</v>
      </c>
      <c r="D2936" t="s">
        <v>6782</v>
      </c>
      <c r="E2936" t="s">
        <v>6782</v>
      </c>
      <c r="F2936" t="s">
        <v>49</v>
      </c>
      <c r="G2936" t="s">
        <v>6783</v>
      </c>
      <c r="H2936" t="s">
        <v>6784</v>
      </c>
      <c r="J2936" t="str">
        <f>HYPERLINK("https://www.facebook.com/454965103328545/posts/767562042068848?comment_id=407116551844083&amp;reply_comment_id=1081820842940767","https://www.facebook.com/454965103328545/posts/767562042068848?comment_id=407116551844083&amp;reply_comment_id=1081820842940767")</f>
        <v>https://www.facebook.com/454965103328545/posts/767562042068848?comment_id=407116551844083&amp;reply_comment_id=1081820842940767</v>
      </c>
      <c r="O2936">
        <v>0</v>
      </c>
      <c r="P2936">
        <v>0</v>
      </c>
      <c r="Q2936">
        <v>0</v>
      </c>
      <c r="S2936">
        <v>0</v>
      </c>
      <c r="T2936">
        <v>0</v>
      </c>
      <c r="U2936">
        <v>0</v>
      </c>
      <c r="W2936" t="s">
        <v>62</v>
      </c>
    </row>
    <row r="2937" spans="1:42" x14ac:dyDescent="0.35">
      <c r="A2937" t="s">
        <v>45</v>
      </c>
      <c r="B2937" t="s">
        <v>6350</v>
      </c>
      <c r="C2937" t="s">
        <v>47</v>
      </c>
      <c r="D2937" t="s">
        <v>45</v>
      </c>
      <c r="E2937" t="s">
        <v>45</v>
      </c>
      <c r="F2937" t="s">
        <v>49</v>
      </c>
      <c r="G2937" t="s">
        <v>6785</v>
      </c>
      <c r="H2937" t="s">
        <v>6786</v>
      </c>
      <c r="J2937" t="str">
        <f>HYPERLINK("https://www.facebook.com/454965103328545/posts/767562042068848?comment_id=6961641523961555&amp;reply_comment_id=400002962539302","https://www.facebook.com/454965103328545/posts/767562042068848?comment_id=6961641523961555&amp;reply_comment_id=400002962539302")</f>
        <v>https://www.facebook.com/454965103328545/posts/767562042068848?comment_id=6961641523961555&amp;reply_comment_id=400002962539302</v>
      </c>
      <c r="O2937">
        <v>0</v>
      </c>
      <c r="P2937">
        <v>0</v>
      </c>
      <c r="Q2937">
        <v>0</v>
      </c>
      <c r="S2937">
        <v>0</v>
      </c>
      <c r="T2937">
        <v>0</v>
      </c>
      <c r="U2937">
        <v>0</v>
      </c>
      <c r="W2937" t="s">
        <v>62</v>
      </c>
    </row>
    <row r="2938" spans="1:42" x14ac:dyDescent="0.35">
      <c r="A2938" t="s">
        <v>45</v>
      </c>
      <c r="B2938" t="s">
        <v>6350</v>
      </c>
      <c r="C2938" t="s">
        <v>47</v>
      </c>
      <c r="D2938" t="s">
        <v>45</v>
      </c>
      <c r="E2938" t="s">
        <v>45</v>
      </c>
      <c r="F2938" t="s">
        <v>49</v>
      </c>
      <c r="G2938" t="s">
        <v>3007</v>
      </c>
      <c r="H2938" t="s">
        <v>6787</v>
      </c>
      <c r="J2938" t="str">
        <f>HYPERLINK("https://www.facebook.com/454965103328545/posts/767562042068848?comment_id=1311910329479218&amp;reply_comment_id=376262488482889","https://www.facebook.com/454965103328545/posts/767562042068848?comment_id=1311910329479218&amp;reply_comment_id=376262488482889")</f>
        <v>https://www.facebook.com/454965103328545/posts/767562042068848?comment_id=1311910329479218&amp;reply_comment_id=376262488482889</v>
      </c>
      <c r="O2938">
        <v>0</v>
      </c>
      <c r="P2938">
        <v>0</v>
      </c>
      <c r="Q2938">
        <v>0</v>
      </c>
      <c r="S2938">
        <v>0</v>
      </c>
      <c r="T2938">
        <v>0</v>
      </c>
      <c r="U2938">
        <v>0</v>
      </c>
      <c r="W2938" t="s">
        <v>62</v>
      </c>
    </row>
    <row r="2939" spans="1:42" x14ac:dyDescent="0.35">
      <c r="A2939" t="s">
        <v>45</v>
      </c>
      <c r="B2939" t="s">
        <v>6350</v>
      </c>
      <c r="C2939" t="s">
        <v>47</v>
      </c>
      <c r="D2939" t="s">
        <v>45</v>
      </c>
      <c r="E2939" t="s">
        <v>45</v>
      </c>
      <c r="F2939" t="s">
        <v>49</v>
      </c>
      <c r="G2939" t="s">
        <v>6788</v>
      </c>
      <c r="H2939" t="s">
        <v>6789</v>
      </c>
      <c r="J2939" t="str">
        <f>HYPERLINK("https://www.facebook.com/357267201017935/inbox/7016511245093464/","https://www.facebook.com/357267201017935/inbox/7016511245093464/")</f>
        <v>https://www.facebook.com/357267201017935/inbox/7016511245093464/</v>
      </c>
      <c r="O2939">
        <v>0</v>
      </c>
      <c r="P2939">
        <v>0</v>
      </c>
      <c r="Q2939">
        <v>0</v>
      </c>
      <c r="S2939">
        <v>0</v>
      </c>
      <c r="T2939">
        <v>0</v>
      </c>
      <c r="U2939">
        <v>0</v>
      </c>
      <c r="W2939" t="s">
        <v>52</v>
      </c>
    </row>
    <row r="2940" spans="1:42" x14ac:dyDescent="0.35">
      <c r="A2940" t="s">
        <v>45</v>
      </c>
      <c r="B2940" t="s">
        <v>6350</v>
      </c>
      <c r="C2940" t="s">
        <v>47</v>
      </c>
      <c r="D2940" t="s">
        <v>45</v>
      </c>
      <c r="E2940" t="s">
        <v>45</v>
      </c>
      <c r="F2940" t="s">
        <v>49</v>
      </c>
      <c r="G2940" t="s">
        <v>6790</v>
      </c>
      <c r="H2940" t="s">
        <v>6791</v>
      </c>
      <c r="J2940" t="str">
        <f>HYPERLINK("https://www.facebook.com/454965103328545/posts/767562042068848?comment_id=407116551844083&amp;reply_comment_id=748831177178339","https://www.facebook.com/454965103328545/posts/767562042068848?comment_id=407116551844083&amp;reply_comment_id=748831177178339")</f>
        <v>https://www.facebook.com/454965103328545/posts/767562042068848?comment_id=407116551844083&amp;reply_comment_id=748831177178339</v>
      </c>
      <c r="O2940">
        <v>0</v>
      </c>
      <c r="P2940">
        <v>0</v>
      </c>
      <c r="Q2940">
        <v>0</v>
      </c>
      <c r="S2940">
        <v>0</v>
      </c>
      <c r="T2940">
        <v>0</v>
      </c>
      <c r="U2940">
        <v>0</v>
      </c>
      <c r="W2940" t="s">
        <v>62</v>
      </c>
    </row>
    <row r="2941" spans="1:42" x14ac:dyDescent="0.35">
      <c r="A2941" t="s">
        <v>45</v>
      </c>
      <c r="B2941" t="s">
        <v>6350</v>
      </c>
      <c r="C2941" t="s">
        <v>139</v>
      </c>
      <c r="D2941" t="s">
        <v>190</v>
      </c>
      <c r="E2941" t="s">
        <v>45</v>
      </c>
      <c r="F2941" t="s">
        <v>49</v>
      </c>
      <c r="G2941" t="s">
        <v>6792</v>
      </c>
      <c r="H2941" t="s">
        <v>6793</v>
      </c>
      <c r="J2941" t="str">
        <f>HYPERLINK("https://twitter.com/FinoPaymntsBank/status/1755836830849827175","https://twitter.com/FinoPaymntsBank/status/1755836830849827175")</f>
        <v>https://twitter.com/FinoPaymntsBank/status/1755836830849827175</v>
      </c>
      <c r="K2941" t="s">
        <v>145</v>
      </c>
      <c r="O2941">
        <v>0</v>
      </c>
      <c r="P2941">
        <v>0</v>
      </c>
      <c r="Q2941">
        <v>8370</v>
      </c>
      <c r="R2941" t="s">
        <v>193</v>
      </c>
      <c r="S2941">
        <v>0</v>
      </c>
      <c r="T2941">
        <v>0</v>
      </c>
      <c r="U2941">
        <v>0</v>
      </c>
      <c r="W2941" t="s">
        <v>146</v>
      </c>
    </row>
    <row r="2942" spans="1:42" x14ac:dyDescent="0.35">
      <c r="A2942" t="s">
        <v>45</v>
      </c>
      <c r="B2942" t="s">
        <v>6350</v>
      </c>
      <c r="C2942" t="s">
        <v>47</v>
      </c>
      <c r="D2942" t="s">
        <v>45</v>
      </c>
      <c r="E2942" t="s">
        <v>45</v>
      </c>
      <c r="F2942" t="s">
        <v>49</v>
      </c>
      <c r="G2942" t="s">
        <v>6794</v>
      </c>
      <c r="H2942" t="s">
        <v>6795</v>
      </c>
      <c r="J2942" t="str">
        <f>HYPERLINK("https://www.facebook.com/454965103328545/posts/763871475771238?comment_id=355582360731985&amp;reply_comment_id=1698376494024536","https://www.facebook.com/454965103328545/posts/763871475771238?comment_id=355582360731985&amp;reply_comment_id=1698376494024536")</f>
        <v>https://www.facebook.com/454965103328545/posts/763871475771238?comment_id=355582360731985&amp;reply_comment_id=1698376494024536</v>
      </c>
      <c r="O2942">
        <v>0</v>
      </c>
      <c r="P2942">
        <v>0</v>
      </c>
      <c r="Q2942">
        <v>0</v>
      </c>
      <c r="S2942">
        <v>0</v>
      </c>
      <c r="T2942">
        <v>0</v>
      </c>
      <c r="U2942">
        <v>0</v>
      </c>
      <c r="W2942" t="s">
        <v>62</v>
      </c>
    </row>
    <row r="2943" spans="1:42" x14ac:dyDescent="0.35">
      <c r="A2943" t="s">
        <v>45</v>
      </c>
      <c r="B2943" t="s">
        <v>6350</v>
      </c>
      <c r="C2943" t="s">
        <v>47</v>
      </c>
      <c r="D2943" t="s">
        <v>5510</v>
      </c>
      <c r="E2943" t="s">
        <v>5510</v>
      </c>
      <c r="F2943" t="s">
        <v>49</v>
      </c>
      <c r="G2943" t="s">
        <v>6796</v>
      </c>
      <c r="H2943" t="s">
        <v>6797</v>
      </c>
      <c r="J2943" t="str">
        <f>HYPERLINK("https://www.facebook.com/357267201017935/inbox/7019533061457949/","https://www.facebook.com/357267201017935/inbox/7019533061457949/")</f>
        <v>https://www.facebook.com/357267201017935/inbox/7019533061457949/</v>
      </c>
      <c r="O2943">
        <v>0</v>
      </c>
      <c r="P2943">
        <v>0</v>
      </c>
      <c r="Q2943">
        <v>0</v>
      </c>
      <c r="S2943">
        <v>0</v>
      </c>
      <c r="T2943">
        <v>0</v>
      </c>
      <c r="U2943">
        <v>0</v>
      </c>
      <c r="W2943" t="s">
        <v>52</v>
      </c>
    </row>
    <row r="2944" spans="1:42" x14ac:dyDescent="0.35">
      <c r="A2944" t="s">
        <v>45</v>
      </c>
      <c r="B2944" t="s">
        <v>6350</v>
      </c>
      <c r="C2944" t="s">
        <v>47</v>
      </c>
      <c r="D2944" t="s">
        <v>6798</v>
      </c>
      <c r="E2944" t="s">
        <v>6798</v>
      </c>
      <c r="F2944" t="s">
        <v>49</v>
      </c>
      <c r="G2944" t="s">
        <v>373</v>
      </c>
      <c r="H2944" t="s">
        <v>6799</v>
      </c>
      <c r="J2944" t="str">
        <f>HYPERLINK("https://www.facebook.com/357267201017935/inbox/7019726848105237/","https://www.facebook.com/357267201017935/inbox/7019726848105237/")</f>
        <v>https://www.facebook.com/357267201017935/inbox/7019726848105237/</v>
      </c>
      <c r="O2944">
        <v>0</v>
      </c>
      <c r="P2944">
        <v>0</v>
      </c>
      <c r="Q2944">
        <v>0</v>
      </c>
      <c r="S2944">
        <v>0</v>
      </c>
      <c r="T2944">
        <v>0</v>
      </c>
      <c r="U2944">
        <v>0</v>
      </c>
      <c r="W2944" t="s">
        <v>52</v>
      </c>
    </row>
    <row r="2945" spans="1:42" x14ac:dyDescent="0.35">
      <c r="A2945" t="s">
        <v>45</v>
      </c>
      <c r="B2945" t="s">
        <v>6350</v>
      </c>
      <c r="C2945" t="s">
        <v>47</v>
      </c>
      <c r="D2945" t="s">
        <v>45</v>
      </c>
      <c r="E2945" t="s">
        <v>45</v>
      </c>
      <c r="F2945" t="s">
        <v>49</v>
      </c>
      <c r="G2945" t="s">
        <v>6800</v>
      </c>
      <c r="H2945" t="s">
        <v>6801</v>
      </c>
      <c r="J2945" t="str">
        <f>HYPERLINK("https://www.facebook.com/454965103328545/posts/750007137157672?comment_id=409461948113196&amp;reply_comment_id=247387578412329","https://www.facebook.com/454965103328545/posts/750007137157672?comment_id=409461948113196&amp;reply_comment_id=247387578412329")</f>
        <v>https://www.facebook.com/454965103328545/posts/750007137157672?comment_id=409461948113196&amp;reply_comment_id=247387578412329</v>
      </c>
      <c r="O2945">
        <v>0</v>
      </c>
      <c r="P2945">
        <v>0</v>
      </c>
      <c r="Q2945">
        <v>0</v>
      </c>
      <c r="S2945">
        <v>0</v>
      </c>
      <c r="T2945">
        <v>0</v>
      </c>
      <c r="U2945">
        <v>0</v>
      </c>
      <c r="W2945" t="s">
        <v>62</v>
      </c>
      <c r="AP2945" t="s">
        <v>147</v>
      </c>
    </row>
    <row r="2946" spans="1:42" x14ac:dyDescent="0.35">
      <c r="A2946" t="s">
        <v>45</v>
      </c>
      <c r="B2946" t="s">
        <v>6350</v>
      </c>
      <c r="C2946" t="s">
        <v>47</v>
      </c>
      <c r="D2946" t="s">
        <v>45</v>
      </c>
      <c r="E2946" t="s">
        <v>45</v>
      </c>
      <c r="F2946" t="s">
        <v>49</v>
      </c>
      <c r="G2946" t="s">
        <v>6744</v>
      </c>
      <c r="H2946" t="s">
        <v>6802</v>
      </c>
      <c r="J2946" t="str">
        <f>HYPERLINK("https://www.facebook.com/454965103328545/posts/767562042068848?comment_id=1097870211539367&amp;reply_comment_id=710884677543609","https://www.facebook.com/454965103328545/posts/767562042068848?comment_id=1097870211539367&amp;reply_comment_id=710884677543609")</f>
        <v>https://www.facebook.com/454965103328545/posts/767562042068848?comment_id=1097870211539367&amp;reply_comment_id=710884677543609</v>
      </c>
      <c r="O2946">
        <v>0</v>
      </c>
      <c r="P2946">
        <v>0</v>
      </c>
      <c r="Q2946">
        <v>0</v>
      </c>
      <c r="S2946">
        <v>0</v>
      </c>
      <c r="T2946">
        <v>0</v>
      </c>
      <c r="U2946">
        <v>0</v>
      </c>
      <c r="W2946" t="s">
        <v>62</v>
      </c>
    </row>
    <row r="2947" spans="1:42" x14ac:dyDescent="0.35">
      <c r="A2947" t="s">
        <v>45</v>
      </c>
      <c r="B2947" t="s">
        <v>6350</v>
      </c>
      <c r="C2947" t="s">
        <v>47</v>
      </c>
      <c r="D2947" t="s">
        <v>45</v>
      </c>
      <c r="E2947" t="s">
        <v>45</v>
      </c>
      <c r="F2947" t="s">
        <v>49</v>
      </c>
      <c r="G2947" t="s">
        <v>6803</v>
      </c>
      <c r="H2947" t="s">
        <v>6804</v>
      </c>
      <c r="J2947" t="str">
        <f>HYPERLINK("https://www.facebook.com/357267201017935/inbox/7017579191653336/","https://www.facebook.com/357267201017935/inbox/7017579191653336/")</f>
        <v>https://www.facebook.com/357267201017935/inbox/7017579191653336/</v>
      </c>
      <c r="O2947">
        <v>0</v>
      </c>
      <c r="P2947">
        <v>0</v>
      </c>
      <c r="Q2947">
        <v>0</v>
      </c>
      <c r="S2947">
        <v>0</v>
      </c>
      <c r="T2947">
        <v>0</v>
      </c>
      <c r="U2947">
        <v>0</v>
      </c>
      <c r="W2947" t="s">
        <v>52</v>
      </c>
    </row>
    <row r="2948" spans="1:42" x14ac:dyDescent="0.35">
      <c r="A2948" t="s">
        <v>45</v>
      </c>
      <c r="B2948" t="s">
        <v>6350</v>
      </c>
      <c r="C2948" t="s">
        <v>47</v>
      </c>
      <c r="D2948" t="s">
        <v>45</v>
      </c>
      <c r="E2948" t="s">
        <v>45</v>
      </c>
      <c r="F2948" t="s">
        <v>49</v>
      </c>
      <c r="G2948" t="s">
        <v>6803</v>
      </c>
      <c r="H2948" t="s">
        <v>6805</v>
      </c>
      <c r="J2948" t="str">
        <f>HYPERLINK("https://www.facebook.com/357267201017935/inbox/7017579191653336/","https://www.facebook.com/357267201017935/inbox/7017579191653336/")</f>
        <v>https://www.facebook.com/357267201017935/inbox/7017579191653336/</v>
      </c>
      <c r="O2948">
        <v>0</v>
      </c>
      <c r="P2948">
        <v>0</v>
      </c>
      <c r="Q2948">
        <v>0</v>
      </c>
      <c r="S2948">
        <v>0</v>
      </c>
      <c r="T2948">
        <v>0</v>
      </c>
      <c r="U2948">
        <v>0</v>
      </c>
      <c r="W2948" t="s">
        <v>52</v>
      </c>
    </row>
    <row r="2949" spans="1:42" x14ac:dyDescent="0.35">
      <c r="A2949" t="s">
        <v>45</v>
      </c>
      <c r="B2949" t="s">
        <v>6350</v>
      </c>
      <c r="C2949" t="s">
        <v>47</v>
      </c>
      <c r="D2949" t="s">
        <v>45</v>
      </c>
      <c r="E2949" t="s">
        <v>45</v>
      </c>
      <c r="F2949" t="s">
        <v>49</v>
      </c>
      <c r="G2949" t="s">
        <v>6806</v>
      </c>
      <c r="H2949" t="s">
        <v>6807</v>
      </c>
      <c r="J2949" t="str">
        <f>HYPERLINK("https://www.facebook.com/357267201017935/inbox/7017833418294580/","https://www.facebook.com/357267201017935/inbox/7017833418294580/")</f>
        <v>https://www.facebook.com/357267201017935/inbox/7017833418294580/</v>
      </c>
      <c r="O2949">
        <v>0</v>
      </c>
      <c r="P2949">
        <v>0</v>
      </c>
      <c r="Q2949">
        <v>0</v>
      </c>
      <c r="S2949">
        <v>0</v>
      </c>
      <c r="T2949">
        <v>0</v>
      </c>
      <c r="U2949">
        <v>0</v>
      </c>
      <c r="W2949" t="s">
        <v>52</v>
      </c>
    </row>
    <row r="2950" spans="1:42" x14ac:dyDescent="0.35">
      <c r="A2950" t="s">
        <v>45</v>
      </c>
      <c r="B2950" t="s">
        <v>6350</v>
      </c>
      <c r="C2950" t="s">
        <v>139</v>
      </c>
      <c r="D2950" t="s">
        <v>190</v>
      </c>
      <c r="E2950" t="s">
        <v>45</v>
      </c>
      <c r="F2950" t="s">
        <v>49</v>
      </c>
      <c r="G2950" t="s">
        <v>6808</v>
      </c>
      <c r="H2950" t="s">
        <v>6809</v>
      </c>
      <c r="J2950" t="str">
        <f>HYPERLINK("https://twitter.com/FinoPaymntsBank/status/1755834425227755761","https://twitter.com/FinoPaymntsBank/status/1755834425227755761")</f>
        <v>https://twitter.com/FinoPaymntsBank/status/1755834425227755761</v>
      </c>
      <c r="K2950" t="s">
        <v>1994</v>
      </c>
      <c r="O2950">
        <v>0</v>
      </c>
      <c r="P2950">
        <v>0</v>
      </c>
      <c r="Q2950">
        <v>8370</v>
      </c>
      <c r="R2950" t="s">
        <v>193</v>
      </c>
      <c r="S2950">
        <v>0</v>
      </c>
      <c r="T2950">
        <v>0</v>
      </c>
      <c r="U2950">
        <v>0</v>
      </c>
      <c r="W2950" t="s">
        <v>52</v>
      </c>
    </row>
    <row r="2951" spans="1:42" x14ac:dyDescent="0.35">
      <c r="A2951" t="s">
        <v>45</v>
      </c>
      <c r="B2951" t="s">
        <v>6350</v>
      </c>
      <c r="C2951" t="s">
        <v>47</v>
      </c>
      <c r="D2951" t="s">
        <v>45</v>
      </c>
      <c r="E2951" t="s">
        <v>45</v>
      </c>
      <c r="F2951" t="s">
        <v>49</v>
      </c>
      <c r="G2951" t="s">
        <v>6810</v>
      </c>
      <c r="H2951" t="s">
        <v>6811</v>
      </c>
      <c r="J2951" t="str">
        <f>HYPERLINK("https://www.facebook.com/454965103328545/videos/3697954183759550?comment_id=411305151356232&amp;reply_comment_id=7760635377299287","https://www.facebook.com/454965103328545/videos/3697954183759550?comment_id=411305151356232&amp;reply_comment_id=7760635377299287")</f>
        <v>https://www.facebook.com/454965103328545/videos/3697954183759550?comment_id=411305151356232&amp;reply_comment_id=7760635377299287</v>
      </c>
      <c r="O2951">
        <v>0</v>
      </c>
      <c r="P2951">
        <v>0</v>
      </c>
      <c r="Q2951">
        <v>0</v>
      </c>
      <c r="S2951">
        <v>0</v>
      </c>
      <c r="T2951">
        <v>0</v>
      </c>
      <c r="U2951">
        <v>0</v>
      </c>
      <c r="W2951" t="s">
        <v>62</v>
      </c>
    </row>
    <row r="2952" spans="1:42" x14ac:dyDescent="0.35">
      <c r="A2952" t="s">
        <v>45</v>
      </c>
      <c r="B2952" t="s">
        <v>6350</v>
      </c>
      <c r="C2952" t="s">
        <v>47</v>
      </c>
      <c r="D2952" t="s">
        <v>45</v>
      </c>
      <c r="E2952" t="s">
        <v>45</v>
      </c>
      <c r="F2952" t="s">
        <v>49</v>
      </c>
      <c r="G2952" t="s">
        <v>6812</v>
      </c>
      <c r="H2952" t="s">
        <v>6813</v>
      </c>
      <c r="J2952" t="str">
        <f>HYPERLINK("https://www.facebook.com/357267201017935/inbox/7019533061457949/","https://www.facebook.com/357267201017935/inbox/7019533061457949/")</f>
        <v>https://www.facebook.com/357267201017935/inbox/7019533061457949/</v>
      </c>
      <c r="O2952">
        <v>0</v>
      </c>
      <c r="P2952">
        <v>0</v>
      </c>
      <c r="Q2952">
        <v>0</v>
      </c>
      <c r="S2952">
        <v>0</v>
      </c>
      <c r="T2952">
        <v>0</v>
      </c>
      <c r="U2952">
        <v>0</v>
      </c>
      <c r="W2952" t="s">
        <v>52</v>
      </c>
    </row>
    <row r="2953" spans="1:42" x14ac:dyDescent="0.35">
      <c r="A2953" t="s">
        <v>45</v>
      </c>
      <c r="B2953" t="s">
        <v>6350</v>
      </c>
      <c r="C2953" t="s">
        <v>47</v>
      </c>
      <c r="D2953" t="s">
        <v>6814</v>
      </c>
      <c r="E2953" t="s">
        <v>6814</v>
      </c>
      <c r="F2953" t="s">
        <v>49</v>
      </c>
      <c r="H2953" t="s">
        <v>6815</v>
      </c>
      <c r="J2953" t="str">
        <f>HYPERLINK("https://www.facebook.com/454965103328545/posts/755939476564438?comment_id=815510337002478","https://www.facebook.com/454965103328545/posts/755939476564438?comment_id=815510337002478")</f>
        <v>https://www.facebook.com/454965103328545/posts/755939476564438?comment_id=815510337002478</v>
      </c>
      <c r="O2953">
        <v>0</v>
      </c>
      <c r="P2953">
        <v>0</v>
      </c>
      <c r="Q2953">
        <v>0</v>
      </c>
      <c r="S2953">
        <v>0</v>
      </c>
      <c r="T2953">
        <v>0</v>
      </c>
      <c r="U2953">
        <v>0</v>
      </c>
      <c r="W2953" t="s">
        <v>62</v>
      </c>
    </row>
    <row r="2954" spans="1:42" x14ac:dyDescent="0.35">
      <c r="A2954" t="s">
        <v>45</v>
      </c>
      <c r="B2954" t="s">
        <v>6350</v>
      </c>
      <c r="C2954" t="s">
        <v>47</v>
      </c>
      <c r="D2954" t="s">
        <v>6816</v>
      </c>
      <c r="E2954" t="s">
        <v>6816</v>
      </c>
      <c r="F2954" t="s">
        <v>49</v>
      </c>
      <c r="G2954" t="s">
        <v>253</v>
      </c>
      <c r="H2954" t="s">
        <v>6817</v>
      </c>
      <c r="J2954" t="str">
        <f>HYPERLINK("https://www.facebook.com/357267201017935/inbox/7019625188115403/","https://www.facebook.com/357267201017935/inbox/7019625188115403/")</f>
        <v>https://www.facebook.com/357267201017935/inbox/7019625188115403/</v>
      </c>
      <c r="O2954">
        <v>0</v>
      </c>
      <c r="P2954">
        <v>0</v>
      </c>
      <c r="Q2954">
        <v>0</v>
      </c>
      <c r="S2954">
        <v>0</v>
      </c>
      <c r="T2954">
        <v>0</v>
      </c>
      <c r="U2954">
        <v>0</v>
      </c>
      <c r="W2954" t="s">
        <v>52</v>
      </c>
    </row>
    <row r="2955" spans="1:42" x14ac:dyDescent="0.35">
      <c r="A2955" t="s">
        <v>45</v>
      </c>
      <c r="B2955" t="s">
        <v>6350</v>
      </c>
      <c r="C2955" t="s">
        <v>47</v>
      </c>
      <c r="D2955" t="s">
        <v>6816</v>
      </c>
      <c r="E2955" t="s">
        <v>6816</v>
      </c>
      <c r="F2955" t="s">
        <v>49</v>
      </c>
      <c r="G2955" t="s">
        <v>6818</v>
      </c>
      <c r="H2955" t="s">
        <v>6819</v>
      </c>
      <c r="J2955" t="str">
        <f>HYPERLINK("https://www.facebook.com/357267201017935/inbox/7019625188115403/","https://www.facebook.com/357267201017935/inbox/7019625188115403/")</f>
        <v>https://www.facebook.com/357267201017935/inbox/7019625188115403/</v>
      </c>
      <c r="O2955">
        <v>0</v>
      </c>
      <c r="P2955">
        <v>0</v>
      </c>
      <c r="Q2955">
        <v>0</v>
      </c>
      <c r="S2955">
        <v>0</v>
      </c>
      <c r="T2955">
        <v>0</v>
      </c>
      <c r="U2955">
        <v>0</v>
      </c>
      <c r="W2955" t="s">
        <v>52</v>
      </c>
    </row>
    <row r="2956" spans="1:42" x14ac:dyDescent="0.35">
      <c r="A2956" t="s">
        <v>45</v>
      </c>
      <c r="B2956" t="s">
        <v>6350</v>
      </c>
      <c r="C2956" t="s">
        <v>47</v>
      </c>
      <c r="D2956" t="s">
        <v>6816</v>
      </c>
      <c r="E2956" t="s">
        <v>6816</v>
      </c>
      <c r="F2956" t="s">
        <v>49</v>
      </c>
      <c r="G2956" t="s">
        <v>253</v>
      </c>
      <c r="H2956" t="s">
        <v>6820</v>
      </c>
      <c r="J2956" t="str">
        <f>HYPERLINK("https://www.facebook.com/357267201017935/inbox/7019625188115403/","https://www.facebook.com/357267201017935/inbox/7019625188115403/")</f>
        <v>https://www.facebook.com/357267201017935/inbox/7019625188115403/</v>
      </c>
      <c r="O2956">
        <v>0</v>
      </c>
      <c r="P2956">
        <v>0</v>
      </c>
      <c r="Q2956">
        <v>0</v>
      </c>
      <c r="S2956">
        <v>0</v>
      </c>
      <c r="T2956">
        <v>0</v>
      </c>
      <c r="U2956">
        <v>0</v>
      </c>
      <c r="W2956" t="s">
        <v>52</v>
      </c>
    </row>
    <row r="2957" spans="1:42" x14ac:dyDescent="0.35">
      <c r="A2957" t="s">
        <v>45</v>
      </c>
      <c r="B2957" t="s">
        <v>6350</v>
      </c>
      <c r="C2957" t="s">
        <v>47</v>
      </c>
      <c r="D2957" t="s">
        <v>6816</v>
      </c>
      <c r="E2957" t="s">
        <v>6816</v>
      </c>
      <c r="F2957" t="s">
        <v>49</v>
      </c>
      <c r="G2957" t="s">
        <v>6821</v>
      </c>
      <c r="H2957" t="s">
        <v>6822</v>
      </c>
      <c r="J2957" t="str">
        <f>HYPERLINK("https://www.facebook.com/FinoPaymentsBank/photos/p.3483172385094052/3483172385094052/?type=3&amp;comment_id=928922828762469","https://www.facebook.com/FinoPaymentsBank/photos/p.3483172385094052/3483172385094052/?type=3&amp;comment_id=928922828762469")</f>
        <v>https://www.facebook.com/FinoPaymentsBank/photos/p.3483172385094052/3483172385094052/?type=3&amp;comment_id=928922828762469</v>
      </c>
      <c r="O2957">
        <v>0</v>
      </c>
      <c r="P2957">
        <v>0</v>
      </c>
      <c r="Q2957">
        <v>0</v>
      </c>
      <c r="S2957">
        <v>0</v>
      </c>
      <c r="T2957">
        <v>0</v>
      </c>
      <c r="U2957">
        <v>0</v>
      </c>
      <c r="W2957" t="s">
        <v>62</v>
      </c>
    </row>
    <row r="2958" spans="1:42" x14ac:dyDescent="0.35">
      <c r="A2958" t="s">
        <v>45</v>
      </c>
      <c r="B2958" t="s">
        <v>6350</v>
      </c>
      <c r="C2958" t="s">
        <v>47</v>
      </c>
      <c r="D2958" t="s">
        <v>6816</v>
      </c>
      <c r="E2958" t="s">
        <v>6816</v>
      </c>
      <c r="F2958" t="s">
        <v>49</v>
      </c>
      <c r="G2958" t="s">
        <v>6821</v>
      </c>
      <c r="H2958" t="s">
        <v>6823</v>
      </c>
      <c r="J2958" t="str">
        <f>HYPERLINK("https://www.facebook.com/FinoPaymentsBank/photos/p.3483172385094052/3483172385094052/?type=3&amp;comment_id=1103632010984480","https://www.facebook.com/FinoPaymentsBank/photos/p.3483172385094052/3483172385094052/?type=3&amp;comment_id=1103632010984480")</f>
        <v>https://www.facebook.com/FinoPaymentsBank/photos/p.3483172385094052/3483172385094052/?type=3&amp;comment_id=1103632010984480</v>
      </c>
      <c r="O2958">
        <v>0</v>
      </c>
      <c r="P2958">
        <v>0</v>
      </c>
      <c r="Q2958">
        <v>0</v>
      </c>
      <c r="S2958">
        <v>0</v>
      </c>
      <c r="T2958">
        <v>0</v>
      </c>
      <c r="U2958">
        <v>0</v>
      </c>
      <c r="W2958" t="s">
        <v>62</v>
      </c>
    </row>
    <row r="2959" spans="1:42" x14ac:dyDescent="0.35">
      <c r="A2959" t="s">
        <v>45</v>
      </c>
      <c r="B2959" t="s">
        <v>6350</v>
      </c>
      <c r="C2959" t="s">
        <v>139</v>
      </c>
      <c r="D2959" t="s">
        <v>6824</v>
      </c>
      <c r="E2959" t="s">
        <v>6825</v>
      </c>
      <c r="F2959" t="s">
        <v>49</v>
      </c>
      <c r="G2959" t="s">
        <v>6826</v>
      </c>
      <c r="H2959" t="s">
        <v>6827</v>
      </c>
      <c r="J2959" t="str">
        <f>HYPERLINK("https://twitter.com/Airtel224/status/1755822491228885377","https://twitter.com/Airtel224/status/1755822491228885377")</f>
        <v>https://twitter.com/Airtel224/status/1755822491228885377</v>
      </c>
      <c r="K2959" t="s">
        <v>145</v>
      </c>
      <c r="O2959">
        <v>0</v>
      </c>
      <c r="P2959">
        <v>0</v>
      </c>
      <c r="Q2959">
        <v>2</v>
      </c>
      <c r="S2959">
        <v>0</v>
      </c>
      <c r="T2959">
        <v>0</v>
      </c>
      <c r="U2959">
        <v>0</v>
      </c>
      <c r="W2959" t="s">
        <v>146</v>
      </c>
    </row>
    <row r="2960" spans="1:42" x14ac:dyDescent="0.35">
      <c r="A2960" t="s">
        <v>45</v>
      </c>
      <c r="B2960" t="s">
        <v>6350</v>
      </c>
      <c r="C2960" t="s">
        <v>47</v>
      </c>
      <c r="D2960" t="s">
        <v>136</v>
      </c>
      <c r="E2960" t="s">
        <v>136</v>
      </c>
      <c r="F2960" t="s">
        <v>49</v>
      </c>
      <c r="G2960" t="s">
        <v>6828</v>
      </c>
      <c r="H2960" t="s">
        <v>6829</v>
      </c>
      <c r="J2960" t="str">
        <f>HYPERLINK("https://www.facebook.com/454965103328545/posts/755939476564438?comment_id=363566956543655","https://www.facebook.com/454965103328545/posts/755939476564438?comment_id=363566956543655")</f>
        <v>https://www.facebook.com/454965103328545/posts/755939476564438?comment_id=363566956543655</v>
      </c>
      <c r="O2960">
        <v>0</v>
      </c>
      <c r="P2960">
        <v>0</v>
      </c>
      <c r="Q2960">
        <v>0</v>
      </c>
      <c r="S2960">
        <v>0</v>
      </c>
      <c r="T2960">
        <v>0</v>
      </c>
      <c r="U2960">
        <v>0</v>
      </c>
      <c r="W2960" t="s">
        <v>62</v>
      </c>
    </row>
    <row r="2961" spans="1:45" x14ac:dyDescent="0.35">
      <c r="A2961" t="s">
        <v>45</v>
      </c>
      <c r="B2961" t="s">
        <v>6350</v>
      </c>
      <c r="C2961" t="s">
        <v>47</v>
      </c>
      <c r="D2961" t="s">
        <v>5510</v>
      </c>
      <c r="E2961" t="s">
        <v>5510</v>
      </c>
      <c r="F2961" t="s">
        <v>49</v>
      </c>
      <c r="G2961" t="s">
        <v>6830</v>
      </c>
      <c r="H2961" t="s">
        <v>6831</v>
      </c>
      <c r="J2961" t="str">
        <f>HYPERLINK("https://www.facebook.com/357267201017935/inbox/7019533061457949/","https://www.facebook.com/357267201017935/inbox/7019533061457949/")</f>
        <v>https://www.facebook.com/357267201017935/inbox/7019533061457949/</v>
      </c>
      <c r="O2961">
        <v>0</v>
      </c>
      <c r="P2961">
        <v>0</v>
      </c>
      <c r="Q2961">
        <v>0</v>
      </c>
      <c r="S2961">
        <v>0</v>
      </c>
      <c r="T2961">
        <v>0</v>
      </c>
      <c r="U2961">
        <v>0</v>
      </c>
      <c r="W2961" t="s">
        <v>52</v>
      </c>
      <c r="AS2961" t="s">
        <v>375</v>
      </c>
    </row>
    <row r="2962" spans="1:45" x14ac:dyDescent="0.35">
      <c r="A2962" t="s">
        <v>45</v>
      </c>
      <c r="B2962" t="s">
        <v>6350</v>
      </c>
      <c r="C2962" t="s">
        <v>47</v>
      </c>
      <c r="D2962" t="s">
        <v>5510</v>
      </c>
      <c r="E2962" t="s">
        <v>5510</v>
      </c>
      <c r="F2962" t="s">
        <v>49</v>
      </c>
      <c r="G2962" t="s">
        <v>253</v>
      </c>
      <c r="H2962" t="s">
        <v>6832</v>
      </c>
      <c r="J2962" t="str">
        <f>HYPERLINK("https://www.facebook.com/357267201017935/inbox/7019533061457949/","https://www.facebook.com/357267201017935/inbox/7019533061457949/")</f>
        <v>https://www.facebook.com/357267201017935/inbox/7019533061457949/</v>
      </c>
      <c r="O2962">
        <v>0</v>
      </c>
      <c r="P2962">
        <v>0</v>
      </c>
      <c r="Q2962">
        <v>0</v>
      </c>
      <c r="S2962">
        <v>0</v>
      </c>
      <c r="T2962">
        <v>0</v>
      </c>
      <c r="U2962">
        <v>0</v>
      </c>
      <c r="W2962" t="s">
        <v>52</v>
      </c>
    </row>
    <row r="2963" spans="1:45" x14ac:dyDescent="0.35">
      <c r="A2963" t="s">
        <v>45</v>
      </c>
      <c r="B2963" t="s">
        <v>6350</v>
      </c>
      <c r="C2963" t="s">
        <v>47</v>
      </c>
      <c r="D2963" t="s">
        <v>5510</v>
      </c>
      <c r="E2963" t="s">
        <v>5510</v>
      </c>
      <c r="F2963" t="s">
        <v>49</v>
      </c>
      <c r="G2963" t="s">
        <v>6833</v>
      </c>
      <c r="H2963" t="s">
        <v>6834</v>
      </c>
      <c r="J2963" t="str">
        <f>HYPERLINK("https://www.facebook.com/454965103328545/posts/763871475771238?comment_id=933298904913819","https://www.facebook.com/454965103328545/posts/763871475771238?comment_id=933298904913819")</f>
        <v>https://www.facebook.com/454965103328545/posts/763871475771238?comment_id=933298904913819</v>
      </c>
      <c r="O2963">
        <v>0</v>
      </c>
      <c r="P2963">
        <v>0</v>
      </c>
      <c r="Q2963">
        <v>0</v>
      </c>
      <c r="S2963">
        <v>0</v>
      </c>
      <c r="T2963">
        <v>0</v>
      </c>
      <c r="U2963">
        <v>0</v>
      </c>
      <c r="W2963" t="s">
        <v>62</v>
      </c>
    </row>
    <row r="2964" spans="1:45" x14ac:dyDescent="0.35">
      <c r="A2964" t="s">
        <v>45</v>
      </c>
      <c r="B2964" t="s">
        <v>6350</v>
      </c>
      <c r="C2964" t="s">
        <v>47</v>
      </c>
      <c r="D2964" t="s">
        <v>5510</v>
      </c>
      <c r="E2964" t="s">
        <v>5510</v>
      </c>
      <c r="F2964" t="s">
        <v>49</v>
      </c>
      <c r="G2964" t="s">
        <v>6835</v>
      </c>
      <c r="H2964" t="s">
        <v>6836</v>
      </c>
      <c r="J2964" t="str">
        <f>HYPERLINK("https://www.facebook.com/454965103328545/videos/3697954183759550?comment_id=411305151356232","https://www.facebook.com/454965103328545/videos/3697954183759550?comment_id=411305151356232")</f>
        <v>https://www.facebook.com/454965103328545/videos/3697954183759550?comment_id=411305151356232</v>
      </c>
      <c r="O2964">
        <v>0</v>
      </c>
      <c r="P2964">
        <v>0</v>
      </c>
      <c r="Q2964">
        <v>0</v>
      </c>
      <c r="S2964">
        <v>0</v>
      </c>
      <c r="T2964">
        <v>0</v>
      </c>
      <c r="U2964">
        <v>0</v>
      </c>
      <c r="W2964" t="s">
        <v>62</v>
      </c>
      <c r="AP2964" t="s">
        <v>147</v>
      </c>
      <c r="AS2964" t="s">
        <v>375</v>
      </c>
    </row>
    <row r="2965" spans="1:45" x14ac:dyDescent="0.35">
      <c r="A2965" t="s">
        <v>45</v>
      </c>
      <c r="B2965" t="s">
        <v>6350</v>
      </c>
      <c r="C2965" t="s">
        <v>47</v>
      </c>
      <c r="D2965" t="s">
        <v>5510</v>
      </c>
      <c r="E2965" t="s">
        <v>5510</v>
      </c>
      <c r="F2965" t="s">
        <v>49</v>
      </c>
      <c r="G2965" t="s">
        <v>6837</v>
      </c>
      <c r="H2965" t="s">
        <v>6838</v>
      </c>
      <c r="J2965" t="str">
        <f>HYPERLINK("https://www.facebook.com/454965103328545/posts/764462805712105?comment_id=730951695770070","https://www.facebook.com/454965103328545/posts/764462805712105?comment_id=730951695770070")</f>
        <v>https://www.facebook.com/454965103328545/posts/764462805712105?comment_id=730951695770070</v>
      </c>
      <c r="O2965">
        <v>0</v>
      </c>
      <c r="P2965">
        <v>0</v>
      </c>
      <c r="Q2965">
        <v>0</v>
      </c>
      <c r="S2965">
        <v>0</v>
      </c>
      <c r="T2965">
        <v>0</v>
      </c>
      <c r="U2965">
        <v>0</v>
      </c>
      <c r="W2965" t="s">
        <v>62</v>
      </c>
    </row>
    <row r="2966" spans="1:45" x14ac:dyDescent="0.35">
      <c r="A2966" t="s">
        <v>45</v>
      </c>
      <c r="B2966" t="s">
        <v>6350</v>
      </c>
      <c r="C2966" t="s">
        <v>47</v>
      </c>
      <c r="D2966" t="s">
        <v>5510</v>
      </c>
      <c r="E2966" t="s">
        <v>5510</v>
      </c>
      <c r="F2966" t="s">
        <v>49</v>
      </c>
      <c r="G2966" t="s">
        <v>6839</v>
      </c>
      <c r="H2966" t="s">
        <v>6840</v>
      </c>
      <c r="J2966" t="str">
        <f>HYPERLINK("https://www.facebook.com/454965103328545/posts/766279632197089?comment_id=914631559990272","https://www.facebook.com/454965103328545/posts/766279632197089?comment_id=914631559990272")</f>
        <v>https://www.facebook.com/454965103328545/posts/766279632197089?comment_id=914631559990272</v>
      </c>
      <c r="O2966">
        <v>0</v>
      </c>
      <c r="P2966">
        <v>0</v>
      </c>
      <c r="Q2966">
        <v>0</v>
      </c>
      <c r="S2966">
        <v>0</v>
      </c>
      <c r="T2966">
        <v>0</v>
      </c>
      <c r="U2966">
        <v>0</v>
      </c>
      <c r="W2966" t="s">
        <v>62</v>
      </c>
    </row>
    <row r="2967" spans="1:45" x14ac:dyDescent="0.35">
      <c r="A2967" t="s">
        <v>45</v>
      </c>
      <c r="B2967" t="s">
        <v>6350</v>
      </c>
      <c r="C2967" t="s">
        <v>47</v>
      </c>
      <c r="D2967" t="s">
        <v>5510</v>
      </c>
      <c r="E2967" t="s">
        <v>5510</v>
      </c>
      <c r="F2967" t="s">
        <v>49</v>
      </c>
      <c r="G2967" t="s">
        <v>6841</v>
      </c>
      <c r="H2967" t="s">
        <v>6842</v>
      </c>
      <c r="J2967" t="str">
        <f>HYPERLINK("https://www.facebook.com/454965103328545/posts/767562042068848?comment_id=588610700144181","https://www.facebook.com/454965103328545/posts/767562042068848?comment_id=588610700144181")</f>
        <v>https://www.facebook.com/454965103328545/posts/767562042068848?comment_id=588610700144181</v>
      </c>
      <c r="O2967">
        <v>0</v>
      </c>
      <c r="P2967">
        <v>0</v>
      </c>
      <c r="Q2967">
        <v>0</v>
      </c>
      <c r="S2967">
        <v>0</v>
      </c>
      <c r="T2967">
        <v>0</v>
      </c>
      <c r="U2967">
        <v>0</v>
      </c>
      <c r="W2967" t="s">
        <v>62</v>
      </c>
    </row>
    <row r="2968" spans="1:45" x14ac:dyDescent="0.35">
      <c r="A2968" t="s">
        <v>45</v>
      </c>
      <c r="B2968" t="s">
        <v>6350</v>
      </c>
      <c r="C2968" t="s">
        <v>47</v>
      </c>
      <c r="D2968" t="s">
        <v>136</v>
      </c>
      <c r="E2968" t="s">
        <v>136</v>
      </c>
      <c r="F2968" t="s">
        <v>49</v>
      </c>
      <c r="G2968" t="s">
        <v>6828</v>
      </c>
      <c r="H2968" t="s">
        <v>6843</v>
      </c>
      <c r="J2968" t="str">
        <f>HYPERLINK("https://www.facebook.com/454965103328545/posts/755939476564438?comment_id=3783753038611999","https://www.facebook.com/454965103328545/posts/755939476564438?comment_id=3783753038611999")</f>
        <v>https://www.facebook.com/454965103328545/posts/755939476564438?comment_id=3783753038611999</v>
      </c>
      <c r="O2968">
        <v>0</v>
      </c>
      <c r="P2968">
        <v>0</v>
      </c>
      <c r="Q2968">
        <v>0</v>
      </c>
      <c r="S2968">
        <v>0</v>
      </c>
      <c r="T2968">
        <v>0</v>
      </c>
      <c r="U2968">
        <v>0</v>
      </c>
      <c r="W2968" t="s">
        <v>62</v>
      </c>
    </row>
    <row r="2969" spans="1:45" x14ac:dyDescent="0.35">
      <c r="A2969" t="s">
        <v>45</v>
      </c>
      <c r="B2969" t="s">
        <v>6350</v>
      </c>
      <c r="C2969" t="s">
        <v>139</v>
      </c>
      <c r="D2969" t="s">
        <v>6658</v>
      </c>
      <c r="E2969" t="s">
        <v>6659</v>
      </c>
      <c r="F2969" t="s">
        <v>49</v>
      </c>
      <c r="G2969" t="s">
        <v>6844</v>
      </c>
      <c r="H2969" t="s">
        <v>6845</v>
      </c>
      <c r="J2969" t="str">
        <f>HYPERLINK("https://twitter.com/SiddharthDesai/status/1755800441869496631","https://twitter.com/SiddharthDesai/status/1755800441869496631")</f>
        <v>https://twitter.com/SiddharthDesai/status/1755800441869496631</v>
      </c>
      <c r="K2969" t="s">
        <v>145</v>
      </c>
      <c r="O2969">
        <v>0</v>
      </c>
      <c r="P2969">
        <v>0</v>
      </c>
      <c r="Q2969">
        <v>1429</v>
      </c>
      <c r="R2969" t="s">
        <v>2924</v>
      </c>
      <c r="S2969">
        <v>0</v>
      </c>
      <c r="T2969">
        <v>0</v>
      </c>
      <c r="U2969">
        <v>0</v>
      </c>
      <c r="W2969" t="s">
        <v>52</v>
      </c>
      <c r="AS2969" t="s">
        <v>375</v>
      </c>
    </row>
    <row r="2970" spans="1:45" x14ac:dyDescent="0.35">
      <c r="A2970" t="s">
        <v>45</v>
      </c>
      <c r="B2970" t="s">
        <v>6350</v>
      </c>
      <c r="C2970" t="s">
        <v>139</v>
      </c>
      <c r="D2970" t="s">
        <v>6658</v>
      </c>
      <c r="E2970" t="s">
        <v>6659</v>
      </c>
      <c r="F2970" t="s">
        <v>49</v>
      </c>
      <c r="G2970" t="s">
        <v>6846</v>
      </c>
      <c r="H2970" t="s">
        <v>6847</v>
      </c>
      <c r="J2970" t="str">
        <f>HYPERLINK("https://twitter.com/SiddharthDesai/status/1755800426820346000","https://twitter.com/SiddharthDesai/status/1755800426820346000")</f>
        <v>https://twitter.com/SiddharthDesai/status/1755800426820346000</v>
      </c>
      <c r="K2970" t="s">
        <v>145</v>
      </c>
      <c r="O2970">
        <v>0</v>
      </c>
      <c r="P2970">
        <v>0</v>
      </c>
      <c r="Q2970">
        <v>1429</v>
      </c>
      <c r="R2970" t="s">
        <v>2924</v>
      </c>
      <c r="S2970">
        <v>0</v>
      </c>
      <c r="T2970">
        <v>0</v>
      </c>
      <c r="U2970">
        <v>0</v>
      </c>
      <c r="W2970" t="s">
        <v>52</v>
      </c>
    </row>
    <row r="2971" spans="1:45" x14ac:dyDescent="0.35">
      <c r="A2971" t="s">
        <v>45</v>
      </c>
      <c r="B2971" t="s">
        <v>6350</v>
      </c>
      <c r="C2971" t="s">
        <v>139</v>
      </c>
      <c r="D2971" t="s">
        <v>6848</v>
      </c>
      <c r="E2971" t="s">
        <v>6849</v>
      </c>
      <c r="F2971" t="s">
        <v>49</v>
      </c>
      <c r="G2971" t="s">
        <v>6850</v>
      </c>
      <c r="H2971" t="s">
        <v>6851</v>
      </c>
      <c r="J2971" t="str">
        <f>HYPERLINK("https://twitter.com/PAYTMBANK8355/status/1755799152812806596","https://twitter.com/PAYTMBANK8355/status/1755799152812806596")</f>
        <v>https://twitter.com/PAYTMBANK8355/status/1755799152812806596</v>
      </c>
      <c r="O2971">
        <v>0</v>
      </c>
      <c r="P2971">
        <v>0</v>
      </c>
      <c r="Q2971">
        <v>0</v>
      </c>
      <c r="S2971">
        <v>0</v>
      </c>
      <c r="T2971">
        <v>0</v>
      </c>
      <c r="U2971">
        <v>0</v>
      </c>
      <c r="W2971" t="s">
        <v>146</v>
      </c>
    </row>
    <row r="2972" spans="1:45" x14ac:dyDescent="0.35">
      <c r="A2972" t="s">
        <v>45</v>
      </c>
      <c r="B2972" t="s">
        <v>6350</v>
      </c>
      <c r="C2972" t="s">
        <v>139</v>
      </c>
      <c r="D2972" t="s">
        <v>6852</v>
      </c>
      <c r="E2972" t="s">
        <v>6852</v>
      </c>
      <c r="F2972" t="s">
        <v>76</v>
      </c>
      <c r="G2972" t="s">
        <v>6853</v>
      </c>
      <c r="H2972" t="s">
        <v>6854</v>
      </c>
      <c r="J2972" t="str">
        <f>HYPERLINK("https://twitter.com/Pothi/status/1755799096315744695","https://twitter.com/Pothi/status/1755799096315744695")</f>
        <v>https://twitter.com/Pothi/status/1755799096315744695</v>
      </c>
      <c r="K2972" t="s">
        <v>145</v>
      </c>
      <c r="O2972">
        <v>0</v>
      </c>
      <c r="P2972">
        <v>0</v>
      </c>
      <c r="Q2972">
        <v>224</v>
      </c>
      <c r="R2972" t="s">
        <v>6855</v>
      </c>
      <c r="S2972">
        <v>0</v>
      </c>
      <c r="T2972">
        <v>0</v>
      </c>
      <c r="U2972">
        <v>0</v>
      </c>
      <c r="W2972" t="s">
        <v>146</v>
      </c>
    </row>
    <row r="2973" spans="1:45" x14ac:dyDescent="0.35">
      <c r="A2973" t="s">
        <v>45</v>
      </c>
      <c r="B2973" t="s">
        <v>6350</v>
      </c>
      <c r="C2973" t="s">
        <v>58</v>
      </c>
      <c r="D2973" t="s">
        <v>1706</v>
      </c>
      <c r="E2973" t="s">
        <v>1706</v>
      </c>
      <c r="F2973" t="s">
        <v>49</v>
      </c>
      <c r="G2973" t="s">
        <v>6856</v>
      </c>
      <c r="H2973" t="s">
        <v>6857</v>
      </c>
      <c r="J2973" t="str">
        <f>HYPERLINK("https://www.youtube.com/watch?v=f0HLH-VQNsY","https://www.youtube.com/watch?v=f0HLH-VQNsY")</f>
        <v>https://www.youtube.com/watch?v=f0HLH-VQNsY</v>
      </c>
      <c r="O2973">
        <v>0</v>
      </c>
      <c r="P2973">
        <v>0</v>
      </c>
      <c r="Q2973">
        <v>0</v>
      </c>
      <c r="S2973">
        <v>0</v>
      </c>
      <c r="T2973">
        <v>0</v>
      </c>
      <c r="U2973">
        <v>0</v>
      </c>
      <c r="W2973" t="s">
        <v>106</v>
      </c>
    </row>
    <row r="2974" spans="1:45" x14ac:dyDescent="0.35">
      <c r="A2974" t="s">
        <v>45</v>
      </c>
      <c r="B2974" t="s">
        <v>6350</v>
      </c>
      <c r="C2974" t="s">
        <v>47</v>
      </c>
      <c r="D2974" t="s">
        <v>45</v>
      </c>
      <c r="E2974" t="s">
        <v>45</v>
      </c>
      <c r="F2974" t="s">
        <v>49</v>
      </c>
      <c r="G2974" t="s">
        <v>6858</v>
      </c>
      <c r="H2974" t="s">
        <v>6859</v>
      </c>
      <c r="J2974" t="str">
        <f>HYPERLINK("https://www.facebook.com/357267201017935/inbox/7017579191653336/","https://www.facebook.com/357267201017935/inbox/7017579191653336/")</f>
        <v>https://www.facebook.com/357267201017935/inbox/7017579191653336/</v>
      </c>
      <c r="O2974">
        <v>0</v>
      </c>
      <c r="P2974">
        <v>0</v>
      </c>
      <c r="Q2974">
        <v>0</v>
      </c>
      <c r="S2974">
        <v>0</v>
      </c>
      <c r="T2974">
        <v>0</v>
      </c>
      <c r="U2974">
        <v>0</v>
      </c>
      <c r="W2974" t="s">
        <v>52</v>
      </c>
    </row>
    <row r="2975" spans="1:45" x14ac:dyDescent="0.35">
      <c r="A2975" t="s">
        <v>45</v>
      </c>
      <c r="B2975" t="s">
        <v>6350</v>
      </c>
      <c r="C2975" t="s">
        <v>58</v>
      </c>
      <c r="D2975" t="s">
        <v>6860</v>
      </c>
      <c r="E2975" t="s">
        <v>6860</v>
      </c>
      <c r="F2975" t="s">
        <v>49</v>
      </c>
      <c r="G2975" t="s">
        <v>6861</v>
      </c>
      <c r="H2975" t="s">
        <v>6862</v>
      </c>
      <c r="J2975" t="str">
        <f>HYPERLINK("https://www.youtube.com/watch?v=F-13hbn2JoA","https://www.youtube.com/watch?v=F-13hbn2JoA")</f>
        <v>https://www.youtube.com/watch?v=F-13hbn2JoA</v>
      </c>
      <c r="O2975">
        <v>0</v>
      </c>
      <c r="P2975">
        <v>0</v>
      </c>
      <c r="Q2975">
        <v>0</v>
      </c>
      <c r="S2975">
        <v>0</v>
      </c>
      <c r="T2975">
        <v>0</v>
      </c>
      <c r="U2975">
        <v>0</v>
      </c>
      <c r="W2975" t="s">
        <v>106</v>
      </c>
    </row>
    <row r="2976" spans="1:45" x14ac:dyDescent="0.35">
      <c r="A2976" t="s">
        <v>45</v>
      </c>
      <c r="B2976" t="s">
        <v>6350</v>
      </c>
      <c r="C2976" t="s">
        <v>47</v>
      </c>
      <c r="F2976" t="s">
        <v>76</v>
      </c>
      <c r="G2976" t="s">
        <v>6863</v>
      </c>
      <c r="H2976" t="s">
        <v>6864</v>
      </c>
      <c r="J2976" t="str">
        <f>HYPERLINK("https://www.facebook.com/6820763411346178_10233166720020644","https://www.facebook.com/6820763411346178_10233166720020644")</f>
        <v>https://www.facebook.com/6820763411346178_10233166720020644</v>
      </c>
      <c r="O2976">
        <v>0</v>
      </c>
      <c r="P2976">
        <v>0</v>
      </c>
      <c r="Q2976">
        <v>0</v>
      </c>
      <c r="S2976">
        <v>0</v>
      </c>
      <c r="T2976">
        <v>0</v>
      </c>
      <c r="U2976">
        <v>0</v>
      </c>
      <c r="W2976" t="s">
        <v>106</v>
      </c>
    </row>
    <row r="2977" spans="1:45" x14ac:dyDescent="0.35">
      <c r="A2977" t="s">
        <v>45</v>
      </c>
      <c r="B2977" t="s">
        <v>6350</v>
      </c>
      <c r="C2977" t="s">
        <v>47</v>
      </c>
      <c r="D2977" t="s">
        <v>6865</v>
      </c>
      <c r="E2977" t="s">
        <v>6865</v>
      </c>
      <c r="F2977" t="s">
        <v>49</v>
      </c>
      <c r="G2977" t="s">
        <v>373</v>
      </c>
      <c r="H2977" t="s">
        <v>6866</v>
      </c>
      <c r="J2977" t="str">
        <f>HYPERLINK("https://www.facebook.com/357267201017935/inbox/7017833418294580/","https://www.facebook.com/357267201017935/inbox/7017833418294580/")</f>
        <v>https://www.facebook.com/357267201017935/inbox/7017833418294580/</v>
      </c>
      <c r="O2977">
        <v>0</v>
      </c>
      <c r="P2977">
        <v>0</v>
      </c>
      <c r="Q2977">
        <v>0</v>
      </c>
      <c r="S2977">
        <v>0</v>
      </c>
      <c r="T2977">
        <v>0</v>
      </c>
      <c r="U2977">
        <v>0</v>
      </c>
      <c r="W2977" t="s">
        <v>52</v>
      </c>
      <c r="AS2977" t="s">
        <v>375</v>
      </c>
    </row>
    <row r="2978" spans="1:45" x14ac:dyDescent="0.35">
      <c r="A2978" t="s">
        <v>45</v>
      </c>
      <c r="B2978" t="s">
        <v>6867</v>
      </c>
      <c r="C2978" t="s">
        <v>47</v>
      </c>
      <c r="D2978" t="s">
        <v>6868</v>
      </c>
      <c r="E2978" t="s">
        <v>6868</v>
      </c>
      <c r="F2978" t="s">
        <v>142</v>
      </c>
      <c r="G2978" t="s">
        <v>6869</v>
      </c>
      <c r="H2978" t="s">
        <v>6870</v>
      </c>
      <c r="J2978" t="str">
        <f>HYPERLINK("https://www.facebook.com/454965103328545/videos/3697954183759550?comment_id=716519617318251","https://www.facebook.com/454965103328545/videos/3697954183759550?comment_id=716519617318251")</f>
        <v>https://www.facebook.com/454965103328545/videos/3697954183759550?comment_id=716519617318251</v>
      </c>
      <c r="O2978">
        <v>0</v>
      </c>
      <c r="P2978">
        <v>0</v>
      </c>
      <c r="Q2978">
        <v>0</v>
      </c>
      <c r="S2978">
        <v>0</v>
      </c>
      <c r="T2978">
        <v>0</v>
      </c>
      <c r="U2978">
        <v>0</v>
      </c>
      <c r="W2978" t="s">
        <v>62</v>
      </c>
      <c r="AP2978" t="s">
        <v>147</v>
      </c>
    </row>
    <row r="2979" spans="1:45" x14ac:dyDescent="0.35">
      <c r="A2979" t="s">
        <v>45</v>
      </c>
      <c r="B2979" t="s">
        <v>6867</v>
      </c>
      <c r="C2979" t="s">
        <v>47</v>
      </c>
      <c r="D2979" t="s">
        <v>6868</v>
      </c>
      <c r="E2979" t="s">
        <v>6868</v>
      </c>
      <c r="F2979" t="s">
        <v>142</v>
      </c>
      <c r="G2979" t="s">
        <v>6871</v>
      </c>
      <c r="H2979" t="s">
        <v>6872</v>
      </c>
      <c r="J2979" t="str">
        <f>HYPERLINK("https://www.facebook.com/454965103328545/posts/763715162453536?comment_id=369645655697410&amp;reply_comment_id=1884431901991483","https://www.facebook.com/454965103328545/posts/763715162453536?comment_id=369645655697410&amp;reply_comment_id=1884431901991483")</f>
        <v>https://www.facebook.com/454965103328545/posts/763715162453536?comment_id=369645655697410&amp;reply_comment_id=1884431901991483</v>
      </c>
      <c r="O2979">
        <v>0</v>
      </c>
      <c r="P2979">
        <v>0</v>
      </c>
      <c r="Q2979">
        <v>0</v>
      </c>
      <c r="S2979">
        <v>0</v>
      </c>
      <c r="T2979">
        <v>0</v>
      </c>
      <c r="U2979">
        <v>0</v>
      </c>
      <c r="W2979" t="s">
        <v>62</v>
      </c>
      <c r="Y2979" t="s">
        <v>6873</v>
      </c>
      <c r="Z2979" t="s">
        <v>613</v>
      </c>
      <c r="AA2979" t="s">
        <v>614</v>
      </c>
      <c r="AP2979" t="s">
        <v>147</v>
      </c>
    </row>
    <row r="2980" spans="1:45" x14ac:dyDescent="0.35">
      <c r="A2980" t="s">
        <v>45</v>
      </c>
      <c r="B2980" t="s">
        <v>6867</v>
      </c>
      <c r="C2980" t="s">
        <v>47</v>
      </c>
      <c r="D2980" t="s">
        <v>6868</v>
      </c>
      <c r="E2980" t="s">
        <v>6868</v>
      </c>
      <c r="F2980" t="s">
        <v>142</v>
      </c>
      <c r="G2980" t="s">
        <v>6874</v>
      </c>
      <c r="H2980" t="s">
        <v>6875</v>
      </c>
      <c r="J2980" t="str">
        <f>HYPERLINK("https://www.facebook.com/454965103328545/posts/766279632197089?comment_id=1105756190615909&amp;reply_comment_id=765760138808097","https://www.facebook.com/454965103328545/posts/766279632197089?comment_id=1105756190615909&amp;reply_comment_id=765760138808097")</f>
        <v>https://www.facebook.com/454965103328545/posts/766279632197089?comment_id=1105756190615909&amp;reply_comment_id=765760138808097</v>
      </c>
      <c r="O2980">
        <v>0</v>
      </c>
      <c r="P2980">
        <v>0</v>
      </c>
      <c r="Q2980">
        <v>0</v>
      </c>
      <c r="S2980">
        <v>0</v>
      </c>
      <c r="T2980">
        <v>0</v>
      </c>
      <c r="U2980">
        <v>0</v>
      </c>
      <c r="W2980" t="s">
        <v>62</v>
      </c>
      <c r="AP2980" t="s">
        <v>147</v>
      </c>
    </row>
    <row r="2981" spans="1:45" x14ac:dyDescent="0.35">
      <c r="A2981" t="s">
        <v>45</v>
      </c>
      <c r="B2981" t="s">
        <v>6867</v>
      </c>
      <c r="C2981" t="s">
        <v>47</v>
      </c>
      <c r="D2981" t="s">
        <v>6868</v>
      </c>
      <c r="E2981" t="s">
        <v>6868</v>
      </c>
      <c r="F2981" t="s">
        <v>142</v>
      </c>
      <c r="G2981" t="s">
        <v>6876</v>
      </c>
      <c r="H2981" t="s">
        <v>6877</v>
      </c>
      <c r="J2981" t="str">
        <f>HYPERLINK("https://www.facebook.com/454965103328545/posts/767562042068848?comment_id=2319533341571170","https://www.facebook.com/454965103328545/posts/767562042068848?comment_id=2319533341571170")</f>
        <v>https://www.facebook.com/454965103328545/posts/767562042068848?comment_id=2319533341571170</v>
      </c>
      <c r="O2981">
        <v>0</v>
      </c>
      <c r="P2981">
        <v>0</v>
      </c>
      <c r="Q2981">
        <v>0</v>
      </c>
      <c r="S2981">
        <v>0</v>
      </c>
      <c r="T2981">
        <v>0</v>
      </c>
      <c r="U2981">
        <v>0</v>
      </c>
      <c r="W2981" t="s">
        <v>62</v>
      </c>
      <c r="AP2981" t="s">
        <v>147</v>
      </c>
    </row>
    <row r="2982" spans="1:45" x14ac:dyDescent="0.35">
      <c r="A2982" t="s">
        <v>45</v>
      </c>
      <c r="B2982" t="s">
        <v>6867</v>
      </c>
      <c r="C2982" t="s">
        <v>47</v>
      </c>
      <c r="D2982" t="s">
        <v>6868</v>
      </c>
      <c r="E2982" t="s">
        <v>6868</v>
      </c>
      <c r="F2982" t="s">
        <v>49</v>
      </c>
      <c r="G2982" t="s">
        <v>6878</v>
      </c>
      <c r="H2982" t="s">
        <v>6879</v>
      </c>
      <c r="J2982" t="str">
        <f t="shared" ref="J2982:J2987" si="5">HYPERLINK("https://www.facebook.com/357267201017935/inbox/7017579191653336/","https://www.facebook.com/357267201017935/inbox/7017579191653336/")</f>
        <v>https://www.facebook.com/357267201017935/inbox/7017579191653336/</v>
      </c>
      <c r="O2982">
        <v>0</v>
      </c>
      <c r="P2982">
        <v>0</v>
      </c>
      <c r="Q2982">
        <v>0</v>
      </c>
      <c r="S2982">
        <v>0</v>
      </c>
      <c r="T2982">
        <v>0</v>
      </c>
      <c r="U2982">
        <v>0</v>
      </c>
      <c r="W2982" t="s">
        <v>52</v>
      </c>
      <c r="AS2982" t="s">
        <v>375</v>
      </c>
    </row>
    <row r="2983" spans="1:45" x14ac:dyDescent="0.35">
      <c r="A2983" t="s">
        <v>45</v>
      </c>
      <c r="B2983" t="s">
        <v>6867</v>
      </c>
      <c r="C2983" t="s">
        <v>47</v>
      </c>
      <c r="D2983" t="s">
        <v>6868</v>
      </c>
      <c r="E2983" t="s">
        <v>6868</v>
      </c>
      <c r="F2983" t="s">
        <v>49</v>
      </c>
      <c r="G2983" t="s">
        <v>6880</v>
      </c>
      <c r="H2983" t="s">
        <v>6881</v>
      </c>
      <c r="J2983" t="str">
        <f t="shared" si="5"/>
        <v>https://www.facebook.com/357267201017935/inbox/7017579191653336/</v>
      </c>
      <c r="O2983">
        <v>0</v>
      </c>
      <c r="P2983">
        <v>0</v>
      </c>
      <c r="Q2983">
        <v>0</v>
      </c>
      <c r="S2983">
        <v>0</v>
      </c>
      <c r="T2983">
        <v>0</v>
      </c>
      <c r="U2983">
        <v>0</v>
      </c>
      <c r="W2983" t="s">
        <v>52</v>
      </c>
    </row>
    <row r="2984" spans="1:45" x14ac:dyDescent="0.35">
      <c r="A2984" t="s">
        <v>45</v>
      </c>
      <c r="B2984" t="s">
        <v>6867</v>
      </c>
      <c r="C2984" t="s">
        <v>47</v>
      </c>
      <c r="D2984" t="s">
        <v>6868</v>
      </c>
      <c r="E2984" t="s">
        <v>6868</v>
      </c>
      <c r="F2984" t="s">
        <v>49</v>
      </c>
      <c r="G2984" t="s">
        <v>6882</v>
      </c>
      <c r="H2984" t="s">
        <v>6883</v>
      </c>
      <c r="J2984" t="str">
        <f t="shared" si="5"/>
        <v>https://www.facebook.com/357267201017935/inbox/7017579191653336/</v>
      </c>
      <c r="O2984">
        <v>0</v>
      </c>
      <c r="P2984">
        <v>0</v>
      </c>
      <c r="Q2984">
        <v>0</v>
      </c>
      <c r="S2984">
        <v>0</v>
      </c>
      <c r="T2984">
        <v>0</v>
      </c>
      <c r="U2984">
        <v>0</v>
      </c>
      <c r="W2984" t="s">
        <v>52</v>
      </c>
    </row>
    <row r="2985" spans="1:45" x14ac:dyDescent="0.35">
      <c r="A2985" t="s">
        <v>45</v>
      </c>
      <c r="B2985" t="s">
        <v>6867</v>
      </c>
      <c r="C2985" t="s">
        <v>47</v>
      </c>
      <c r="D2985" t="s">
        <v>6868</v>
      </c>
      <c r="E2985" t="s">
        <v>6868</v>
      </c>
      <c r="F2985" t="s">
        <v>142</v>
      </c>
      <c r="G2985" t="s">
        <v>6884</v>
      </c>
      <c r="H2985" t="s">
        <v>6885</v>
      </c>
      <c r="J2985" t="str">
        <f t="shared" si="5"/>
        <v>https://www.facebook.com/357267201017935/inbox/7017579191653336/</v>
      </c>
      <c r="O2985">
        <v>0</v>
      </c>
      <c r="P2985">
        <v>0</v>
      </c>
      <c r="Q2985">
        <v>0</v>
      </c>
      <c r="S2985">
        <v>0</v>
      </c>
      <c r="T2985">
        <v>0</v>
      </c>
      <c r="U2985">
        <v>0</v>
      </c>
      <c r="W2985" t="s">
        <v>52</v>
      </c>
    </row>
    <row r="2986" spans="1:45" x14ac:dyDescent="0.35">
      <c r="A2986" t="s">
        <v>45</v>
      </c>
      <c r="B2986" t="s">
        <v>6867</v>
      </c>
      <c r="C2986" t="s">
        <v>47</v>
      </c>
      <c r="D2986" t="s">
        <v>6868</v>
      </c>
      <c r="E2986" t="s">
        <v>6868</v>
      </c>
      <c r="F2986" t="s">
        <v>49</v>
      </c>
      <c r="G2986" t="s">
        <v>6886</v>
      </c>
      <c r="H2986" t="s">
        <v>6887</v>
      </c>
      <c r="J2986" t="str">
        <f t="shared" si="5"/>
        <v>https://www.facebook.com/357267201017935/inbox/7017579191653336/</v>
      </c>
      <c r="O2986">
        <v>0</v>
      </c>
      <c r="P2986">
        <v>0</v>
      </c>
      <c r="Q2986">
        <v>0</v>
      </c>
      <c r="S2986">
        <v>0</v>
      </c>
      <c r="T2986">
        <v>0</v>
      </c>
      <c r="U2986">
        <v>0</v>
      </c>
      <c r="W2986" t="s">
        <v>52</v>
      </c>
      <c r="AS2986" t="s">
        <v>375</v>
      </c>
    </row>
    <row r="2987" spans="1:45" x14ac:dyDescent="0.35">
      <c r="A2987" t="s">
        <v>45</v>
      </c>
      <c r="B2987" t="s">
        <v>6867</v>
      </c>
      <c r="C2987" t="s">
        <v>47</v>
      </c>
      <c r="D2987" t="s">
        <v>6868</v>
      </c>
      <c r="E2987" t="s">
        <v>6868</v>
      </c>
      <c r="F2987" t="s">
        <v>142</v>
      </c>
      <c r="G2987" t="s">
        <v>6888</v>
      </c>
      <c r="H2987" t="s">
        <v>6889</v>
      </c>
      <c r="J2987" t="str">
        <f t="shared" si="5"/>
        <v>https://www.facebook.com/357267201017935/inbox/7017579191653336/</v>
      </c>
      <c r="O2987">
        <v>0</v>
      </c>
      <c r="P2987">
        <v>0</v>
      </c>
      <c r="Q2987">
        <v>0</v>
      </c>
      <c r="S2987">
        <v>0</v>
      </c>
      <c r="T2987">
        <v>0</v>
      </c>
      <c r="U2987">
        <v>0</v>
      </c>
      <c r="W2987" t="s">
        <v>52</v>
      </c>
    </row>
    <row r="2988" spans="1:45" x14ac:dyDescent="0.35">
      <c r="A2988" t="s">
        <v>45</v>
      </c>
      <c r="B2988" t="s">
        <v>6867</v>
      </c>
      <c r="C2988" t="s">
        <v>47</v>
      </c>
      <c r="D2988" t="s">
        <v>4488</v>
      </c>
      <c r="E2988" t="s">
        <v>4488</v>
      </c>
      <c r="F2988" t="s">
        <v>49</v>
      </c>
      <c r="G2988" t="s">
        <v>5919</v>
      </c>
      <c r="H2988" t="s">
        <v>6890</v>
      </c>
      <c r="J2988" t="str">
        <f>HYPERLINK("https://www.facebook.com/454965103328545/posts/767562042068848?comment_id=1097870211539367","https://www.facebook.com/454965103328545/posts/767562042068848?comment_id=1097870211539367")</f>
        <v>https://www.facebook.com/454965103328545/posts/767562042068848?comment_id=1097870211539367</v>
      </c>
      <c r="O2988">
        <v>0</v>
      </c>
      <c r="P2988">
        <v>0</v>
      </c>
      <c r="Q2988">
        <v>0</v>
      </c>
      <c r="S2988">
        <v>0</v>
      </c>
      <c r="T2988">
        <v>0</v>
      </c>
      <c r="U2988">
        <v>0</v>
      </c>
      <c r="W2988" t="s">
        <v>62</v>
      </c>
      <c r="AS2988" t="s">
        <v>375</v>
      </c>
    </row>
    <row r="2989" spans="1:45" x14ac:dyDescent="0.35">
      <c r="A2989" t="s">
        <v>45</v>
      </c>
      <c r="B2989" t="s">
        <v>6867</v>
      </c>
      <c r="C2989" t="s">
        <v>47</v>
      </c>
      <c r="D2989" t="s">
        <v>6891</v>
      </c>
      <c r="E2989" t="s">
        <v>6891</v>
      </c>
      <c r="F2989" t="s">
        <v>49</v>
      </c>
      <c r="G2989" t="s">
        <v>6892</v>
      </c>
      <c r="H2989" t="s">
        <v>6893</v>
      </c>
      <c r="J2989" t="str">
        <f>HYPERLINK("https://www.facebook.com/454965103328545/posts/734813295343723?comment_id=418970507146800","https://www.facebook.com/454965103328545/posts/734813295343723?comment_id=418970507146800")</f>
        <v>https://www.facebook.com/454965103328545/posts/734813295343723?comment_id=418970507146800</v>
      </c>
      <c r="O2989">
        <v>0</v>
      </c>
      <c r="P2989">
        <v>0</v>
      </c>
      <c r="Q2989">
        <v>0</v>
      </c>
      <c r="S2989">
        <v>0</v>
      </c>
      <c r="T2989">
        <v>0</v>
      </c>
      <c r="U2989">
        <v>0</v>
      </c>
      <c r="W2989" t="s">
        <v>62</v>
      </c>
    </row>
    <row r="2990" spans="1:45" x14ac:dyDescent="0.35">
      <c r="A2990" t="s">
        <v>45</v>
      </c>
      <c r="B2990" t="s">
        <v>6867</v>
      </c>
      <c r="C2990" t="s">
        <v>47</v>
      </c>
      <c r="D2990" t="s">
        <v>6894</v>
      </c>
      <c r="E2990" t="s">
        <v>6894</v>
      </c>
      <c r="F2990" t="s">
        <v>49</v>
      </c>
      <c r="G2990" t="s">
        <v>6895</v>
      </c>
      <c r="H2990" t="s">
        <v>6896</v>
      </c>
      <c r="J2990" t="str">
        <f>HYPERLINK("https://www.facebook.com/454965103328545/posts/750007137157672?comment_id=409461948113196","https://www.facebook.com/454965103328545/posts/750007137157672?comment_id=409461948113196")</f>
        <v>https://www.facebook.com/454965103328545/posts/750007137157672?comment_id=409461948113196</v>
      </c>
      <c r="O2990">
        <v>0</v>
      </c>
      <c r="P2990">
        <v>0</v>
      </c>
      <c r="Q2990">
        <v>0</v>
      </c>
      <c r="S2990">
        <v>0</v>
      </c>
      <c r="T2990">
        <v>0</v>
      </c>
      <c r="U2990">
        <v>0</v>
      </c>
      <c r="W2990" t="s">
        <v>62</v>
      </c>
      <c r="AS2990" t="s">
        <v>375</v>
      </c>
    </row>
    <row r="2991" spans="1:45" x14ac:dyDescent="0.35">
      <c r="A2991" t="s">
        <v>45</v>
      </c>
      <c r="B2991" t="s">
        <v>6867</v>
      </c>
      <c r="C2991" t="s">
        <v>47</v>
      </c>
      <c r="D2991" t="s">
        <v>6897</v>
      </c>
      <c r="E2991" t="s">
        <v>6897</v>
      </c>
      <c r="F2991" t="s">
        <v>49</v>
      </c>
      <c r="G2991" t="s">
        <v>6898</v>
      </c>
      <c r="H2991" t="s">
        <v>6899</v>
      </c>
      <c r="J2991" t="str">
        <f>HYPERLINK("https://www.facebook.com/454965103328545/posts/763871475771238?comment_id=309003398369264&amp;reply_comment_id=355582360731985","https://www.facebook.com/454965103328545/posts/763871475771238?comment_id=309003398369264&amp;reply_comment_id=355582360731985")</f>
        <v>https://www.facebook.com/454965103328545/posts/763871475771238?comment_id=309003398369264&amp;reply_comment_id=355582360731985</v>
      </c>
      <c r="O2991">
        <v>0</v>
      </c>
      <c r="P2991">
        <v>0</v>
      </c>
      <c r="Q2991">
        <v>0</v>
      </c>
      <c r="S2991">
        <v>0</v>
      </c>
      <c r="T2991">
        <v>0</v>
      </c>
      <c r="U2991">
        <v>0</v>
      </c>
      <c r="W2991" t="s">
        <v>62</v>
      </c>
      <c r="AS2991" t="s">
        <v>375</v>
      </c>
    </row>
    <row r="2992" spans="1:45" x14ac:dyDescent="0.35">
      <c r="A2992" t="s">
        <v>45</v>
      </c>
      <c r="B2992" t="s">
        <v>6867</v>
      </c>
      <c r="C2992" t="s">
        <v>58</v>
      </c>
      <c r="D2992" t="s">
        <v>3869</v>
      </c>
      <c r="E2992" t="s">
        <v>3869</v>
      </c>
      <c r="F2992" t="s">
        <v>49</v>
      </c>
      <c r="G2992" t="s">
        <v>6900</v>
      </c>
      <c r="H2992" t="s">
        <v>6901</v>
      </c>
      <c r="J2992" t="str">
        <f>HYPERLINK("https://www.youtube.com/watch?v=1cgRWmtbTO4","https://www.youtube.com/watch?v=1cgRWmtbTO4")</f>
        <v>https://www.youtube.com/watch?v=1cgRWmtbTO4</v>
      </c>
      <c r="O2992">
        <v>0</v>
      </c>
      <c r="P2992">
        <v>0</v>
      </c>
      <c r="Q2992">
        <v>0</v>
      </c>
      <c r="S2992">
        <v>0</v>
      </c>
      <c r="T2992">
        <v>0</v>
      </c>
      <c r="U2992">
        <v>0</v>
      </c>
      <c r="W2992" t="s">
        <v>106</v>
      </c>
      <c r="AP2992" t="s">
        <v>101</v>
      </c>
    </row>
    <row r="2993" spans="1:45" x14ac:dyDescent="0.35">
      <c r="A2993" t="s">
        <v>45</v>
      </c>
      <c r="B2993" t="s">
        <v>6867</v>
      </c>
      <c r="C2993" t="s">
        <v>139</v>
      </c>
      <c r="D2993" t="s">
        <v>6902</v>
      </c>
      <c r="E2993" t="s">
        <v>6903</v>
      </c>
      <c r="F2993" t="s">
        <v>142</v>
      </c>
      <c r="G2993" t="s">
        <v>6904</v>
      </c>
      <c r="H2993" t="s">
        <v>6905</v>
      </c>
      <c r="J2993" t="str">
        <f>HYPERLINK("https://twitter.com/RajuRaj07026063/status/1755599169820197093","https://twitter.com/RajuRaj07026063/status/1755599169820197093")</f>
        <v>https://twitter.com/RajuRaj07026063/status/1755599169820197093</v>
      </c>
      <c r="K2993" t="s">
        <v>145</v>
      </c>
      <c r="O2993">
        <v>0</v>
      </c>
      <c r="P2993">
        <v>0</v>
      </c>
      <c r="Q2993">
        <v>0</v>
      </c>
      <c r="S2993">
        <v>0</v>
      </c>
      <c r="T2993">
        <v>0</v>
      </c>
      <c r="U2993">
        <v>0</v>
      </c>
      <c r="W2993" t="s">
        <v>146</v>
      </c>
      <c r="AS2993" t="s">
        <v>375</v>
      </c>
    </row>
    <row r="2994" spans="1:45" x14ac:dyDescent="0.35">
      <c r="A2994" t="s">
        <v>45</v>
      </c>
      <c r="B2994" t="s">
        <v>6867</v>
      </c>
      <c r="C2994" t="s">
        <v>139</v>
      </c>
      <c r="D2994" t="s">
        <v>6658</v>
      </c>
      <c r="E2994" t="s">
        <v>6659</v>
      </c>
      <c r="F2994" t="s">
        <v>49</v>
      </c>
      <c r="G2994" t="s">
        <v>6906</v>
      </c>
      <c r="H2994" t="s">
        <v>6907</v>
      </c>
      <c r="J2994" t="str">
        <f>HYPERLINK("https://twitter.com/SiddharthDesai/status/1755587876472176771","https://twitter.com/SiddharthDesai/status/1755587876472176771")</f>
        <v>https://twitter.com/SiddharthDesai/status/1755587876472176771</v>
      </c>
      <c r="K2994" t="s">
        <v>145</v>
      </c>
      <c r="O2994">
        <v>0</v>
      </c>
      <c r="P2994">
        <v>0</v>
      </c>
      <c r="Q2994">
        <v>1429</v>
      </c>
      <c r="R2994" t="s">
        <v>2924</v>
      </c>
      <c r="S2994">
        <v>0</v>
      </c>
      <c r="T2994">
        <v>0</v>
      </c>
      <c r="U2994">
        <v>0</v>
      </c>
      <c r="W2994" t="s">
        <v>52</v>
      </c>
      <c r="AP2994" t="s">
        <v>147</v>
      </c>
    </row>
    <row r="2995" spans="1:45" x14ac:dyDescent="0.35">
      <c r="A2995" t="s">
        <v>45</v>
      </c>
      <c r="B2995" t="s">
        <v>6867</v>
      </c>
      <c r="C2995" t="s">
        <v>47</v>
      </c>
      <c r="D2995" t="s">
        <v>4377</v>
      </c>
      <c r="E2995" t="s">
        <v>4377</v>
      </c>
      <c r="F2995" t="s">
        <v>76</v>
      </c>
      <c r="G2995" t="s">
        <v>4378</v>
      </c>
      <c r="H2995" t="s">
        <v>6908</v>
      </c>
      <c r="J2995" t="str">
        <f>HYPERLINK("https://www.facebook.com/454965103328545/videos/3697954183759550?comment_id=705085108404294","https://www.facebook.com/454965103328545/videos/3697954183759550?comment_id=705085108404294")</f>
        <v>https://www.facebook.com/454965103328545/videos/3697954183759550?comment_id=705085108404294</v>
      </c>
      <c r="O2995">
        <v>0</v>
      </c>
      <c r="P2995">
        <v>0</v>
      </c>
      <c r="Q2995">
        <v>0</v>
      </c>
      <c r="S2995">
        <v>0</v>
      </c>
      <c r="T2995">
        <v>0</v>
      </c>
      <c r="U2995">
        <v>0</v>
      </c>
      <c r="W2995" t="s">
        <v>62</v>
      </c>
    </row>
    <row r="2996" spans="1:45" x14ac:dyDescent="0.35">
      <c r="A2996" t="s">
        <v>45</v>
      </c>
      <c r="B2996" t="s">
        <v>6867</v>
      </c>
      <c r="C2996" t="s">
        <v>47</v>
      </c>
      <c r="D2996" t="s">
        <v>6909</v>
      </c>
      <c r="E2996" t="s">
        <v>6909</v>
      </c>
      <c r="F2996" t="s">
        <v>49</v>
      </c>
      <c r="G2996" t="s">
        <v>6910</v>
      </c>
      <c r="H2996" t="s">
        <v>6911</v>
      </c>
      <c r="J2996" t="str">
        <f>HYPERLINK("https://www.facebook.com/454965103328545/posts/767562042068848?comment_id=6961641523961555&amp;reply_comment_id=4435979933294651","https://www.facebook.com/454965103328545/posts/767562042068848?comment_id=6961641523961555&amp;reply_comment_id=4435979933294651")</f>
        <v>https://www.facebook.com/454965103328545/posts/767562042068848?comment_id=6961641523961555&amp;reply_comment_id=4435979933294651</v>
      </c>
      <c r="O2996">
        <v>0</v>
      </c>
      <c r="P2996">
        <v>0</v>
      </c>
      <c r="Q2996">
        <v>0</v>
      </c>
      <c r="S2996">
        <v>0</v>
      </c>
      <c r="T2996">
        <v>0</v>
      </c>
      <c r="U2996">
        <v>0</v>
      </c>
      <c r="W2996" t="s">
        <v>62</v>
      </c>
      <c r="Y2996" t="s">
        <v>6912</v>
      </c>
      <c r="Z2996" t="s">
        <v>613</v>
      </c>
      <c r="AA2996" t="s">
        <v>614</v>
      </c>
    </row>
    <row r="2997" spans="1:45" x14ac:dyDescent="0.35">
      <c r="A2997" t="s">
        <v>45</v>
      </c>
      <c r="B2997" t="s">
        <v>6867</v>
      </c>
      <c r="C2997" t="s">
        <v>47</v>
      </c>
      <c r="D2997" t="s">
        <v>6782</v>
      </c>
      <c r="E2997" t="s">
        <v>6782</v>
      </c>
      <c r="F2997" t="s">
        <v>49</v>
      </c>
      <c r="G2997" t="s">
        <v>6913</v>
      </c>
      <c r="H2997" t="s">
        <v>6914</v>
      </c>
      <c r="J2997" t="str">
        <f>HYPERLINK("https://www.facebook.com/454965103328545/posts/767562042068848?comment_id=407116551844083","https://www.facebook.com/454965103328545/posts/767562042068848?comment_id=407116551844083")</f>
        <v>https://www.facebook.com/454965103328545/posts/767562042068848?comment_id=407116551844083</v>
      </c>
      <c r="O2997">
        <v>0</v>
      </c>
      <c r="P2997">
        <v>0</v>
      </c>
      <c r="Q2997">
        <v>0</v>
      </c>
      <c r="S2997">
        <v>0</v>
      </c>
      <c r="T2997">
        <v>0</v>
      </c>
      <c r="U2997">
        <v>0</v>
      </c>
      <c r="W2997" t="s">
        <v>62</v>
      </c>
      <c r="AS2997" t="s">
        <v>375</v>
      </c>
    </row>
    <row r="2998" spans="1:45" x14ac:dyDescent="0.35">
      <c r="A2998" t="s">
        <v>45</v>
      </c>
      <c r="B2998" t="s">
        <v>6867</v>
      </c>
      <c r="C2998" t="s">
        <v>47</v>
      </c>
      <c r="D2998" t="s">
        <v>6782</v>
      </c>
      <c r="E2998" t="s">
        <v>6782</v>
      </c>
      <c r="F2998" t="s">
        <v>49</v>
      </c>
      <c r="G2998" t="s">
        <v>6915</v>
      </c>
      <c r="H2998" t="s">
        <v>6916</v>
      </c>
      <c r="J2998" t="str">
        <f>HYPERLINK("https://www.facebook.com/454965103328545/posts/767562042068848?comment_id=1453808901840542","https://www.facebook.com/454965103328545/posts/767562042068848?comment_id=1453808901840542")</f>
        <v>https://www.facebook.com/454965103328545/posts/767562042068848?comment_id=1453808901840542</v>
      </c>
      <c r="O2998">
        <v>0</v>
      </c>
      <c r="P2998">
        <v>0</v>
      </c>
      <c r="Q2998">
        <v>0</v>
      </c>
      <c r="S2998">
        <v>0</v>
      </c>
      <c r="T2998">
        <v>0</v>
      </c>
      <c r="U2998">
        <v>0</v>
      </c>
      <c r="W2998" t="s">
        <v>62</v>
      </c>
    </row>
    <row r="2999" spans="1:45" x14ac:dyDescent="0.35">
      <c r="A2999" t="s">
        <v>45</v>
      </c>
      <c r="B2999" t="s">
        <v>6867</v>
      </c>
      <c r="C2999" t="s">
        <v>47</v>
      </c>
      <c r="D2999" t="s">
        <v>6917</v>
      </c>
      <c r="E2999" t="s">
        <v>6917</v>
      </c>
      <c r="F2999" t="s">
        <v>49</v>
      </c>
      <c r="G2999" t="s">
        <v>56</v>
      </c>
      <c r="H2999" t="s">
        <v>6918</v>
      </c>
      <c r="J2999" t="str">
        <f>HYPERLINK("https://www.facebook.com/357267201017935/inbox/7016511245093464/","https://www.facebook.com/357267201017935/inbox/7016511245093464/")</f>
        <v>https://www.facebook.com/357267201017935/inbox/7016511245093464/</v>
      </c>
      <c r="O2999">
        <v>0</v>
      </c>
      <c r="P2999">
        <v>0</v>
      </c>
      <c r="Q2999">
        <v>0</v>
      </c>
      <c r="S2999">
        <v>0</v>
      </c>
      <c r="T2999">
        <v>0</v>
      </c>
      <c r="U2999">
        <v>0</v>
      </c>
      <c r="W2999" t="s">
        <v>52</v>
      </c>
    </row>
    <row r="3000" spans="1:45" x14ac:dyDescent="0.35">
      <c r="A3000" t="s">
        <v>45</v>
      </c>
      <c r="B3000" t="s">
        <v>6867</v>
      </c>
      <c r="C3000" t="s">
        <v>47</v>
      </c>
      <c r="D3000" t="s">
        <v>6917</v>
      </c>
      <c r="E3000" t="s">
        <v>6917</v>
      </c>
      <c r="F3000" t="s">
        <v>49</v>
      </c>
      <c r="G3000" t="s">
        <v>6919</v>
      </c>
      <c r="H3000" t="s">
        <v>6920</v>
      </c>
      <c r="J3000" t="str">
        <f>HYPERLINK("https://www.facebook.com/357267201017935/inbox/7016511245093464/","https://www.facebook.com/357267201017935/inbox/7016511245093464/")</f>
        <v>https://www.facebook.com/357267201017935/inbox/7016511245093464/</v>
      </c>
      <c r="O3000">
        <v>0</v>
      </c>
      <c r="P3000">
        <v>0</v>
      </c>
      <c r="Q3000">
        <v>0</v>
      </c>
      <c r="S3000">
        <v>0</v>
      </c>
      <c r="T3000">
        <v>0</v>
      </c>
      <c r="U3000">
        <v>0</v>
      </c>
      <c r="W3000" t="s">
        <v>52</v>
      </c>
      <c r="AS3000" t="s">
        <v>375</v>
      </c>
    </row>
    <row r="3001" spans="1:45" x14ac:dyDescent="0.35">
      <c r="A3001" t="s">
        <v>45</v>
      </c>
      <c r="B3001" t="s">
        <v>6867</v>
      </c>
      <c r="C3001" t="s">
        <v>47</v>
      </c>
      <c r="D3001" t="s">
        <v>1779</v>
      </c>
      <c r="E3001" t="s">
        <v>1779</v>
      </c>
      <c r="F3001" t="s">
        <v>49</v>
      </c>
      <c r="G3001" t="s">
        <v>6921</v>
      </c>
      <c r="H3001" t="s">
        <v>6922</v>
      </c>
      <c r="J3001" t="str">
        <f>HYPERLINK("https://www.facebook.com/454965103328545/posts/767562042068848?comment_id=6961641523961555","https://www.facebook.com/454965103328545/posts/767562042068848?comment_id=6961641523961555")</f>
        <v>https://www.facebook.com/454965103328545/posts/767562042068848?comment_id=6961641523961555</v>
      </c>
      <c r="O3001">
        <v>0</v>
      </c>
      <c r="P3001">
        <v>0</v>
      </c>
      <c r="Q3001">
        <v>0</v>
      </c>
      <c r="S3001">
        <v>0</v>
      </c>
      <c r="T3001">
        <v>0</v>
      </c>
      <c r="U3001">
        <v>0</v>
      </c>
      <c r="W3001" t="s">
        <v>62</v>
      </c>
      <c r="AS3001" t="s">
        <v>375</v>
      </c>
    </row>
    <row r="3002" spans="1:45" x14ac:dyDescent="0.35">
      <c r="A3002" t="s">
        <v>45</v>
      </c>
      <c r="B3002" t="s">
        <v>6867</v>
      </c>
      <c r="C3002" t="s">
        <v>47</v>
      </c>
      <c r="D3002" t="s">
        <v>1284</v>
      </c>
      <c r="E3002" t="s">
        <v>1284</v>
      </c>
      <c r="F3002" t="s">
        <v>49</v>
      </c>
      <c r="G3002" t="s">
        <v>6351</v>
      </c>
      <c r="H3002" t="s">
        <v>6923</v>
      </c>
      <c r="J3002" t="str">
        <f>HYPERLINK("https://www.facebook.com/454965103328545/posts/767562042068848?comment_id=1311910329479218","https://www.facebook.com/454965103328545/posts/767562042068848?comment_id=1311910329479218")</f>
        <v>https://www.facebook.com/454965103328545/posts/767562042068848?comment_id=1311910329479218</v>
      </c>
      <c r="O3002">
        <v>0</v>
      </c>
      <c r="P3002">
        <v>0</v>
      </c>
      <c r="Q3002">
        <v>0</v>
      </c>
      <c r="S3002">
        <v>0</v>
      </c>
      <c r="T3002">
        <v>0</v>
      </c>
      <c r="U3002">
        <v>0</v>
      </c>
      <c r="W3002" t="s">
        <v>62</v>
      </c>
      <c r="AS3002" t="s">
        <v>375</v>
      </c>
    </row>
    <row r="3003" spans="1:45" x14ac:dyDescent="0.35">
      <c r="A3003" t="s">
        <v>45</v>
      </c>
      <c r="B3003" t="s">
        <v>6867</v>
      </c>
      <c r="C3003" t="s">
        <v>58</v>
      </c>
      <c r="D3003" t="s">
        <v>6924</v>
      </c>
      <c r="E3003" t="s">
        <v>6924</v>
      </c>
      <c r="F3003" t="s">
        <v>49</v>
      </c>
      <c r="G3003" t="s">
        <v>6925</v>
      </c>
      <c r="H3003" t="s">
        <v>6926</v>
      </c>
      <c r="J3003" t="str">
        <f>HYPERLINK("https://www.youtube.com/watch?v=kokrYxfnAvo","https://www.youtube.com/watch?v=kokrYxfnAvo")</f>
        <v>https://www.youtube.com/watch?v=kokrYxfnAvo</v>
      </c>
      <c r="O3003">
        <v>0</v>
      </c>
      <c r="P3003">
        <v>0</v>
      </c>
      <c r="Q3003">
        <v>0</v>
      </c>
      <c r="S3003">
        <v>0</v>
      </c>
      <c r="T3003">
        <v>0</v>
      </c>
      <c r="U3003">
        <v>0</v>
      </c>
      <c r="W3003" t="s">
        <v>106</v>
      </c>
      <c r="AP3003" t="s">
        <v>101</v>
      </c>
    </row>
    <row r="3004" spans="1:45" x14ac:dyDescent="0.35">
      <c r="A3004" t="s">
        <v>45</v>
      </c>
      <c r="B3004" t="s">
        <v>6867</v>
      </c>
      <c r="C3004" t="s">
        <v>63</v>
      </c>
      <c r="D3004" t="s">
        <v>186</v>
      </c>
      <c r="E3004" t="s">
        <v>186</v>
      </c>
      <c r="F3004" t="s">
        <v>49</v>
      </c>
      <c r="G3004" t="s">
        <v>6927</v>
      </c>
      <c r="H3004" t="s">
        <v>6928</v>
      </c>
      <c r="J3004" t="str">
        <f>HYPERLINK("https://www.instagram.com/p/C3FbriJMhWX/","https://www.instagram.com/p/C3FbriJMhWX/")</f>
        <v>https://www.instagram.com/p/C3FbriJMhWX/</v>
      </c>
      <c r="O3004">
        <v>0</v>
      </c>
      <c r="P3004">
        <v>0</v>
      </c>
      <c r="Q3004">
        <v>0</v>
      </c>
      <c r="S3004">
        <v>0</v>
      </c>
      <c r="T3004">
        <v>69</v>
      </c>
      <c r="U3004">
        <v>0</v>
      </c>
      <c r="W3004" t="s">
        <v>106</v>
      </c>
    </row>
    <row r="3005" spans="1:45" x14ac:dyDescent="0.35">
      <c r="A3005" t="s">
        <v>45</v>
      </c>
      <c r="B3005" t="s">
        <v>6867</v>
      </c>
      <c r="C3005" t="s">
        <v>139</v>
      </c>
      <c r="D3005" t="s">
        <v>190</v>
      </c>
      <c r="E3005" t="s">
        <v>45</v>
      </c>
      <c r="F3005" t="s">
        <v>49</v>
      </c>
      <c r="G3005" t="s">
        <v>6929</v>
      </c>
      <c r="H3005" t="s">
        <v>6930</v>
      </c>
      <c r="J3005" t="str">
        <f>HYPERLINK("https://twitter.com/FinoPaymntsBank/status/1755554569499574678","https://twitter.com/FinoPaymntsBank/status/1755554569499574678")</f>
        <v>https://twitter.com/FinoPaymntsBank/status/1755554569499574678</v>
      </c>
      <c r="K3005" t="s">
        <v>145</v>
      </c>
      <c r="O3005">
        <v>0</v>
      </c>
      <c r="P3005">
        <v>0</v>
      </c>
      <c r="Q3005">
        <v>8367</v>
      </c>
      <c r="R3005" t="s">
        <v>193</v>
      </c>
      <c r="S3005">
        <v>0</v>
      </c>
      <c r="T3005">
        <v>0</v>
      </c>
      <c r="U3005">
        <v>0</v>
      </c>
      <c r="W3005" t="s">
        <v>146</v>
      </c>
    </row>
    <row r="3006" spans="1:45" x14ac:dyDescent="0.35">
      <c r="A3006" t="s">
        <v>45</v>
      </c>
      <c r="B3006" t="s">
        <v>6867</v>
      </c>
      <c r="C3006" t="s">
        <v>47</v>
      </c>
      <c r="D3006" t="s">
        <v>45</v>
      </c>
      <c r="E3006" t="s">
        <v>45</v>
      </c>
      <c r="F3006" t="s">
        <v>49</v>
      </c>
      <c r="G3006" t="s">
        <v>6927</v>
      </c>
      <c r="H3006" t="s">
        <v>6930</v>
      </c>
      <c r="J3006" t="str">
        <f>HYPERLINK("https://www.facebook.com/357267201017935_767562042068848","https://www.facebook.com/357267201017935_767562042068848")</f>
        <v>https://www.facebook.com/357267201017935_767562042068848</v>
      </c>
      <c r="O3006">
        <v>0</v>
      </c>
      <c r="P3006">
        <v>0</v>
      </c>
      <c r="Q3006">
        <v>0</v>
      </c>
      <c r="S3006">
        <v>7</v>
      </c>
      <c r="T3006">
        <v>73</v>
      </c>
      <c r="U3006">
        <v>8</v>
      </c>
      <c r="W3006" t="s">
        <v>106</v>
      </c>
    </row>
    <row r="3007" spans="1:45" x14ac:dyDescent="0.35">
      <c r="A3007" t="s">
        <v>45</v>
      </c>
      <c r="B3007" t="s">
        <v>6867</v>
      </c>
      <c r="C3007" t="s">
        <v>58</v>
      </c>
      <c r="D3007" t="s">
        <v>6931</v>
      </c>
      <c r="E3007" t="s">
        <v>6931</v>
      </c>
      <c r="F3007" t="s">
        <v>49</v>
      </c>
      <c r="G3007" t="s">
        <v>6932</v>
      </c>
      <c r="H3007" t="s">
        <v>6933</v>
      </c>
      <c r="J3007" t="str">
        <f>HYPERLINK("https://www.youtube.com/watch?v=axHE-JJBKk0","https://www.youtube.com/watch?v=axHE-JJBKk0")</f>
        <v>https://www.youtube.com/watch?v=axHE-JJBKk0</v>
      </c>
      <c r="O3007">
        <v>0</v>
      </c>
      <c r="P3007">
        <v>0</v>
      </c>
      <c r="Q3007">
        <v>0</v>
      </c>
      <c r="S3007">
        <v>0</v>
      </c>
      <c r="T3007">
        <v>0</v>
      </c>
      <c r="U3007">
        <v>0</v>
      </c>
      <c r="W3007" t="s">
        <v>106</v>
      </c>
    </row>
    <row r="3008" spans="1:45" x14ac:dyDescent="0.35">
      <c r="A3008" t="s">
        <v>45</v>
      </c>
      <c r="B3008" t="s">
        <v>6867</v>
      </c>
      <c r="C3008" t="s">
        <v>47</v>
      </c>
      <c r="D3008" t="s">
        <v>6934</v>
      </c>
      <c r="E3008" t="s">
        <v>6934</v>
      </c>
      <c r="F3008" t="s">
        <v>49</v>
      </c>
      <c r="G3008" t="s">
        <v>6935</v>
      </c>
      <c r="H3008" t="s">
        <v>6936</v>
      </c>
      <c r="J3008" t="str">
        <f>HYPERLINK("https://www.facebook.com/454965103328545/posts/766279632197089?comment_id=382976257788201","https://www.facebook.com/454965103328545/posts/766279632197089?comment_id=382976257788201")</f>
        <v>https://www.facebook.com/454965103328545/posts/766279632197089?comment_id=382976257788201</v>
      </c>
      <c r="O3008">
        <v>0</v>
      </c>
      <c r="P3008">
        <v>0</v>
      </c>
      <c r="Q3008">
        <v>0</v>
      </c>
      <c r="S3008">
        <v>0</v>
      </c>
      <c r="T3008">
        <v>0</v>
      </c>
      <c r="U3008">
        <v>0</v>
      </c>
      <c r="W3008" t="s">
        <v>62</v>
      </c>
      <c r="AO3008" t="s">
        <v>119</v>
      </c>
      <c r="AP3008" t="s">
        <v>101</v>
      </c>
    </row>
    <row r="3009" spans="1:45" x14ac:dyDescent="0.35">
      <c r="A3009" t="s">
        <v>45</v>
      </c>
      <c r="B3009" t="s">
        <v>6867</v>
      </c>
      <c r="C3009" t="s">
        <v>47</v>
      </c>
      <c r="D3009" t="s">
        <v>6937</v>
      </c>
      <c r="E3009" t="s">
        <v>6937</v>
      </c>
      <c r="F3009" t="s">
        <v>49</v>
      </c>
      <c r="G3009" t="s">
        <v>6938</v>
      </c>
      <c r="H3009" t="s">
        <v>6939</v>
      </c>
      <c r="J3009" t="str">
        <f>HYPERLINK("https://www.facebook.com/357267201017935/inbox/5546515182093085/","https://www.facebook.com/357267201017935/inbox/5546515182093085/")</f>
        <v>https://www.facebook.com/357267201017935/inbox/5546515182093085/</v>
      </c>
      <c r="O3009">
        <v>0</v>
      </c>
      <c r="P3009">
        <v>0</v>
      </c>
      <c r="Q3009">
        <v>0</v>
      </c>
      <c r="S3009">
        <v>0</v>
      </c>
      <c r="T3009">
        <v>0</v>
      </c>
      <c r="U3009">
        <v>0</v>
      </c>
      <c r="W3009" t="s">
        <v>52</v>
      </c>
      <c r="AS3009" t="s">
        <v>375</v>
      </c>
    </row>
    <row r="3010" spans="1:45" x14ac:dyDescent="0.35">
      <c r="A3010" t="s">
        <v>45</v>
      </c>
      <c r="B3010" t="s">
        <v>6867</v>
      </c>
      <c r="C3010" t="s">
        <v>47</v>
      </c>
      <c r="D3010" t="s">
        <v>6937</v>
      </c>
      <c r="E3010" t="s">
        <v>6937</v>
      </c>
      <c r="F3010" t="s">
        <v>49</v>
      </c>
      <c r="G3010" t="s">
        <v>253</v>
      </c>
      <c r="H3010" t="s">
        <v>6940</v>
      </c>
      <c r="J3010" t="str">
        <f>HYPERLINK("https://www.facebook.com/357267201017935/inbox/5546515182093085/","https://www.facebook.com/357267201017935/inbox/5546515182093085/")</f>
        <v>https://www.facebook.com/357267201017935/inbox/5546515182093085/</v>
      </c>
      <c r="O3010">
        <v>0</v>
      </c>
      <c r="P3010">
        <v>0</v>
      </c>
      <c r="Q3010">
        <v>0</v>
      </c>
      <c r="S3010">
        <v>0</v>
      </c>
      <c r="T3010">
        <v>0</v>
      </c>
      <c r="U3010">
        <v>0</v>
      </c>
      <c r="W3010" t="s">
        <v>52</v>
      </c>
    </row>
    <row r="3011" spans="1:45" x14ac:dyDescent="0.35">
      <c r="A3011" t="s">
        <v>45</v>
      </c>
      <c r="B3011" t="s">
        <v>6867</v>
      </c>
      <c r="C3011" t="s">
        <v>47</v>
      </c>
      <c r="D3011" t="s">
        <v>6937</v>
      </c>
      <c r="E3011" t="s">
        <v>6937</v>
      </c>
      <c r="F3011" t="s">
        <v>49</v>
      </c>
      <c r="G3011" t="s">
        <v>6941</v>
      </c>
      <c r="H3011" t="s">
        <v>6942</v>
      </c>
      <c r="J3011" t="str">
        <f>HYPERLINK("https://www.facebook.com/357267201017935/inbox/5546515182093085/","https://www.facebook.com/357267201017935/inbox/5546515182093085/")</f>
        <v>https://www.facebook.com/357267201017935/inbox/5546515182093085/</v>
      </c>
      <c r="O3011">
        <v>0</v>
      </c>
      <c r="P3011">
        <v>0</v>
      </c>
      <c r="Q3011">
        <v>0</v>
      </c>
      <c r="S3011">
        <v>0</v>
      </c>
      <c r="T3011">
        <v>0</v>
      </c>
      <c r="U3011">
        <v>0</v>
      </c>
      <c r="W3011" t="s">
        <v>52</v>
      </c>
    </row>
    <row r="3012" spans="1:45" x14ac:dyDescent="0.35">
      <c r="A3012" t="s">
        <v>45</v>
      </c>
      <c r="B3012" t="s">
        <v>6867</v>
      </c>
      <c r="C3012" t="s">
        <v>47</v>
      </c>
      <c r="D3012" t="s">
        <v>6937</v>
      </c>
      <c r="E3012" t="s">
        <v>6937</v>
      </c>
      <c r="F3012" t="s">
        <v>49</v>
      </c>
      <c r="G3012" t="s">
        <v>253</v>
      </c>
      <c r="H3012" t="s">
        <v>6943</v>
      </c>
      <c r="J3012" t="str">
        <f>HYPERLINK("https://www.facebook.com/357267201017935/inbox/5546515182093085/","https://www.facebook.com/357267201017935/inbox/5546515182093085/")</f>
        <v>https://www.facebook.com/357267201017935/inbox/5546515182093085/</v>
      </c>
      <c r="O3012">
        <v>0</v>
      </c>
      <c r="P3012">
        <v>0</v>
      </c>
      <c r="Q3012">
        <v>0</v>
      </c>
      <c r="S3012">
        <v>0</v>
      </c>
      <c r="T3012">
        <v>0</v>
      </c>
      <c r="U3012">
        <v>0</v>
      </c>
      <c r="W3012" t="s">
        <v>52</v>
      </c>
    </row>
    <row r="3013" spans="1:45" x14ac:dyDescent="0.35">
      <c r="A3013" t="s">
        <v>45</v>
      </c>
      <c r="B3013" t="s">
        <v>6867</v>
      </c>
      <c r="C3013" t="s">
        <v>47</v>
      </c>
      <c r="D3013" t="s">
        <v>6937</v>
      </c>
      <c r="E3013" t="s">
        <v>6937</v>
      </c>
      <c r="F3013" t="s">
        <v>49</v>
      </c>
      <c r="G3013" t="s">
        <v>6944</v>
      </c>
      <c r="H3013" t="s">
        <v>6945</v>
      </c>
      <c r="J3013" t="str">
        <f>HYPERLINK("https://www.facebook.com/357267201017935/inbox/5546515182093085/","https://www.facebook.com/357267201017935/inbox/5546515182093085/")</f>
        <v>https://www.facebook.com/357267201017935/inbox/5546515182093085/</v>
      </c>
      <c r="O3013">
        <v>0</v>
      </c>
      <c r="P3013">
        <v>0</v>
      </c>
      <c r="Q3013">
        <v>0</v>
      </c>
      <c r="S3013">
        <v>0</v>
      </c>
      <c r="T3013">
        <v>0</v>
      </c>
      <c r="U3013">
        <v>0</v>
      </c>
      <c r="W3013" t="s">
        <v>52</v>
      </c>
    </row>
    <row r="3014" spans="1:45" x14ac:dyDescent="0.35">
      <c r="A3014" t="s">
        <v>45</v>
      </c>
      <c r="B3014" t="s">
        <v>6867</v>
      </c>
      <c r="C3014" t="s">
        <v>139</v>
      </c>
      <c r="D3014" t="s">
        <v>6946</v>
      </c>
      <c r="E3014" t="s">
        <v>6947</v>
      </c>
      <c r="F3014" t="s">
        <v>49</v>
      </c>
      <c r="G3014" t="s">
        <v>6948</v>
      </c>
      <c r="H3014" t="s">
        <v>6949</v>
      </c>
      <c r="J3014" t="str">
        <f>HYPERLINK("https://twitter.com/paytm___help_03/status/1755538875613860061","https://twitter.com/paytm___help_03/status/1755538875613860061")</f>
        <v>https://twitter.com/paytm___help_03/status/1755538875613860061</v>
      </c>
      <c r="O3014">
        <v>0</v>
      </c>
      <c r="P3014">
        <v>0</v>
      </c>
      <c r="Q3014">
        <v>0</v>
      </c>
      <c r="R3014" t="s">
        <v>582</v>
      </c>
      <c r="S3014">
        <v>0</v>
      </c>
      <c r="T3014">
        <v>0</v>
      </c>
      <c r="U3014">
        <v>0</v>
      </c>
      <c r="W3014" t="s">
        <v>146</v>
      </c>
    </row>
    <row r="3015" spans="1:45" x14ac:dyDescent="0.35">
      <c r="A3015" t="s">
        <v>45</v>
      </c>
      <c r="B3015" t="s">
        <v>6867</v>
      </c>
      <c r="C3015" t="s">
        <v>47</v>
      </c>
      <c r="D3015" t="s">
        <v>6950</v>
      </c>
      <c r="E3015" t="s">
        <v>6950</v>
      </c>
      <c r="F3015" t="s">
        <v>49</v>
      </c>
      <c r="G3015" t="s">
        <v>6951</v>
      </c>
      <c r="H3015" t="s">
        <v>6952</v>
      </c>
      <c r="J3015" t="str">
        <f>HYPERLINK("https://www.facebook.com/454965103328545/posts/750007137157672?comment_id=1086288285748006","https://www.facebook.com/454965103328545/posts/750007137157672?comment_id=1086288285748006")</f>
        <v>https://www.facebook.com/454965103328545/posts/750007137157672?comment_id=1086288285748006</v>
      </c>
      <c r="O3015">
        <v>0</v>
      </c>
      <c r="P3015">
        <v>0</v>
      </c>
      <c r="Q3015">
        <v>0</v>
      </c>
      <c r="S3015">
        <v>0</v>
      </c>
      <c r="T3015">
        <v>0</v>
      </c>
      <c r="U3015">
        <v>0</v>
      </c>
      <c r="W3015" t="s">
        <v>62</v>
      </c>
      <c r="AO3015" t="s">
        <v>119</v>
      </c>
      <c r="AP3015" t="s">
        <v>101</v>
      </c>
      <c r="AS3015" t="s">
        <v>375</v>
      </c>
    </row>
    <row r="3016" spans="1:45" x14ac:dyDescent="0.35">
      <c r="A3016" t="s">
        <v>45</v>
      </c>
      <c r="B3016" t="s">
        <v>6867</v>
      </c>
      <c r="C3016" t="s">
        <v>139</v>
      </c>
      <c r="D3016" t="s">
        <v>6953</v>
      </c>
      <c r="E3016" t="s">
        <v>6954</v>
      </c>
      <c r="F3016" t="s">
        <v>49</v>
      </c>
      <c r="G3016" t="s">
        <v>6955</v>
      </c>
      <c r="H3016" t="s">
        <v>6956</v>
      </c>
      <c r="J3016" t="str">
        <f>HYPERLINK("https://twitter.com/PanderePuja/status/1755529103653163145","https://twitter.com/PanderePuja/status/1755529103653163145")</f>
        <v>https://twitter.com/PanderePuja/status/1755529103653163145</v>
      </c>
      <c r="K3016" t="s">
        <v>1769</v>
      </c>
      <c r="O3016">
        <v>0</v>
      </c>
      <c r="P3016">
        <v>0</v>
      </c>
      <c r="Q3016">
        <v>5</v>
      </c>
      <c r="S3016">
        <v>0</v>
      </c>
      <c r="T3016">
        <v>0</v>
      </c>
      <c r="U3016">
        <v>0</v>
      </c>
      <c r="W3016" t="s">
        <v>146</v>
      </c>
    </row>
    <row r="3017" spans="1:45" x14ac:dyDescent="0.35">
      <c r="A3017" t="s">
        <v>45</v>
      </c>
      <c r="B3017" t="s">
        <v>6867</v>
      </c>
      <c r="C3017" t="s">
        <v>58</v>
      </c>
      <c r="D3017" t="s">
        <v>6957</v>
      </c>
      <c r="E3017" t="s">
        <v>6957</v>
      </c>
      <c r="F3017" t="s">
        <v>49</v>
      </c>
      <c r="G3017" t="s">
        <v>6958</v>
      </c>
      <c r="H3017" t="s">
        <v>6959</v>
      </c>
      <c r="J3017" t="str">
        <f>HYPERLINK("https://www.youtube.com/watch?v=uIKLPIGHaTc&amp;lc=UgxneuM66WESwemiO054AaABAg","https://www.youtube.com/watch?v=uIKLPIGHaTc&amp;lc=UgxneuM66WESwemiO054AaABAg")</f>
        <v>https://www.youtube.com/watch?v=uIKLPIGHaTc&amp;lc=UgxneuM66WESwemiO054AaABAg</v>
      </c>
      <c r="O3017">
        <v>0</v>
      </c>
      <c r="P3017">
        <v>0</v>
      </c>
      <c r="Q3017">
        <v>0</v>
      </c>
      <c r="S3017">
        <v>0</v>
      </c>
      <c r="T3017">
        <v>0</v>
      </c>
      <c r="U3017">
        <v>0</v>
      </c>
      <c r="W3017" t="s">
        <v>62</v>
      </c>
      <c r="AP3017" t="s">
        <v>94</v>
      </c>
      <c r="AS3017" t="s">
        <v>375</v>
      </c>
    </row>
    <row r="3018" spans="1:45" x14ac:dyDescent="0.35">
      <c r="A3018" t="s">
        <v>45</v>
      </c>
      <c r="B3018" t="s">
        <v>6867</v>
      </c>
      <c r="C3018" t="s">
        <v>58</v>
      </c>
      <c r="D3018" t="s">
        <v>6957</v>
      </c>
      <c r="E3018" t="s">
        <v>6957</v>
      </c>
      <c r="F3018" t="s">
        <v>49</v>
      </c>
      <c r="G3018" t="s">
        <v>6960</v>
      </c>
      <c r="H3018" t="s">
        <v>6961</v>
      </c>
      <c r="J3018" t="str">
        <f>HYPERLINK("https://www.youtube.com/watch?v=n3kQsgUvu1k&amp;lc=Ugz1MICrDuUGAdmKwVJ4AaABAg","https://www.youtube.com/watch?v=n3kQsgUvu1k&amp;lc=Ugz1MICrDuUGAdmKwVJ4AaABAg")</f>
        <v>https://www.youtube.com/watch?v=n3kQsgUvu1k&amp;lc=Ugz1MICrDuUGAdmKwVJ4AaABAg</v>
      </c>
      <c r="O3018">
        <v>0</v>
      </c>
      <c r="P3018">
        <v>0</v>
      </c>
      <c r="Q3018">
        <v>0</v>
      </c>
      <c r="S3018">
        <v>0</v>
      </c>
      <c r="T3018">
        <v>0</v>
      </c>
      <c r="U3018">
        <v>0</v>
      </c>
      <c r="W3018" t="s">
        <v>62</v>
      </c>
      <c r="AO3018" t="s">
        <v>67</v>
      </c>
      <c r="AS3018" t="s">
        <v>375</v>
      </c>
    </row>
    <row r="3019" spans="1:45" x14ac:dyDescent="0.35">
      <c r="A3019" t="s">
        <v>45</v>
      </c>
      <c r="B3019" t="s">
        <v>6867</v>
      </c>
      <c r="C3019" t="s">
        <v>139</v>
      </c>
      <c r="D3019" t="s">
        <v>6962</v>
      </c>
      <c r="E3019" t="s">
        <v>6963</v>
      </c>
      <c r="F3019" t="s">
        <v>49</v>
      </c>
      <c r="G3019" t="s">
        <v>6964</v>
      </c>
      <c r="H3019" t="s">
        <v>6965</v>
      </c>
      <c r="J3019" t="str">
        <f>HYPERLINK("https://twitter.com/himadrigroy/status/1755527514519155130","https://twitter.com/himadrigroy/status/1755527514519155130")</f>
        <v>https://twitter.com/himadrigroy/status/1755527514519155130</v>
      </c>
      <c r="K3019" t="s">
        <v>145</v>
      </c>
      <c r="O3019">
        <v>0</v>
      </c>
      <c r="P3019">
        <v>0</v>
      </c>
      <c r="Q3019">
        <v>491</v>
      </c>
      <c r="R3019" t="s">
        <v>1868</v>
      </c>
      <c r="S3019">
        <v>0</v>
      </c>
      <c r="T3019">
        <v>0</v>
      </c>
      <c r="U3019">
        <v>0</v>
      </c>
      <c r="W3019" t="s">
        <v>146</v>
      </c>
    </row>
    <row r="3020" spans="1:45" x14ac:dyDescent="0.35">
      <c r="A3020" t="s">
        <v>45</v>
      </c>
      <c r="B3020" t="s">
        <v>6867</v>
      </c>
      <c r="C3020" t="s">
        <v>58</v>
      </c>
      <c r="D3020" t="s">
        <v>6966</v>
      </c>
      <c r="E3020" t="s">
        <v>6966</v>
      </c>
      <c r="F3020" t="s">
        <v>49</v>
      </c>
      <c r="G3020" t="s">
        <v>6967</v>
      </c>
      <c r="H3020" t="s">
        <v>6968</v>
      </c>
      <c r="J3020" t="str">
        <f>HYPERLINK("https://www.youtube.com/watch?v=DZMdVUweAng","https://www.youtube.com/watch?v=DZMdVUweAng")</f>
        <v>https://www.youtube.com/watch?v=DZMdVUweAng</v>
      </c>
      <c r="O3020">
        <v>0</v>
      </c>
      <c r="P3020">
        <v>0</v>
      </c>
      <c r="Q3020">
        <v>0</v>
      </c>
      <c r="S3020">
        <v>0</v>
      </c>
      <c r="T3020">
        <v>0</v>
      </c>
      <c r="U3020">
        <v>0</v>
      </c>
      <c r="W3020" t="s">
        <v>106</v>
      </c>
    </row>
    <row r="3021" spans="1:45" x14ac:dyDescent="0.35">
      <c r="A3021" t="s">
        <v>45</v>
      </c>
      <c r="B3021" t="s">
        <v>6867</v>
      </c>
      <c r="C3021" t="s">
        <v>139</v>
      </c>
      <c r="D3021" t="s">
        <v>6969</v>
      </c>
      <c r="E3021" t="s">
        <v>6970</v>
      </c>
      <c r="F3021" t="s">
        <v>49</v>
      </c>
      <c r="G3021" t="s">
        <v>6971</v>
      </c>
      <c r="H3021" t="s">
        <v>6972</v>
      </c>
      <c r="J3021" t="str">
        <f>HYPERLINK("https://twitter.com/ManishK46113331/status/1755526748148466039","https://twitter.com/ManishK46113331/status/1755526748148466039")</f>
        <v>https://twitter.com/ManishK46113331/status/1755526748148466039</v>
      </c>
      <c r="K3021" t="s">
        <v>145</v>
      </c>
      <c r="O3021">
        <v>0</v>
      </c>
      <c r="P3021">
        <v>0</v>
      </c>
      <c r="Q3021">
        <v>289</v>
      </c>
      <c r="R3021" t="s">
        <v>4256</v>
      </c>
      <c r="S3021">
        <v>0</v>
      </c>
      <c r="T3021">
        <v>0</v>
      </c>
      <c r="U3021">
        <v>0</v>
      </c>
      <c r="W3021" t="s">
        <v>146</v>
      </c>
    </row>
    <row r="3022" spans="1:45" x14ac:dyDescent="0.35">
      <c r="A3022" t="s">
        <v>45</v>
      </c>
      <c r="B3022" t="s">
        <v>6867</v>
      </c>
      <c r="C3022" t="s">
        <v>47</v>
      </c>
      <c r="D3022" t="s">
        <v>6973</v>
      </c>
      <c r="E3022" t="s">
        <v>6973</v>
      </c>
      <c r="F3022" t="s">
        <v>49</v>
      </c>
      <c r="G3022" t="s">
        <v>56</v>
      </c>
      <c r="H3022" t="s">
        <v>6974</v>
      </c>
      <c r="J3022" t="str">
        <f>HYPERLINK("https://www.facebook.com/357267201017935/inbox/7015869258490996/","https://www.facebook.com/357267201017935/inbox/7015869258490996/")</f>
        <v>https://www.facebook.com/357267201017935/inbox/7015869258490996/</v>
      </c>
      <c r="O3022">
        <v>0</v>
      </c>
      <c r="P3022">
        <v>0</v>
      </c>
      <c r="Q3022">
        <v>0</v>
      </c>
      <c r="S3022">
        <v>0</v>
      </c>
      <c r="T3022">
        <v>0</v>
      </c>
      <c r="U3022">
        <v>0</v>
      </c>
      <c r="W3022" t="s">
        <v>52</v>
      </c>
      <c r="AS3022" t="s">
        <v>375</v>
      </c>
    </row>
    <row r="3023" spans="1:45" x14ac:dyDescent="0.35">
      <c r="A3023" t="s">
        <v>45</v>
      </c>
      <c r="B3023" t="s">
        <v>6867</v>
      </c>
      <c r="C3023" t="s">
        <v>58</v>
      </c>
      <c r="D3023" t="s">
        <v>3869</v>
      </c>
      <c r="E3023" t="s">
        <v>3869</v>
      </c>
      <c r="F3023" t="s">
        <v>49</v>
      </c>
      <c r="G3023" t="s">
        <v>6975</v>
      </c>
      <c r="H3023" t="s">
        <v>6976</v>
      </c>
      <c r="J3023" t="str">
        <f>HYPERLINK("https://www.youtube.com/watch?v=hLRY22hDy7A","https://www.youtube.com/watch?v=hLRY22hDy7A")</f>
        <v>https://www.youtube.com/watch?v=hLRY22hDy7A</v>
      </c>
      <c r="O3023">
        <v>0</v>
      </c>
      <c r="P3023">
        <v>0</v>
      </c>
      <c r="Q3023">
        <v>0</v>
      </c>
      <c r="S3023">
        <v>0</v>
      </c>
      <c r="T3023">
        <v>0</v>
      </c>
      <c r="U3023">
        <v>0</v>
      </c>
      <c r="W3023" t="s">
        <v>106</v>
      </c>
    </row>
    <row r="3024" spans="1:45" x14ac:dyDescent="0.35">
      <c r="A3024" t="s">
        <v>45</v>
      </c>
      <c r="B3024" t="s">
        <v>6867</v>
      </c>
      <c r="C3024" t="s">
        <v>47</v>
      </c>
      <c r="D3024" t="s">
        <v>6977</v>
      </c>
      <c r="E3024" t="s">
        <v>6977</v>
      </c>
      <c r="F3024" t="s">
        <v>49</v>
      </c>
      <c r="G3024" t="s">
        <v>6978</v>
      </c>
      <c r="H3024" t="s">
        <v>6979</v>
      </c>
      <c r="J3024" t="str">
        <f>HYPERLINK("https://www.facebook.com/357267201017935/inbox/7015719461839309/","https://www.facebook.com/357267201017935/inbox/7015719461839309/")</f>
        <v>https://www.facebook.com/357267201017935/inbox/7015719461839309/</v>
      </c>
      <c r="O3024">
        <v>0</v>
      </c>
      <c r="P3024">
        <v>0</v>
      </c>
      <c r="Q3024">
        <v>0</v>
      </c>
      <c r="S3024">
        <v>0</v>
      </c>
      <c r="T3024">
        <v>0</v>
      </c>
      <c r="U3024">
        <v>0</v>
      </c>
      <c r="W3024" t="s">
        <v>52</v>
      </c>
      <c r="AS3024" t="s">
        <v>375</v>
      </c>
    </row>
    <row r="3025" spans="1:45" x14ac:dyDescent="0.35">
      <c r="A3025" t="s">
        <v>45</v>
      </c>
      <c r="B3025" t="s">
        <v>6867</v>
      </c>
      <c r="C3025" t="s">
        <v>47</v>
      </c>
      <c r="D3025" t="s">
        <v>6977</v>
      </c>
      <c r="E3025" t="s">
        <v>6977</v>
      </c>
      <c r="F3025" t="s">
        <v>49</v>
      </c>
      <c r="G3025" t="s">
        <v>56</v>
      </c>
      <c r="H3025" t="s">
        <v>6980</v>
      </c>
      <c r="J3025" t="str">
        <f>HYPERLINK("https://www.facebook.com/357267201017935/inbox/7015719461839309/","https://www.facebook.com/357267201017935/inbox/7015719461839309/")</f>
        <v>https://www.facebook.com/357267201017935/inbox/7015719461839309/</v>
      </c>
      <c r="O3025">
        <v>0</v>
      </c>
      <c r="P3025">
        <v>0</v>
      </c>
      <c r="Q3025">
        <v>0</v>
      </c>
      <c r="S3025">
        <v>0</v>
      </c>
      <c r="T3025">
        <v>0</v>
      </c>
      <c r="U3025">
        <v>0</v>
      </c>
      <c r="W3025" t="s">
        <v>52</v>
      </c>
      <c r="AS3025" t="s">
        <v>375</v>
      </c>
    </row>
    <row r="3026" spans="1:45" x14ac:dyDescent="0.35">
      <c r="A3026" t="s">
        <v>45</v>
      </c>
      <c r="B3026" t="s">
        <v>6867</v>
      </c>
      <c r="C3026" t="s">
        <v>47</v>
      </c>
      <c r="D3026" t="s">
        <v>6981</v>
      </c>
      <c r="E3026" t="s">
        <v>6981</v>
      </c>
      <c r="F3026" t="s">
        <v>49</v>
      </c>
      <c r="G3026" t="s">
        <v>373</v>
      </c>
      <c r="H3026" t="s">
        <v>6982</v>
      </c>
      <c r="J3026" t="str">
        <f>HYPERLINK("https://www.facebook.com/357267201017935/inbox/7015689571842298/","https://www.facebook.com/357267201017935/inbox/7015689571842298/")</f>
        <v>https://www.facebook.com/357267201017935/inbox/7015689571842298/</v>
      </c>
      <c r="O3026">
        <v>0</v>
      </c>
      <c r="P3026">
        <v>0</v>
      </c>
      <c r="Q3026">
        <v>0</v>
      </c>
      <c r="S3026">
        <v>0</v>
      </c>
      <c r="T3026">
        <v>0</v>
      </c>
      <c r="U3026">
        <v>0</v>
      </c>
      <c r="W3026" t="s">
        <v>52</v>
      </c>
      <c r="AS3026" t="s">
        <v>375</v>
      </c>
    </row>
    <row r="3027" spans="1:45" x14ac:dyDescent="0.35">
      <c r="A3027" t="s">
        <v>45</v>
      </c>
      <c r="B3027" t="s">
        <v>6867</v>
      </c>
      <c r="C3027" t="s">
        <v>58</v>
      </c>
      <c r="D3027" t="s">
        <v>6983</v>
      </c>
      <c r="E3027" t="s">
        <v>6983</v>
      </c>
      <c r="F3027" t="s">
        <v>49</v>
      </c>
      <c r="G3027" t="s">
        <v>6984</v>
      </c>
      <c r="H3027" t="s">
        <v>6985</v>
      </c>
      <c r="J3027" t="str">
        <f>HYPERLINK("https://www.youtube.com/watch?v=MvIyxGZVD-s","https://www.youtube.com/watch?v=MvIyxGZVD-s")</f>
        <v>https://www.youtube.com/watch?v=MvIyxGZVD-s</v>
      </c>
      <c r="O3027">
        <v>0</v>
      </c>
      <c r="P3027">
        <v>0</v>
      </c>
      <c r="Q3027">
        <v>0</v>
      </c>
      <c r="S3027">
        <v>0</v>
      </c>
      <c r="T3027">
        <v>0</v>
      </c>
      <c r="U3027">
        <v>0</v>
      </c>
      <c r="W3027" t="s">
        <v>106</v>
      </c>
    </row>
    <row r="3028" spans="1:45" x14ac:dyDescent="0.35">
      <c r="A3028" t="s">
        <v>45</v>
      </c>
      <c r="B3028" t="s">
        <v>6867</v>
      </c>
      <c r="C3028" t="s">
        <v>47</v>
      </c>
      <c r="D3028" t="s">
        <v>5108</v>
      </c>
      <c r="E3028" t="s">
        <v>5108</v>
      </c>
      <c r="F3028" t="s">
        <v>76</v>
      </c>
      <c r="G3028" t="s">
        <v>2121</v>
      </c>
      <c r="H3028" t="s">
        <v>6986</v>
      </c>
      <c r="J3028" t="str">
        <f>HYPERLINK("https://www.facebook.com/454965103328545/posts/766952498796469?comment_id=356424913857477","https://www.facebook.com/454965103328545/posts/766952498796469?comment_id=356424913857477")</f>
        <v>https://www.facebook.com/454965103328545/posts/766952498796469?comment_id=356424913857477</v>
      </c>
      <c r="O3028">
        <v>0</v>
      </c>
      <c r="P3028">
        <v>0</v>
      </c>
      <c r="Q3028">
        <v>0</v>
      </c>
      <c r="S3028">
        <v>0</v>
      </c>
      <c r="T3028">
        <v>0</v>
      </c>
      <c r="U3028">
        <v>0</v>
      </c>
      <c r="W3028" t="s">
        <v>62</v>
      </c>
    </row>
    <row r="3029" spans="1:45" x14ac:dyDescent="0.35">
      <c r="A3029" t="s">
        <v>45</v>
      </c>
      <c r="B3029" t="s">
        <v>6867</v>
      </c>
      <c r="C3029" t="s">
        <v>139</v>
      </c>
      <c r="D3029" t="s">
        <v>6987</v>
      </c>
      <c r="E3029" t="s">
        <v>6988</v>
      </c>
      <c r="F3029" t="s">
        <v>49</v>
      </c>
      <c r="G3029" t="s">
        <v>6989</v>
      </c>
      <c r="H3029" t="s">
        <v>6990</v>
      </c>
      <c r="J3029" t="str">
        <f>HYPERLINK("https://twitter.com/Ashiesh24/status/1755487008728686937","https://twitter.com/Ashiesh24/status/1755487008728686937")</f>
        <v>https://twitter.com/Ashiesh24/status/1755487008728686937</v>
      </c>
      <c r="K3029" t="s">
        <v>145</v>
      </c>
      <c r="O3029">
        <v>0</v>
      </c>
      <c r="P3029">
        <v>0</v>
      </c>
      <c r="Q3029">
        <v>2</v>
      </c>
      <c r="R3029" t="s">
        <v>6991</v>
      </c>
      <c r="S3029">
        <v>0</v>
      </c>
      <c r="T3029">
        <v>0</v>
      </c>
      <c r="U3029">
        <v>0</v>
      </c>
      <c r="W3029" t="s">
        <v>146</v>
      </c>
    </row>
    <row r="3030" spans="1:45" x14ac:dyDescent="0.35">
      <c r="A3030" t="s">
        <v>45</v>
      </c>
      <c r="B3030" t="s">
        <v>6867</v>
      </c>
      <c r="C3030" t="s">
        <v>47</v>
      </c>
      <c r="D3030" t="s">
        <v>6992</v>
      </c>
      <c r="E3030" t="s">
        <v>6992</v>
      </c>
      <c r="F3030" t="s">
        <v>49</v>
      </c>
      <c r="G3030" t="s">
        <v>6993</v>
      </c>
      <c r="H3030" t="s">
        <v>6994</v>
      </c>
      <c r="J3030" t="str">
        <f>HYPERLINK("https://www.facebook.com/454965103328545/posts/734813295343723?comment_id=896475382221163","https://www.facebook.com/454965103328545/posts/734813295343723?comment_id=896475382221163")</f>
        <v>https://www.facebook.com/454965103328545/posts/734813295343723?comment_id=896475382221163</v>
      </c>
      <c r="O3030">
        <v>0</v>
      </c>
      <c r="P3030">
        <v>0</v>
      </c>
      <c r="Q3030">
        <v>0</v>
      </c>
      <c r="S3030">
        <v>0</v>
      </c>
      <c r="T3030">
        <v>0</v>
      </c>
      <c r="U3030">
        <v>0</v>
      </c>
      <c r="W3030" t="s">
        <v>62</v>
      </c>
      <c r="AS3030" t="s">
        <v>375</v>
      </c>
    </row>
    <row r="3031" spans="1:45" x14ac:dyDescent="0.35">
      <c r="A3031" t="s">
        <v>45</v>
      </c>
      <c r="B3031" t="s">
        <v>6867</v>
      </c>
      <c r="C3031" t="s">
        <v>47</v>
      </c>
      <c r="D3031" t="s">
        <v>6995</v>
      </c>
      <c r="E3031" t="s">
        <v>6995</v>
      </c>
      <c r="F3031" t="s">
        <v>49</v>
      </c>
      <c r="G3031" t="s">
        <v>6996</v>
      </c>
      <c r="H3031" t="s">
        <v>6997</v>
      </c>
      <c r="J3031" t="str">
        <f>HYPERLINK("https://www.facebook.com/454965103328545/posts/750007137157672?comment_id=405731985135432&amp;reply_comment_id=1455133035424650","https://www.facebook.com/454965103328545/posts/750007137157672?comment_id=405731985135432&amp;reply_comment_id=1455133035424650")</f>
        <v>https://www.facebook.com/454965103328545/posts/750007137157672?comment_id=405731985135432&amp;reply_comment_id=1455133035424650</v>
      </c>
      <c r="O3031">
        <v>0</v>
      </c>
      <c r="P3031">
        <v>0</v>
      </c>
      <c r="Q3031">
        <v>0</v>
      </c>
      <c r="S3031">
        <v>0</v>
      </c>
      <c r="T3031">
        <v>0</v>
      </c>
      <c r="U3031">
        <v>0</v>
      </c>
      <c r="W3031" t="s">
        <v>62</v>
      </c>
    </row>
    <row r="3032" spans="1:45" x14ac:dyDescent="0.35">
      <c r="A3032" t="s">
        <v>45</v>
      </c>
      <c r="B3032" t="s">
        <v>6867</v>
      </c>
      <c r="C3032" t="s">
        <v>47</v>
      </c>
      <c r="D3032" t="s">
        <v>5524</v>
      </c>
      <c r="E3032" t="s">
        <v>5524</v>
      </c>
      <c r="F3032" t="s">
        <v>49</v>
      </c>
      <c r="G3032" t="s">
        <v>6998</v>
      </c>
      <c r="H3032" t="s">
        <v>6999</v>
      </c>
      <c r="J3032" t="str">
        <f>HYPERLINK("https://www.facebook.com/454965103328545/posts/763871475771238?comment_id=760445479464117&amp;reply_comment_id=1446495622915057","https://www.facebook.com/454965103328545/posts/763871475771238?comment_id=760445479464117&amp;reply_comment_id=1446495622915057")</f>
        <v>https://www.facebook.com/454965103328545/posts/763871475771238?comment_id=760445479464117&amp;reply_comment_id=1446495622915057</v>
      </c>
      <c r="O3032">
        <v>0</v>
      </c>
      <c r="P3032">
        <v>0</v>
      </c>
      <c r="Q3032">
        <v>0</v>
      </c>
      <c r="S3032">
        <v>0</v>
      </c>
      <c r="T3032">
        <v>0</v>
      </c>
      <c r="U3032">
        <v>0</v>
      </c>
      <c r="W3032" t="s">
        <v>62</v>
      </c>
    </row>
    <row r="3033" spans="1:45" x14ac:dyDescent="0.35">
      <c r="A3033" t="s">
        <v>45</v>
      </c>
      <c r="B3033" t="s">
        <v>6867</v>
      </c>
      <c r="C3033" t="s">
        <v>58</v>
      </c>
      <c r="D3033" t="s">
        <v>7000</v>
      </c>
      <c r="E3033" t="s">
        <v>7000</v>
      </c>
      <c r="F3033" t="s">
        <v>49</v>
      </c>
      <c r="G3033" t="s">
        <v>7001</v>
      </c>
      <c r="H3033" t="s">
        <v>7002</v>
      </c>
      <c r="J3033" t="str">
        <f>HYPERLINK("https://www.youtube.com/watch?v=u2iLRcLCbUY","https://www.youtube.com/watch?v=u2iLRcLCbUY")</f>
        <v>https://www.youtube.com/watch?v=u2iLRcLCbUY</v>
      </c>
      <c r="O3033">
        <v>0</v>
      </c>
      <c r="P3033">
        <v>0</v>
      </c>
      <c r="Q3033">
        <v>0</v>
      </c>
      <c r="S3033">
        <v>0</v>
      </c>
      <c r="T3033">
        <v>0</v>
      </c>
      <c r="U3033">
        <v>0</v>
      </c>
      <c r="W3033" t="s">
        <v>106</v>
      </c>
    </row>
    <row r="3034" spans="1:45" x14ac:dyDescent="0.35">
      <c r="A3034" t="s">
        <v>45</v>
      </c>
      <c r="B3034" t="s">
        <v>6867</v>
      </c>
      <c r="C3034" t="s">
        <v>47</v>
      </c>
      <c r="D3034" t="s">
        <v>7003</v>
      </c>
      <c r="E3034" t="s">
        <v>7003</v>
      </c>
      <c r="F3034" t="s">
        <v>76</v>
      </c>
      <c r="G3034" t="s">
        <v>7004</v>
      </c>
      <c r="H3034" t="s">
        <v>7005</v>
      </c>
      <c r="J3034" t="str">
        <f>HYPERLINK("https://www.facebook.com/454965103328545/posts/734813295343723?comment_id=2105313749853586","https://www.facebook.com/454965103328545/posts/734813295343723?comment_id=2105313749853586")</f>
        <v>https://www.facebook.com/454965103328545/posts/734813295343723?comment_id=2105313749853586</v>
      </c>
      <c r="O3034">
        <v>0</v>
      </c>
      <c r="P3034">
        <v>0</v>
      </c>
      <c r="Q3034">
        <v>0</v>
      </c>
      <c r="S3034">
        <v>0</v>
      </c>
      <c r="T3034">
        <v>0</v>
      </c>
      <c r="U3034">
        <v>0</v>
      </c>
      <c r="W3034" t="s">
        <v>62</v>
      </c>
    </row>
    <row r="3035" spans="1:45" x14ac:dyDescent="0.35">
      <c r="A3035" t="s">
        <v>45</v>
      </c>
      <c r="B3035" t="s">
        <v>6867</v>
      </c>
      <c r="C3035" t="s">
        <v>58</v>
      </c>
      <c r="D3035" t="s">
        <v>7006</v>
      </c>
      <c r="E3035" t="s">
        <v>7006</v>
      </c>
      <c r="F3035" t="s">
        <v>76</v>
      </c>
      <c r="G3035" t="s">
        <v>7007</v>
      </c>
      <c r="H3035" t="s">
        <v>7008</v>
      </c>
      <c r="J3035" t="str">
        <f>HYPERLINK("https://www.youtube.com/watch?v=TOp5YskbZME","https://www.youtube.com/watch?v=TOp5YskbZME")</f>
        <v>https://www.youtube.com/watch?v=TOp5YskbZME</v>
      </c>
      <c r="O3035">
        <v>0</v>
      </c>
      <c r="P3035">
        <v>0</v>
      </c>
      <c r="Q3035">
        <v>0</v>
      </c>
      <c r="S3035">
        <v>0</v>
      </c>
      <c r="T3035">
        <v>0</v>
      </c>
      <c r="U3035">
        <v>0</v>
      </c>
      <c r="W3035" t="s">
        <v>106</v>
      </c>
    </row>
    <row r="3036" spans="1:45" x14ac:dyDescent="0.35">
      <c r="A3036" t="s">
        <v>45</v>
      </c>
      <c r="B3036" t="s">
        <v>6867</v>
      </c>
      <c r="C3036" t="s">
        <v>47</v>
      </c>
      <c r="D3036" t="s">
        <v>246</v>
      </c>
      <c r="E3036" t="s">
        <v>246</v>
      </c>
      <c r="F3036" t="s">
        <v>49</v>
      </c>
      <c r="G3036" t="s">
        <v>247</v>
      </c>
      <c r="H3036" t="s">
        <v>7009</v>
      </c>
      <c r="J3036" t="str">
        <f>HYPERLINK("https://www.facebook.com/454965103328545/posts/763871475771238?comment_id=919056742800166&amp;reply_comment_id=1056332978805717","https://www.facebook.com/454965103328545/posts/763871475771238?comment_id=919056742800166&amp;reply_comment_id=1056332978805717")</f>
        <v>https://www.facebook.com/454965103328545/posts/763871475771238?comment_id=919056742800166&amp;reply_comment_id=1056332978805717</v>
      </c>
      <c r="O3036">
        <v>0</v>
      </c>
      <c r="P3036">
        <v>0</v>
      </c>
      <c r="Q3036">
        <v>0</v>
      </c>
      <c r="S3036">
        <v>0</v>
      </c>
      <c r="T3036">
        <v>0</v>
      </c>
      <c r="U3036">
        <v>0</v>
      </c>
      <c r="W3036" t="s">
        <v>106</v>
      </c>
      <c r="Y3036" t="s">
        <v>7010</v>
      </c>
      <c r="Z3036" t="s">
        <v>613</v>
      </c>
      <c r="AA3036" t="s">
        <v>614</v>
      </c>
    </row>
    <row r="3037" spans="1:45" x14ac:dyDescent="0.35">
      <c r="A3037" t="s">
        <v>45</v>
      </c>
      <c r="B3037" t="s">
        <v>6867</v>
      </c>
      <c r="C3037" t="s">
        <v>47</v>
      </c>
      <c r="D3037" t="s">
        <v>246</v>
      </c>
      <c r="E3037" t="s">
        <v>246</v>
      </c>
      <c r="F3037" t="s">
        <v>49</v>
      </c>
      <c r="G3037" t="s">
        <v>7011</v>
      </c>
      <c r="H3037" t="s">
        <v>7012</v>
      </c>
      <c r="J3037" t="str">
        <f>HYPERLINK("https://www.facebook.com/454965103328545/posts/763871475771238?comment_id=784429353532261","https://www.facebook.com/454965103328545/posts/763871475771238?comment_id=784429353532261")</f>
        <v>https://www.facebook.com/454965103328545/posts/763871475771238?comment_id=784429353532261</v>
      </c>
      <c r="O3037">
        <v>0</v>
      </c>
      <c r="P3037">
        <v>0</v>
      </c>
      <c r="Q3037">
        <v>0</v>
      </c>
      <c r="S3037">
        <v>0</v>
      </c>
      <c r="T3037">
        <v>0</v>
      </c>
      <c r="U3037">
        <v>0</v>
      </c>
      <c r="W3037" t="s">
        <v>62</v>
      </c>
      <c r="AP3037" t="s">
        <v>147</v>
      </c>
      <c r="AS3037" t="s">
        <v>375</v>
      </c>
    </row>
    <row r="3038" spans="1:45" x14ac:dyDescent="0.35">
      <c r="A3038" t="s">
        <v>45</v>
      </c>
      <c r="B3038" t="s">
        <v>6867</v>
      </c>
      <c r="C3038" t="s">
        <v>47</v>
      </c>
      <c r="D3038" t="s">
        <v>6638</v>
      </c>
      <c r="E3038" t="s">
        <v>6638</v>
      </c>
      <c r="F3038" t="s">
        <v>49</v>
      </c>
      <c r="G3038" t="s">
        <v>373</v>
      </c>
      <c r="H3038" t="s">
        <v>7013</v>
      </c>
      <c r="J3038" t="str">
        <f>HYPERLINK("https://www.facebook.com/357267201017935/inbox/7015020385242550/","https://www.facebook.com/357267201017935/inbox/7015020385242550/")</f>
        <v>https://www.facebook.com/357267201017935/inbox/7015020385242550/</v>
      </c>
      <c r="O3038">
        <v>0</v>
      </c>
      <c r="P3038">
        <v>0</v>
      </c>
      <c r="Q3038">
        <v>0</v>
      </c>
      <c r="S3038">
        <v>0</v>
      </c>
      <c r="T3038">
        <v>0</v>
      </c>
      <c r="U3038">
        <v>0</v>
      </c>
      <c r="W3038" t="s">
        <v>52</v>
      </c>
      <c r="AS3038" t="s">
        <v>375</v>
      </c>
    </row>
    <row r="3039" spans="1:45" x14ac:dyDescent="0.35">
      <c r="A3039" t="s">
        <v>45</v>
      </c>
      <c r="B3039" t="s">
        <v>6867</v>
      </c>
      <c r="C3039" t="s">
        <v>47</v>
      </c>
      <c r="D3039" t="s">
        <v>7014</v>
      </c>
      <c r="E3039" t="s">
        <v>7014</v>
      </c>
      <c r="F3039" t="s">
        <v>49</v>
      </c>
      <c r="G3039" t="s">
        <v>7015</v>
      </c>
      <c r="H3039" t="s">
        <v>7016</v>
      </c>
      <c r="J3039" t="str">
        <f>HYPERLINK("https://www.facebook.com/454965103328545/posts/763871475771238?comment_id=686742060336039&amp;reply_comment_id=762139618703313","https://www.facebook.com/454965103328545/posts/763871475771238?comment_id=686742060336039&amp;reply_comment_id=762139618703313")</f>
        <v>https://www.facebook.com/454965103328545/posts/763871475771238?comment_id=686742060336039&amp;reply_comment_id=762139618703313</v>
      </c>
      <c r="O3039">
        <v>0</v>
      </c>
      <c r="P3039">
        <v>0</v>
      </c>
      <c r="Q3039">
        <v>0</v>
      </c>
      <c r="S3039">
        <v>0</v>
      </c>
      <c r="T3039">
        <v>0</v>
      </c>
      <c r="U3039">
        <v>0</v>
      </c>
      <c r="W3039" t="s">
        <v>62</v>
      </c>
    </row>
    <row r="3040" spans="1:45" x14ac:dyDescent="0.35">
      <c r="A3040" t="s">
        <v>45</v>
      </c>
      <c r="B3040" t="s">
        <v>6867</v>
      </c>
      <c r="C3040" t="s">
        <v>47</v>
      </c>
      <c r="D3040" t="s">
        <v>7014</v>
      </c>
      <c r="E3040" t="s">
        <v>7014</v>
      </c>
      <c r="F3040" t="s">
        <v>49</v>
      </c>
      <c r="G3040" t="s">
        <v>7017</v>
      </c>
      <c r="H3040" t="s">
        <v>7018</v>
      </c>
      <c r="J3040" t="str">
        <f>HYPERLINK("https://www.facebook.com/454965103328545/posts/763871475771238?comment_id=1262591051365601&amp;reply_comment_id=403734315484895","https://www.facebook.com/454965103328545/posts/763871475771238?comment_id=1262591051365601&amp;reply_comment_id=403734315484895")</f>
        <v>https://www.facebook.com/454965103328545/posts/763871475771238?comment_id=1262591051365601&amp;reply_comment_id=403734315484895</v>
      </c>
      <c r="O3040">
        <v>0</v>
      </c>
      <c r="P3040">
        <v>0</v>
      </c>
      <c r="Q3040">
        <v>0</v>
      </c>
      <c r="S3040">
        <v>0</v>
      </c>
      <c r="T3040">
        <v>0</v>
      </c>
      <c r="U3040">
        <v>0</v>
      </c>
      <c r="W3040" t="s">
        <v>62</v>
      </c>
    </row>
    <row r="3041" spans="1:23" x14ac:dyDescent="0.35">
      <c r="A3041" t="s">
        <v>45</v>
      </c>
      <c r="B3041" t="s">
        <v>6867</v>
      </c>
      <c r="C3041" t="s">
        <v>47</v>
      </c>
      <c r="D3041" t="s">
        <v>7014</v>
      </c>
      <c r="E3041" t="s">
        <v>7014</v>
      </c>
      <c r="F3041" t="s">
        <v>49</v>
      </c>
      <c r="G3041" t="s">
        <v>7019</v>
      </c>
      <c r="H3041" t="s">
        <v>7020</v>
      </c>
      <c r="J3041" t="str">
        <f>HYPERLINK("https://www.facebook.com/454965103328545/posts/763871475771238?comment_id=934373514714092&amp;reply_comment_id=2338407026354407","https://www.facebook.com/454965103328545/posts/763871475771238?comment_id=934373514714092&amp;reply_comment_id=2338407026354407")</f>
        <v>https://www.facebook.com/454965103328545/posts/763871475771238?comment_id=934373514714092&amp;reply_comment_id=2338407026354407</v>
      </c>
      <c r="O3041">
        <v>0</v>
      </c>
      <c r="P3041">
        <v>0</v>
      </c>
      <c r="Q3041">
        <v>0</v>
      </c>
      <c r="S3041">
        <v>0</v>
      </c>
      <c r="T3041">
        <v>0</v>
      </c>
      <c r="U3041">
        <v>0</v>
      </c>
      <c r="W3041" t="s">
        <v>62</v>
      </c>
    </row>
    <row r="3042" spans="1:23" x14ac:dyDescent="0.35">
      <c r="A3042" t="s">
        <v>45</v>
      </c>
      <c r="B3042" t="s">
        <v>6867</v>
      </c>
      <c r="C3042" t="s">
        <v>47</v>
      </c>
      <c r="D3042" t="s">
        <v>7014</v>
      </c>
      <c r="E3042" t="s">
        <v>7014</v>
      </c>
      <c r="F3042" t="s">
        <v>49</v>
      </c>
      <c r="G3042" t="s">
        <v>7021</v>
      </c>
      <c r="H3042" t="s">
        <v>7022</v>
      </c>
      <c r="J3042" t="str">
        <f>HYPERLINK("https://www.facebook.com/454965103328545/posts/763871475771238?comment_id=1157992305574346&amp;reply_comment_id=940829610283970","https://www.facebook.com/454965103328545/posts/763871475771238?comment_id=1157992305574346&amp;reply_comment_id=940829610283970")</f>
        <v>https://www.facebook.com/454965103328545/posts/763871475771238?comment_id=1157992305574346&amp;reply_comment_id=940829610283970</v>
      </c>
      <c r="O3042">
        <v>0</v>
      </c>
      <c r="P3042">
        <v>0</v>
      </c>
      <c r="Q3042">
        <v>0</v>
      </c>
      <c r="S3042">
        <v>0</v>
      </c>
      <c r="T3042">
        <v>0</v>
      </c>
      <c r="U3042">
        <v>0</v>
      </c>
      <c r="W3042" t="s">
        <v>62</v>
      </c>
    </row>
    <row r="3043" spans="1:23" x14ac:dyDescent="0.35">
      <c r="A3043" t="s">
        <v>45</v>
      </c>
      <c r="B3043" t="s">
        <v>6867</v>
      </c>
      <c r="C3043" t="s">
        <v>47</v>
      </c>
      <c r="D3043" t="s">
        <v>7014</v>
      </c>
      <c r="E3043" t="s">
        <v>7014</v>
      </c>
      <c r="F3043" t="s">
        <v>49</v>
      </c>
      <c r="G3043" t="s">
        <v>7023</v>
      </c>
      <c r="H3043" t="s">
        <v>7024</v>
      </c>
      <c r="J3043" t="str">
        <f>HYPERLINK("https://www.facebook.com/454965103328545/posts/763871475771238?comment_id=1624955584575952&amp;reply_comment_id=350894911187771","https://www.facebook.com/454965103328545/posts/763871475771238?comment_id=1624955584575952&amp;reply_comment_id=350894911187771")</f>
        <v>https://www.facebook.com/454965103328545/posts/763871475771238?comment_id=1624955584575952&amp;reply_comment_id=350894911187771</v>
      </c>
      <c r="O3043">
        <v>0</v>
      </c>
      <c r="P3043">
        <v>0</v>
      </c>
      <c r="Q3043">
        <v>0</v>
      </c>
      <c r="S3043">
        <v>0</v>
      </c>
      <c r="T3043">
        <v>0</v>
      </c>
      <c r="U3043">
        <v>0</v>
      </c>
      <c r="W3043" t="s">
        <v>62</v>
      </c>
    </row>
    <row r="3044" spans="1:23" x14ac:dyDescent="0.35">
      <c r="A3044" t="s">
        <v>45</v>
      </c>
      <c r="B3044" t="s">
        <v>6867</v>
      </c>
      <c r="C3044" t="s">
        <v>47</v>
      </c>
      <c r="D3044" t="s">
        <v>7014</v>
      </c>
      <c r="E3044" t="s">
        <v>7014</v>
      </c>
      <c r="F3044" t="s">
        <v>49</v>
      </c>
      <c r="G3044" t="s">
        <v>7025</v>
      </c>
      <c r="H3044" t="s">
        <v>7026</v>
      </c>
      <c r="J3044" t="str">
        <f>HYPERLINK("https://www.facebook.com/454965103328545/posts/763871475771238?comment_id=1311057186249566&amp;reply_comment_id=3563527660626514","https://www.facebook.com/454965103328545/posts/763871475771238?comment_id=1311057186249566&amp;reply_comment_id=3563527660626514")</f>
        <v>https://www.facebook.com/454965103328545/posts/763871475771238?comment_id=1311057186249566&amp;reply_comment_id=3563527660626514</v>
      </c>
      <c r="O3044">
        <v>0</v>
      </c>
      <c r="P3044">
        <v>0</v>
      </c>
      <c r="Q3044">
        <v>0</v>
      </c>
      <c r="S3044">
        <v>0</v>
      </c>
      <c r="T3044">
        <v>0</v>
      </c>
      <c r="U3044">
        <v>0</v>
      </c>
      <c r="W3044" t="s">
        <v>62</v>
      </c>
    </row>
    <row r="3045" spans="1:23" x14ac:dyDescent="0.35">
      <c r="A3045" t="s">
        <v>45</v>
      </c>
      <c r="B3045" t="s">
        <v>6867</v>
      </c>
      <c r="C3045" t="s">
        <v>47</v>
      </c>
      <c r="D3045" t="s">
        <v>7014</v>
      </c>
      <c r="E3045" t="s">
        <v>7014</v>
      </c>
      <c r="F3045" t="s">
        <v>49</v>
      </c>
      <c r="G3045" t="s">
        <v>7027</v>
      </c>
      <c r="H3045" t="s">
        <v>7028</v>
      </c>
      <c r="J3045" t="str">
        <f>HYPERLINK("https://www.facebook.com/454965103328545/posts/763871475771238?comment_id=950920013270531&amp;reply_comment_id=762408265781087","https://www.facebook.com/454965103328545/posts/763871475771238?comment_id=950920013270531&amp;reply_comment_id=762408265781087")</f>
        <v>https://www.facebook.com/454965103328545/posts/763871475771238?comment_id=950920013270531&amp;reply_comment_id=762408265781087</v>
      </c>
      <c r="O3045">
        <v>0</v>
      </c>
      <c r="P3045">
        <v>0</v>
      </c>
      <c r="Q3045">
        <v>0</v>
      </c>
      <c r="S3045">
        <v>0</v>
      </c>
      <c r="T3045">
        <v>0</v>
      </c>
      <c r="U3045">
        <v>0</v>
      </c>
      <c r="W3045" t="s">
        <v>62</v>
      </c>
    </row>
    <row r="3046" spans="1:23" x14ac:dyDescent="0.35">
      <c r="A3046" t="s">
        <v>45</v>
      </c>
      <c r="B3046" t="s">
        <v>6867</v>
      </c>
      <c r="C3046" t="s">
        <v>47</v>
      </c>
      <c r="D3046" t="s">
        <v>7014</v>
      </c>
      <c r="E3046" t="s">
        <v>7014</v>
      </c>
      <c r="F3046" t="s">
        <v>49</v>
      </c>
      <c r="G3046" t="s">
        <v>7029</v>
      </c>
      <c r="H3046" t="s">
        <v>7030</v>
      </c>
      <c r="J3046" t="str">
        <f>HYPERLINK("https://www.facebook.com/454965103328545/posts/763871475771238?comment_id=760445479464117&amp;reply_comment_id=790682546235147","https://www.facebook.com/454965103328545/posts/763871475771238?comment_id=760445479464117&amp;reply_comment_id=790682546235147")</f>
        <v>https://www.facebook.com/454965103328545/posts/763871475771238?comment_id=760445479464117&amp;reply_comment_id=790682546235147</v>
      </c>
      <c r="O3046">
        <v>0</v>
      </c>
      <c r="P3046">
        <v>0</v>
      </c>
      <c r="Q3046">
        <v>0</v>
      </c>
      <c r="S3046">
        <v>0</v>
      </c>
      <c r="T3046">
        <v>0</v>
      </c>
      <c r="U3046">
        <v>0</v>
      </c>
      <c r="W3046" t="s">
        <v>62</v>
      </c>
    </row>
    <row r="3047" spans="1:23" x14ac:dyDescent="0.35">
      <c r="A3047" t="s">
        <v>45</v>
      </c>
      <c r="B3047" t="s">
        <v>6867</v>
      </c>
      <c r="C3047" t="s">
        <v>47</v>
      </c>
      <c r="D3047" t="s">
        <v>7014</v>
      </c>
      <c r="E3047" t="s">
        <v>7014</v>
      </c>
      <c r="F3047" t="s">
        <v>49</v>
      </c>
      <c r="G3047" t="s">
        <v>7031</v>
      </c>
      <c r="H3047" t="s">
        <v>7032</v>
      </c>
      <c r="J3047" t="str">
        <f>HYPERLINK("https://www.facebook.com/454965103328545/posts/763871475771238?comment_id=1132127244482322&amp;reply_comment_id=746362620491561","https://www.facebook.com/454965103328545/posts/763871475771238?comment_id=1132127244482322&amp;reply_comment_id=746362620491561")</f>
        <v>https://www.facebook.com/454965103328545/posts/763871475771238?comment_id=1132127244482322&amp;reply_comment_id=746362620491561</v>
      </c>
      <c r="O3047">
        <v>0</v>
      </c>
      <c r="P3047">
        <v>0</v>
      </c>
      <c r="Q3047">
        <v>0</v>
      </c>
      <c r="S3047">
        <v>0</v>
      </c>
      <c r="T3047">
        <v>0</v>
      </c>
      <c r="U3047">
        <v>0</v>
      </c>
      <c r="W3047" t="s">
        <v>62</v>
      </c>
    </row>
    <row r="3048" spans="1:23" x14ac:dyDescent="0.35">
      <c r="A3048" t="s">
        <v>45</v>
      </c>
      <c r="B3048" t="s">
        <v>6867</v>
      </c>
      <c r="C3048" t="s">
        <v>47</v>
      </c>
      <c r="D3048" t="s">
        <v>7014</v>
      </c>
      <c r="E3048" t="s">
        <v>7014</v>
      </c>
      <c r="F3048" t="s">
        <v>49</v>
      </c>
      <c r="G3048" t="s">
        <v>7033</v>
      </c>
      <c r="H3048" t="s">
        <v>7034</v>
      </c>
      <c r="J3048" t="str">
        <f>HYPERLINK("https://www.facebook.com/454965103328545/posts/763871475771238?comment_id=1132127244482322&amp;reply_comment_id=719847360188281","https://www.facebook.com/454965103328545/posts/763871475771238?comment_id=1132127244482322&amp;reply_comment_id=719847360188281")</f>
        <v>https://www.facebook.com/454965103328545/posts/763871475771238?comment_id=1132127244482322&amp;reply_comment_id=719847360188281</v>
      </c>
      <c r="O3048">
        <v>0</v>
      </c>
      <c r="P3048">
        <v>0</v>
      </c>
      <c r="Q3048">
        <v>0</v>
      </c>
      <c r="S3048">
        <v>0</v>
      </c>
      <c r="T3048">
        <v>0</v>
      </c>
      <c r="U3048">
        <v>0</v>
      </c>
      <c r="W3048" t="s">
        <v>62</v>
      </c>
    </row>
    <row r="3049" spans="1:23" x14ac:dyDescent="0.35">
      <c r="A3049" t="s">
        <v>45</v>
      </c>
      <c r="B3049" t="s">
        <v>6867</v>
      </c>
      <c r="C3049" t="s">
        <v>47</v>
      </c>
      <c r="D3049" t="s">
        <v>7014</v>
      </c>
      <c r="E3049" t="s">
        <v>7014</v>
      </c>
      <c r="F3049" t="s">
        <v>49</v>
      </c>
      <c r="G3049" t="s">
        <v>7035</v>
      </c>
      <c r="H3049" t="s">
        <v>7036</v>
      </c>
      <c r="J3049" t="str">
        <f>HYPERLINK("https://www.facebook.com/454965103328545/posts/763871475771238?comment_id=419550193761389&amp;reply_comment_id=1130861401611607","https://www.facebook.com/454965103328545/posts/763871475771238?comment_id=419550193761389&amp;reply_comment_id=1130861401611607")</f>
        <v>https://www.facebook.com/454965103328545/posts/763871475771238?comment_id=419550193761389&amp;reply_comment_id=1130861401611607</v>
      </c>
      <c r="O3049">
        <v>0</v>
      </c>
      <c r="P3049">
        <v>0</v>
      </c>
      <c r="Q3049">
        <v>0</v>
      </c>
      <c r="S3049">
        <v>0</v>
      </c>
      <c r="T3049">
        <v>0</v>
      </c>
      <c r="U3049">
        <v>0</v>
      </c>
      <c r="W3049" t="s">
        <v>62</v>
      </c>
    </row>
    <row r="3050" spans="1:23" x14ac:dyDescent="0.35">
      <c r="A3050" t="s">
        <v>45</v>
      </c>
      <c r="B3050" t="s">
        <v>6867</v>
      </c>
      <c r="C3050" t="s">
        <v>47</v>
      </c>
      <c r="D3050" t="s">
        <v>7014</v>
      </c>
      <c r="E3050" t="s">
        <v>7014</v>
      </c>
      <c r="F3050" t="s">
        <v>49</v>
      </c>
      <c r="G3050" t="s">
        <v>7037</v>
      </c>
      <c r="H3050" t="s">
        <v>7038</v>
      </c>
      <c r="J3050" t="str">
        <f>HYPERLINK("https://www.facebook.com/454965103328545/posts/763871475771238?comment_id=1383470559002496&amp;reply_comment_id=767404708082756","https://www.facebook.com/454965103328545/posts/763871475771238?comment_id=1383470559002496&amp;reply_comment_id=767404708082756")</f>
        <v>https://www.facebook.com/454965103328545/posts/763871475771238?comment_id=1383470559002496&amp;reply_comment_id=767404708082756</v>
      </c>
      <c r="O3050">
        <v>0</v>
      </c>
      <c r="P3050">
        <v>0</v>
      </c>
      <c r="Q3050">
        <v>0</v>
      </c>
      <c r="S3050">
        <v>0</v>
      </c>
      <c r="T3050">
        <v>0</v>
      </c>
      <c r="U3050">
        <v>0</v>
      </c>
      <c r="W3050" t="s">
        <v>62</v>
      </c>
    </row>
    <row r="3051" spans="1:23" x14ac:dyDescent="0.35">
      <c r="A3051" t="s">
        <v>45</v>
      </c>
      <c r="B3051" t="s">
        <v>6867</v>
      </c>
      <c r="C3051" t="s">
        <v>47</v>
      </c>
      <c r="D3051" t="s">
        <v>7014</v>
      </c>
      <c r="E3051" t="s">
        <v>7014</v>
      </c>
      <c r="F3051" t="s">
        <v>49</v>
      </c>
      <c r="G3051" t="s">
        <v>7033</v>
      </c>
      <c r="H3051" t="s">
        <v>7039</v>
      </c>
      <c r="J3051" t="str">
        <f>HYPERLINK("https://www.facebook.com/454965103328545/posts/763871475771238?comment_id=1776360696142388&amp;reply_comment_id=331678409867426","https://www.facebook.com/454965103328545/posts/763871475771238?comment_id=1776360696142388&amp;reply_comment_id=331678409867426")</f>
        <v>https://www.facebook.com/454965103328545/posts/763871475771238?comment_id=1776360696142388&amp;reply_comment_id=331678409867426</v>
      </c>
      <c r="O3051">
        <v>0</v>
      </c>
      <c r="P3051">
        <v>0</v>
      </c>
      <c r="Q3051">
        <v>0</v>
      </c>
      <c r="S3051">
        <v>0</v>
      </c>
      <c r="T3051">
        <v>0</v>
      </c>
      <c r="U3051">
        <v>0</v>
      </c>
      <c r="W3051" t="s">
        <v>62</v>
      </c>
    </row>
    <row r="3052" spans="1:23" x14ac:dyDescent="0.35">
      <c r="A3052" t="s">
        <v>45</v>
      </c>
      <c r="B3052" t="s">
        <v>6867</v>
      </c>
      <c r="C3052" t="s">
        <v>47</v>
      </c>
      <c r="D3052" t="s">
        <v>7014</v>
      </c>
      <c r="E3052" t="s">
        <v>7014</v>
      </c>
      <c r="F3052" t="s">
        <v>49</v>
      </c>
      <c r="G3052" t="s">
        <v>7040</v>
      </c>
      <c r="H3052" t="s">
        <v>7041</v>
      </c>
      <c r="J3052" t="str">
        <f>HYPERLINK("https://www.facebook.com/454965103328545/posts/763871475771238?comment_id=798492295440898&amp;reply_comment_id=290681160383893","https://www.facebook.com/454965103328545/posts/763871475771238?comment_id=798492295440898&amp;reply_comment_id=290681160383893")</f>
        <v>https://www.facebook.com/454965103328545/posts/763871475771238?comment_id=798492295440898&amp;reply_comment_id=290681160383893</v>
      </c>
      <c r="O3052">
        <v>0</v>
      </c>
      <c r="P3052">
        <v>0</v>
      </c>
      <c r="Q3052">
        <v>0</v>
      </c>
      <c r="S3052">
        <v>0</v>
      </c>
      <c r="T3052">
        <v>0</v>
      </c>
      <c r="U3052">
        <v>0</v>
      </c>
      <c r="W3052" t="s">
        <v>62</v>
      </c>
    </row>
    <row r="3053" spans="1:23" x14ac:dyDescent="0.35">
      <c r="A3053" t="s">
        <v>45</v>
      </c>
      <c r="B3053" t="s">
        <v>6867</v>
      </c>
      <c r="C3053" t="s">
        <v>47</v>
      </c>
      <c r="D3053" t="s">
        <v>7014</v>
      </c>
      <c r="E3053" t="s">
        <v>7014</v>
      </c>
      <c r="F3053" t="s">
        <v>49</v>
      </c>
      <c r="G3053" t="s">
        <v>7042</v>
      </c>
      <c r="H3053" t="s">
        <v>7043</v>
      </c>
      <c r="J3053" t="str">
        <f>HYPERLINK("https://www.facebook.com/454965103328545/posts/763871475771238?comment_id=3626230277644709&amp;reply_comment_id=299354576483005","https://www.facebook.com/454965103328545/posts/763871475771238?comment_id=3626230277644709&amp;reply_comment_id=299354576483005")</f>
        <v>https://www.facebook.com/454965103328545/posts/763871475771238?comment_id=3626230277644709&amp;reply_comment_id=299354576483005</v>
      </c>
      <c r="O3053">
        <v>0</v>
      </c>
      <c r="P3053">
        <v>0</v>
      </c>
      <c r="Q3053">
        <v>0</v>
      </c>
      <c r="S3053">
        <v>0</v>
      </c>
      <c r="T3053">
        <v>0</v>
      </c>
      <c r="U3053">
        <v>0</v>
      </c>
      <c r="W3053" t="s">
        <v>62</v>
      </c>
    </row>
    <row r="3054" spans="1:23" x14ac:dyDescent="0.35">
      <c r="A3054" t="s">
        <v>45</v>
      </c>
      <c r="B3054" t="s">
        <v>6867</v>
      </c>
      <c r="C3054" t="s">
        <v>47</v>
      </c>
      <c r="D3054" t="s">
        <v>7014</v>
      </c>
      <c r="E3054" t="s">
        <v>7014</v>
      </c>
      <c r="F3054" t="s">
        <v>49</v>
      </c>
      <c r="G3054" t="s">
        <v>7044</v>
      </c>
      <c r="H3054" t="s">
        <v>7045</v>
      </c>
      <c r="J3054" t="str">
        <f>HYPERLINK("https://www.facebook.com/454965103328545/posts/763871475771238?comment_id=7933046080045970&amp;reply_comment_id=410217908042299","https://www.facebook.com/454965103328545/posts/763871475771238?comment_id=7933046080045970&amp;reply_comment_id=410217908042299")</f>
        <v>https://www.facebook.com/454965103328545/posts/763871475771238?comment_id=7933046080045970&amp;reply_comment_id=410217908042299</v>
      </c>
      <c r="O3054">
        <v>0</v>
      </c>
      <c r="P3054">
        <v>0</v>
      </c>
      <c r="Q3054">
        <v>0</v>
      </c>
      <c r="S3054">
        <v>0</v>
      </c>
      <c r="T3054">
        <v>0</v>
      </c>
      <c r="U3054">
        <v>0</v>
      </c>
      <c r="W3054" t="s">
        <v>62</v>
      </c>
    </row>
    <row r="3055" spans="1:23" x14ac:dyDescent="0.35">
      <c r="A3055" t="s">
        <v>45</v>
      </c>
      <c r="B3055" t="s">
        <v>6867</v>
      </c>
      <c r="C3055" t="s">
        <v>47</v>
      </c>
      <c r="D3055" t="s">
        <v>7014</v>
      </c>
      <c r="E3055" t="s">
        <v>7014</v>
      </c>
      <c r="F3055" t="s">
        <v>49</v>
      </c>
      <c r="G3055" t="s">
        <v>7046</v>
      </c>
      <c r="H3055" t="s">
        <v>7047</v>
      </c>
      <c r="J3055" t="str">
        <f>HYPERLINK("https://www.facebook.com/454965103328545/posts/763871475771238?comment_id=741557981250778&amp;reply_comment_id=1835509373540309","https://www.facebook.com/454965103328545/posts/763871475771238?comment_id=741557981250778&amp;reply_comment_id=1835509373540309")</f>
        <v>https://www.facebook.com/454965103328545/posts/763871475771238?comment_id=741557981250778&amp;reply_comment_id=1835509373540309</v>
      </c>
      <c r="O3055">
        <v>0</v>
      </c>
      <c r="P3055">
        <v>0</v>
      </c>
      <c r="Q3055">
        <v>0</v>
      </c>
      <c r="S3055">
        <v>0</v>
      </c>
      <c r="T3055">
        <v>0</v>
      </c>
      <c r="U3055">
        <v>0</v>
      </c>
      <c r="W3055" t="s">
        <v>62</v>
      </c>
    </row>
    <row r="3056" spans="1:23" x14ac:dyDescent="0.35">
      <c r="A3056" t="s">
        <v>45</v>
      </c>
      <c r="B3056" t="s">
        <v>6867</v>
      </c>
      <c r="C3056" t="s">
        <v>47</v>
      </c>
      <c r="D3056" t="s">
        <v>7014</v>
      </c>
      <c r="E3056" t="s">
        <v>7014</v>
      </c>
      <c r="F3056" t="s">
        <v>49</v>
      </c>
      <c r="G3056" t="s">
        <v>7048</v>
      </c>
      <c r="H3056" t="s">
        <v>7049</v>
      </c>
      <c r="J3056" t="str">
        <f>HYPERLINK("https://www.facebook.com/454965103328545/posts/763871475771238?comment_id=237045752789772&amp;reply_comment_id=2023912944653637","https://www.facebook.com/454965103328545/posts/763871475771238?comment_id=237045752789772&amp;reply_comment_id=2023912944653637")</f>
        <v>https://www.facebook.com/454965103328545/posts/763871475771238?comment_id=237045752789772&amp;reply_comment_id=2023912944653637</v>
      </c>
      <c r="O3056">
        <v>0</v>
      </c>
      <c r="P3056">
        <v>0</v>
      </c>
      <c r="Q3056">
        <v>0</v>
      </c>
      <c r="S3056">
        <v>0</v>
      </c>
      <c r="T3056">
        <v>0</v>
      </c>
      <c r="U3056">
        <v>0</v>
      </c>
      <c r="W3056" t="s">
        <v>62</v>
      </c>
    </row>
    <row r="3057" spans="1:45" x14ac:dyDescent="0.35">
      <c r="A3057" t="s">
        <v>45</v>
      </c>
      <c r="B3057" t="s">
        <v>6867</v>
      </c>
      <c r="C3057" t="s">
        <v>47</v>
      </c>
      <c r="D3057" t="s">
        <v>7014</v>
      </c>
      <c r="E3057" t="s">
        <v>7014</v>
      </c>
      <c r="F3057" t="s">
        <v>49</v>
      </c>
      <c r="G3057" t="s">
        <v>7050</v>
      </c>
      <c r="H3057" t="s">
        <v>7051</v>
      </c>
      <c r="J3057" t="str">
        <f>HYPERLINK("https://www.facebook.com/454965103328545/posts/763871475771238?comment_id=353555150935977&amp;reply_comment_id=1313859316674007","https://www.facebook.com/454965103328545/posts/763871475771238?comment_id=353555150935977&amp;reply_comment_id=1313859316674007")</f>
        <v>https://www.facebook.com/454965103328545/posts/763871475771238?comment_id=353555150935977&amp;reply_comment_id=1313859316674007</v>
      </c>
      <c r="O3057">
        <v>0</v>
      </c>
      <c r="P3057">
        <v>0</v>
      </c>
      <c r="Q3057">
        <v>0</v>
      </c>
      <c r="S3057">
        <v>0</v>
      </c>
      <c r="T3057">
        <v>0</v>
      </c>
      <c r="U3057">
        <v>0</v>
      </c>
      <c r="W3057" t="s">
        <v>62</v>
      </c>
    </row>
    <row r="3058" spans="1:45" x14ac:dyDescent="0.35">
      <c r="A3058" t="s">
        <v>45</v>
      </c>
      <c r="B3058" t="s">
        <v>6867</v>
      </c>
      <c r="C3058" t="s">
        <v>47</v>
      </c>
      <c r="D3058" t="s">
        <v>7014</v>
      </c>
      <c r="E3058" t="s">
        <v>7014</v>
      </c>
      <c r="F3058" t="s">
        <v>49</v>
      </c>
      <c r="G3058" t="s">
        <v>7052</v>
      </c>
      <c r="H3058" t="s">
        <v>7053</v>
      </c>
      <c r="J3058" t="str">
        <f>HYPERLINK("https://www.facebook.com/454965103328545/posts/763871475771238?comment_id=894325699142772&amp;reply_comment_id=1066665141218763","https://www.facebook.com/454965103328545/posts/763871475771238?comment_id=894325699142772&amp;reply_comment_id=1066665141218763")</f>
        <v>https://www.facebook.com/454965103328545/posts/763871475771238?comment_id=894325699142772&amp;reply_comment_id=1066665141218763</v>
      </c>
      <c r="O3058">
        <v>0</v>
      </c>
      <c r="P3058">
        <v>0</v>
      </c>
      <c r="Q3058">
        <v>0</v>
      </c>
      <c r="S3058">
        <v>0</v>
      </c>
      <c r="T3058">
        <v>0</v>
      </c>
      <c r="U3058">
        <v>0</v>
      </c>
      <c r="W3058" t="s">
        <v>62</v>
      </c>
    </row>
    <row r="3059" spans="1:45" x14ac:dyDescent="0.35">
      <c r="A3059" t="s">
        <v>45</v>
      </c>
      <c r="B3059" t="s">
        <v>6867</v>
      </c>
      <c r="C3059" t="s">
        <v>47</v>
      </c>
      <c r="D3059" t="s">
        <v>7014</v>
      </c>
      <c r="E3059" t="s">
        <v>7014</v>
      </c>
      <c r="F3059" t="s">
        <v>49</v>
      </c>
      <c r="G3059" t="s">
        <v>7054</v>
      </c>
      <c r="H3059" t="s">
        <v>7055</v>
      </c>
      <c r="J3059" t="str">
        <f>HYPERLINK("https://www.facebook.com/454965103328545/posts/763871475771238?comment_id=242199658930116&amp;reply_comment_id=1113956906451376","https://www.facebook.com/454965103328545/posts/763871475771238?comment_id=242199658930116&amp;reply_comment_id=1113956906451376")</f>
        <v>https://www.facebook.com/454965103328545/posts/763871475771238?comment_id=242199658930116&amp;reply_comment_id=1113956906451376</v>
      </c>
      <c r="O3059">
        <v>0</v>
      </c>
      <c r="P3059">
        <v>0</v>
      </c>
      <c r="Q3059">
        <v>0</v>
      </c>
      <c r="S3059">
        <v>0</v>
      </c>
      <c r="T3059">
        <v>0</v>
      </c>
      <c r="U3059">
        <v>0</v>
      </c>
      <c r="W3059" t="s">
        <v>62</v>
      </c>
    </row>
    <row r="3060" spans="1:45" x14ac:dyDescent="0.35">
      <c r="A3060" t="s">
        <v>45</v>
      </c>
      <c r="B3060" t="s">
        <v>6867</v>
      </c>
      <c r="C3060" t="s">
        <v>47</v>
      </c>
      <c r="D3060" t="s">
        <v>7014</v>
      </c>
      <c r="E3060" t="s">
        <v>7014</v>
      </c>
      <c r="F3060" t="s">
        <v>49</v>
      </c>
      <c r="G3060" t="s">
        <v>7056</v>
      </c>
      <c r="H3060" t="s">
        <v>7057</v>
      </c>
      <c r="J3060" t="str">
        <f>HYPERLINK("https://www.facebook.com/454965103328545/posts/763871475771238?comment_id=266158893020444&amp;reply_comment_id=349736774596518","https://www.facebook.com/454965103328545/posts/763871475771238?comment_id=266158893020444&amp;reply_comment_id=349736774596518")</f>
        <v>https://www.facebook.com/454965103328545/posts/763871475771238?comment_id=266158893020444&amp;reply_comment_id=349736774596518</v>
      </c>
      <c r="O3060">
        <v>0</v>
      </c>
      <c r="P3060">
        <v>0</v>
      </c>
      <c r="Q3060">
        <v>0</v>
      </c>
      <c r="S3060">
        <v>0</v>
      </c>
      <c r="T3060">
        <v>0</v>
      </c>
      <c r="U3060">
        <v>0</v>
      </c>
      <c r="W3060" t="s">
        <v>62</v>
      </c>
    </row>
    <row r="3061" spans="1:45" x14ac:dyDescent="0.35">
      <c r="A3061" t="s">
        <v>45</v>
      </c>
      <c r="B3061" t="s">
        <v>6867</v>
      </c>
      <c r="C3061" t="s">
        <v>47</v>
      </c>
      <c r="D3061" t="s">
        <v>7014</v>
      </c>
      <c r="E3061" t="s">
        <v>7014</v>
      </c>
      <c r="F3061" t="s">
        <v>49</v>
      </c>
      <c r="G3061" t="s">
        <v>7031</v>
      </c>
      <c r="H3061" t="s">
        <v>7058</v>
      </c>
      <c r="J3061" t="str">
        <f>HYPERLINK("https://www.facebook.com/454965103328545/posts/763871475771238?comment_id=1377786633110583&amp;reply_comment_id=1481389099478043","https://www.facebook.com/454965103328545/posts/763871475771238?comment_id=1377786633110583&amp;reply_comment_id=1481389099478043")</f>
        <v>https://www.facebook.com/454965103328545/posts/763871475771238?comment_id=1377786633110583&amp;reply_comment_id=1481389099478043</v>
      </c>
      <c r="O3061">
        <v>0</v>
      </c>
      <c r="P3061">
        <v>0</v>
      </c>
      <c r="Q3061">
        <v>0</v>
      </c>
      <c r="S3061">
        <v>0</v>
      </c>
      <c r="T3061">
        <v>0</v>
      </c>
      <c r="U3061">
        <v>0</v>
      </c>
      <c r="W3061" t="s">
        <v>62</v>
      </c>
    </row>
    <row r="3062" spans="1:45" x14ac:dyDescent="0.35">
      <c r="A3062" t="s">
        <v>45</v>
      </c>
      <c r="B3062" t="s">
        <v>6867</v>
      </c>
      <c r="C3062" t="s">
        <v>47</v>
      </c>
      <c r="D3062" t="s">
        <v>7014</v>
      </c>
      <c r="E3062" t="s">
        <v>7014</v>
      </c>
      <c r="F3062" t="s">
        <v>49</v>
      </c>
      <c r="G3062" t="s">
        <v>7031</v>
      </c>
      <c r="H3062" t="s">
        <v>7059</v>
      </c>
      <c r="J3062" t="str">
        <f>HYPERLINK("https://www.facebook.com/454965103328545/posts/763871475771238?comment_id=1333279217414342&amp;reply_comment_id=706419934677287","https://www.facebook.com/454965103328545/posts/763871475771238?comment_id=1333279217414342&amp;reply_comment_id=706419934677287")</f>
        <v>https://www.facebook.com/454965103328545/posts/763871475771238?comment_id=1333279217414342&amp;reply_comment_id=706419934677287</v>
      </c>
      <c r="O3062">
        <v>0</v>
      </c>
      <c r="P3062">
        <v>0</v>
      </c>
      <c r="Q3062">
        <v>0</v>
      </c>
      <c r="S3062">
        <v>0</v>
      </c>
      <c r="T3062">
        <v>0</v>
      </c>
      <c r="U3062">
        <v>0</v>
      </c>
      <c r="W3062" t="s">
        <v>62</v>
      </c>
    </row>
    <row r="3063" spans="1:45" x14ac:dyDescent="0.35">
      <c r="A3063" t="s">
        <v>45</v>
      </c>
      <c r="B3063" t="s">
        <v>6867</v>
      </c>
      <c r="C3063" t="s">
        <v>47</v>
      </c>
      <c r="D3063" t="s">
        <v>7014</v>
      </c>
      <c r="E3063" t="s">
        <v>7014</v>
      </c>
      <c r="F3063" t="s">
        <v>49</v>
      </c>
      <c r="G3063" t="s">
        <v>7060</v>
      </c>
      <c r="H3063" t="s">
        <v>7061</v>
      </c>
      <c r="J3063" t="str">
        <f>HYPERLINK("https://www.facebook.com/454965103328545/posts/763871475771238?comment_id=242199658930116&amp;reply_comment_id=3737372673210560","https://www.facebook.com/454965103328545/posts/763871475771238?comment_id=242199658930116&amp;reply_comment_id=3737372673210560")</f>
        <v>https://www.facebook.com/454965103328545/posts/763871475771238?comment_id=242199658930116&amp;reply_comment_id=3737372673210560</v>
      </c>
      <c r="O3063">
        <v>0</v>
      </c>
      <c r="P3063">
        <v>0</v>
      </c>
      <c r="Q3063">
        <v>0</v>
      </c>
      <c r="S3063">
        <v>0</v>
      </c>
      <c r="T3063">
        <v>0</v>
      </c>
      <c r="U3063">
        <v>0</v>
      </c>
      <c r="W3063" t="s">
        <v>62</v>
      </c>
    </row>
    <row r="3064" spans="1:45" x14ac:dyDescent="0.35">
      <c r="A3064" t="s">
        <v>45</v>
      </c>
      <c r="B3064" t="s">
        <v>6867</v>
      </c>
      <c r="C3064" t="s">
        <v>47</v>
      </c>
      <c r="D3064" t="s">
        <v>7014</v>
      </c>
      <c r="E3064" t="s">
        <v>7014</v>
      </c>
      <c r="F3064" t="s">
        <v>49</v>
      </c>
      <c r="G3064" t="s">
        <v>7062</v>
      </c>
      <c r="H3064" t="s">
        <v>7063</v>
      </c>
      <c r="J3064" t="str">
        <f>HYPERLINK("https://www.facebook.com/454965103328545/posts/763871475771238?comment_id=266158893020444&amp;reply_comment_id=373161512091501","https://www.facebook.com/454965103328545/posts/763871475771238?comment_id=266158893020444&amp;reply_comment_id=373161512091501")</f>
        <v>https://www.facebook.com/454965103328545/posts/763871475771238?comment_id=266158893020444&amp;reply_comment_id=373161512091501</v>
      </c>
      <c r="O3064">
        <v>0</v>
      </c>
      <c r="P3064">
        <v>0</v>
      </c>
      <c r="Q3064">
        <v>0</v>
      </c>
      <c r="S3064">
        <v>0</v>
      </c>
      <c r="T3064">
        <v>0</v>
      </c>
      <c r="U3064">
        <v>0</v>
      </c>
      <c r="W3064" t="s">
        <v>62</v>
      </c>
    </row>
    <row r="3065" spans="1:45" x14ac:dyDescent="0.35">
      <c r="A3065" t="s">
        <v>45</v>
      </c>
      <c r="B3065" t="s">
        <v>6867</v>
      </c>
      <c r="C3065" t="s">
        <v>47</v>
      </c>
      <c r="D3065" t="s">
        <v>7014</v>
      </c>
      <c r="E3065" t="s">
        <v>7014</v>
      </c>
      <c r="F3065" t="s">
        <v>49</v>
      </c>
      <c r="G3065" t="s">
        <v>7064</v>
      </c>
      <c r="H3065" t="s">
        <v>7065</v>
      </c>
      <c r="J3065" t="str">
        <f>HYPERLINK("https://www.facebook.com/454965103328545/posts/763871475771238?comment_id=1377786633110583&amp;reply_comment_id=934008164731871","https://www.facebook.com/454965103328545/posts/763871475771238?comment_id=1377786633110583&amp;reply_comment_id=934008164731871")</f>
        <v>https://www.facebook.com/454965103328545/posts/763871475771238?comment_id=1377786633110583&amp;reply_comment_id=934008164731871</v>
      </c>
      <c r="O3065">
        <v>0</v>
      </c>
      <c r="P3065">
        <v>0</v>
      </c>
      <c r="Q3065">
        <v>0</v>
      </c>
      <c r="S3065">
        <v>0</v>
      </c>
      <c r="T3065">
        <v>0</v>
      </c>
      <c r="U3065">
        <v>0</v>
      </c>
      <c r="W3065" t="s">
        <v>62</v>
      </c>
    </row>
    <row r="3066" spans="1:45" x14ac:dyDescent="0.35">
      <c r="A3066" t="s">
        <v>45</v>
      </c>
      <c r="B3066" t="s">
        <v>6867</v>
      </c>
      <c r="C3066" t="s">
        <v>47</v>
      </c>
      <c r="D3066" t="s">
        <v>7014</v>
      </c>
      <c r="E3066" t="s">
        <v>7014</v>
      </c>
      <c r="F3066" t="s">
        <v>49</v>
      </c>
      <c r="G3066" t="s">
        <v>7066</v>
      </c>
      <c r="H3066" t="s">
        <v>7067</v>
      </c>
      <c r="J3066" t="str">
        <f>HYPERLINK("https://www.facebook.com/454965103328545/posts/763871475771238?comment_id=309003398369264&amp;reply_comment_id=978962857073942","https://www.facebook.com/454965103328545/posts/763871475771238?comment_id=309003398369264&amp;reply_comment_id=978962857073942")</f>
        <v>https://www.facebook.com/454965103328545/posts/763871475771238?comment_id=309003398369264&amp;reply_comment_id=978962857073942</v>
      </c>
      <c r="O3066">
        <v>0</v>
      </c>
      <c r="P3066">
        <v>0</v>
      </c>
      <c r="Q3066">
        <v>0</v>
      </c>
      <c r="S3066">
        <v>0</v>
      </c>
      <c r="T3066">
        <v>0</v>
      </c>
      <c r="U3066">
        <v>0</v>
      </c>
      <c r="W3066" t="s">
        <v>62</v>
      </c>
    </row>
    <row r="3067" spans="1:45" x14ac:dyDescent="0.35">
      <c r="A3067" t="s">
        <v>45</v>
      </c>
      <c r="B3067" t="s">
        <v>6867</v>
      </c>
      <c r="C3067" t="s">
        <v>47</v>
      </c>
      <c r="D3067" t="s">
        <v>7014</v>
      </c>
      <c r="E3067" t="s">
        <v>7014</v>
      </c>
      <c r="F3067" t="s">
        <v>49</v>
      </c>
      <c r="G3067" t="s">
        <v>7068</v>
      </c>
      <c r="H3067" t="s">
        <v>7069</v>
      </c>
      <c r="J3067" t="str">
        <f>HYPERLINK("https://www.facebook.com/454965103328545/posts/763871475771238?comment_id=1333279217414342&amp;reply_comment_id=1151899529509464","https://www.facebook.com/454965103328545/posts/763871475771238?comment_id=1333279217414342&amp;reply_comment_id=1151899529509464")</f>
        <v>https://www.facebook.com/454965103328545/posts/763871475771238?comment_id=1333279217414342&amp;reply_comment_id=1151899529509464</v>
      </c>
      <c r="O3067">
        <v>0</v>
      </c>
      <c r="P3067">
        <v>0</v>
      </c>
      <c r="Q3067">
        <v>0</v>
      </c>
      <c r="S3067">
        <v>0</v>
      </c>
      <c r="T3067">
        <v>0</v>
      </c>
      <c r="U3067">
        <v>0</v>
      </c>
      <c r="W3067" t="s">
        <v>62</v>
      </c>
    </row>
    <row r="3068" spans="1:45" x14ac:dyDescent="0.35">
      <c r="A3068" t="s">
        <v>45</v>
      </c>
      <c r="B3068" t="s">
        <v>6867</v>
      </c>
      <c r="C3068" t="s">
        <v>47</v>
      </c>
      <c r="D3068" t="s">
        <v>7014</v>
      </c>
      <c r="E3068" t="s">
        <v>7014</v>
      </c>
      <c r="F3068" t="s">
        <v>49</v>
      </c>
      <c r="G3068" t="s">
        <v>7070</v>
      </c>
      <c r="H3068" t="s">
        <v>7071</v>
      </c>
      <c r="J3068" t="str">
        <f>HYPERLINK("https://www.facebook.com/454965103328545/posts/763871475771238?comment_id=919056742800166&amp;reply_comment_id=742530017842730","https://www.facebook.com/454965103328545/posts/763871475771238?comment_id=919056742800166&amp;reply_comment_id=742530017842730")</f>
        <v>https://www.facebook.com/454965103328545/posts/763871475771238?comment_id=919056742800166&amp;reply_comment_id=742530017842730</v>
      </c>
      <c r="O3068">
        <v>0</v>
      </c>
      <c r="P3068">
        <v>0</v>
      </c>
      <c r="Q3068">
        <v>0</v>
      </c>
      <c r="S3068">
        <v>0</v>
      </c>
      <c r="T3068">
        <v>0</v>
      </c>
      <c r="U3068">
        <v>0</v>
      </c>
      <c r="W3068" t="s">
        <v>62</v>
      </c>
    </row>
    <row r="3069" spans="1:45" x14ac:dyDescent="0.35">
      <c r="A3069" t="s">
        <v>45</v>
      </c>
      <c r="B3069" t="s">
        <v>6867</v>
      </c>
      <c r="C3069" t="s">
        <v>47</v>
      </c>
      <c r="D3069" t="s">
        <v>7072</v>
      </c>
      <c r="E3069" t="s">
        <v>7072</v>
      </c>
      <c r="F3069" t="s">
        <v>49</v>
      </c>
      <c r="G3069" t="s">
        <v>7073</v>
      </c>
      <c r="H3069" t="s">
        <v>7074</v>
      </c>
      <c r="J3069" t="str">
        <f>HYPERLINK("https://www.facebook.com/357267201017935/inbox/7014873801923875/","https://www.facebook.com/357267201017935/inbox/7014873801923875/")</f>
        <v>https://www.facebook.com/357267201017935/inbox/7014873801923875/</v>
      </c>
      <c r="O3069">
        <v>0</v>
      </c>
      <c r="P3069">
        <v>0</v>
      </c>
      <c r="Q3069">
        <v>0</v>
      </c>
      <c r="S3069">
        <v>0</v>
      </c>
      <c r="T3069">
        <v>0</v>
      </c>
      <c r="U3069">
        <v>0</v>
      </c>
      <c r="W3069" t="s">
        <v>52</v>
      </c>
      <c r="AS3069" t="s">
        <v>375</v>
      </c>
    </row>
    <row r="3070" spans="1:45" x14ac:dyDescent="0.35">
      <c r="A3070" t="s">
        <v>45</v>
      </c>
      <c r="B3070" t="s">
        <v>6867</v>
      </c>
      <c r="C3070" t="s">
        <v>47</v>
      </c>
      <c r="D3070" t="s">
        <v>7075</v>
      </c>
      <c r="E3070" t="s">
        <v>7075</v>
      </c>
      <c r="F3070" t="s">
        <v>49</v>
      </c>
      <c r="G3070" t="s">
        <v>7076</v>
      </c>
      <c r="H3070" t="s">
        <v>7077</v>
      </c>
      <c r="J3070" t="str">
        <f>HYPERLINK("https://www.facebook.com/454965103328545/posts/734813295343723?comment_id=374202175330824&amp;reply_comment_id=1068384370877892","https://www.facebook.com/454965103328545/posts/734813295343723?comment_id=374202175330824&amp;reply_comment_id=1068384370877892")</f>
        <v>https://www.facebook.com/454965103328545/posts/734813295343723?comment_id=374202175330824&amp;reply_comment_id=1068384370877892</v>
      </c>
      <c r="O3070">
        <v>0</v>
      </c>
      <c r="P3070">
        <v>0</v>
      </c>
      <c r="Q3070">
        <v>0</v>
      </c>
      <c r="S3070">
        <v>0</v>
      </c>
      <c r="T3070">
        <v>0</v>
      </c>
      <c r="U3070">
        <v>0</v>
      </c>
      <c r="W3070" t="s">
        <v>62</v>
      </c>
    </row>
    <row r="3071" spans="1:45" x14ac:dyDescent="0.35">
      <c r="A3071" t="s">
        <v>45</v>
      </c>
      <c r="B3071" t="s">
        <v>6867</v>
      </c>
      <c r="C3071" t="s">
        <v>47</v>
      </c>
      <c r="D3071" t="s">
        <v>7075</v>
      </c>
      <c r="E3071" t="s">
        <v>7075</v>
      </c>
      <c r="F3071" t="s">
        <v>76</v>
      </c>
      <c r="G3071" t="s">
        <v>7078</v>
      </c>
      <c r="H3071" t="s">
        <v>7079</v>
      </c>
      <c r="J3071" t="str">
        <f>HYPERLINK("https://www.facebook.com/454965103328545/posts/734813295343723?comment_id=1052356029211334","https://www.facebook.com/454965103328545/posts/734813295343723?comment_id=1052356029211334")</f>
        <v>https://www.facebook.com/454965103328545/posts/734813295343723?comment_id=1052356029211334</v>
      </c>
      <c r="O3071">
        <v>0</v>
      </c>
      <c r="P3071">
        <v>0</v>
      </c>
      <c r="Q3071">
        <v>0</v>
      </c>
      <c r="S3071">
        <v>0</v>
      </c>
      <c r="T3071">
        <v>0</v>
      </c>
      <c r="U3071">
        <v>0</v>
      </c>
      <c r="W3071" t="s">
        <v>62</v>
      </c>
    </row>
    <row r="3072" spans="1:45" x14ac:dyDescent="0.35">
      <c r="A3072" t="s">
        <v>45</v>
      </c>
      <c r="B3072" t="s">
        <v>6867</v>
      </c>
      <c r="C3072" t="s">
        <v>58</v>
      </c>
      <c r="D3072" t="s">
        <v>3440</v>
      </c>
      <c r="E3072" t="s">
        <v>3440</v>
      </c>
      <c r="F3072" t="s">
        <v>49</v>
      </c>
      <c r="G3072" t="s">
        <v>7080</v>
      </c>
      <c r="H3072" t="s">
        <v>7081</v>
      </c>
      <c r="J3072" t="str">
        <f>HYPERLINK("https://www.youtube.com/watch?v=34CkXQj2GMM","https://www.youtube.com/watch?v=34CkXQj2GMM")</f>
        <v>https://www.youtube.com/watch?v=34CkXQj2GMM</v>
      </c>
      <c r="O3072">
        <v>0</v>
      </c>
      <c r="P3072">
        <v>0</v>
      </c>
      <c r="Q3072">
        <v>0</v>
      </c>
      <c r="S3072">
        <v>0</v>
      </c>
      <c r="T3072">
        <v>0</v>
      </c>
      <c r="U3072">
        <v>0</v>
      </c>
      <c r="W3072" t="s">
        <v>106</v>
      </c>
      <c r="AP3072" t="s">
        <v>101</v>
      </c>
    </row>
    <row r="3073" spans="1:45" x14ac:dyDescent="0.35">
      <c r="A3073" t="s">
        <v>45</v>
      </c>
      <c r="B3073" t="s">
        <v>6867</v>
      </c>
      <c r="C3073" t="s">
        <v>139</v>
      </c>
      <c r="D3073" t="s">
        <v>7082</v>
      </c>
      <c r="E3073" t="s">
        <v>7083</v>
      </c>
      <c r="F3073" t="s">
        <v>76</v>
      </c>
      <c r="G3073" t="s">
        <v>7084</v>
      </c>
      <c r="H3073" t="s">
        <v>7085</v>
      </c>
      <c r="J3073" t="str">
        <f>HYPERLINK("https://twitter.com/lopesgeane1/status/1755378918758941164","https://twitter.com/lopesgeane1/status/1755378918758941164")</f>
        <v>https://twitter.com/lopesgeane1/status/1755378918758941164</v>
      </c>
      <c r="O3073">
        <v>0</v>
      </c>
      <c r="P3073">
        <v>0</v>
      </c>
      <c r="Q3073">
        <v>26</v>
      </c>
      <c r="R3073" t="s">
        <v>7086</v>
      </c>
      <c r="S3073">
        <v>0</v>
      </c>
      <c r="T3073">
        <v>0</v>
      </c>
      <c r="U3073">
        <v>0</v>
      </c>
      <c r="W3073" t="s">
        <v>52</v>
      </c>
      <c r="AP3073" t="s">
        <v>101</v>
      </c>
    </row>
    <row r="3074" spans="1:45" x14ac:dyDescent="0.35">
      <c r="A3074" t="s">
        <v>45</v>
      </c>
      <c r="B3074" t="s">
        <v>6867</v>
      </c>
      <c r="C3074" t="s">
        <v>47</v>
      </c>
      <c r="D3074" t="s">
        <v>6720</v>
      </c>
      <c r="E3074" t="s">
        <v>6720</v>
      </c>
      <c r="F3074" t="s">
        <v>49</v>
      </c>
      <c r="G3074" t="s">
        <v>7087</v>
      </c>
      <c r="H3074" t="s">
        <v>7088</v>
      </c>
      <c r="J3074" t="str">
        <f>HYPERLINK("https://www.facebook.com/357267201017935/inbox/7013630118714910/","https://www.facebook.com/357267201017935/inbox/7013630118714910/")</f>
        <v>https://www.facebook.com/357267201017935/inbox/7013630118714910/</v>
      </c>
      <c r="O3074">
        <v>0</v>
      </c>
      <c r="P3074">
        <v>0</v>
      </c>
      <c r="Q3074">
        <v>0</v>
      </c>
      <c r="S3074">
        <v>0</v>
      </c>
      <c r="T3074">
        <v>0</v>
      </c>
      <c r="U3074">
        <v>0</v>
      </c>
      <c r="W3074" t="s">
        <v>52</v>
      </c>
      <c r="AS3074" t="s">
        <v>375</v>
      </c>
    </row>
    <row r="3075" spans="1:45" x14ac:dyDescent="0.35">
      <c r="A3075" t="s">
        <v>45</v>
      </c>
      <c r="B3075" t="s">
        <v>6867</v>
      </c>
      <c r="C3075" t="s">
        <v>47</v>
      </c>
      <c r="D3075" t="s">
        <v>7089</v>
      </c>
      <c r="E3075" t="s">
        <v>7089</v>
      </c>
      <c r="F3075" t="s">
        <v>49</v>
      </c>
      <c r="G3075" t="s">
        <v>7090</v>
      </c>
      <c r="H3075" t="s">
        <v>7091</v>
      </c>
      <c r="J3075" t="str">
        <f>HYPERLINK("https://www.facebook.com/357267201017935/inbox/7013437542067501/","https://www.facebook.com/357267201017935/inbox/7013437542067501/")</f>
        <v>https://www.facebook.com/357267201017935/inbox/7013437542067501/</v>
      </c>
      <c r="O3075">
        <v>0</v>
      </c>
      <c r="P3075">
        <v>0</v>
      </c>
      <c r="Q3075">
        <v>0</v>
      </c>
      <c r="S3075">
        <v>0</v>
      </c>
      <c r="T3075">
        <v>0</v>
      </c>
      <c r="U3075">
        <v>0</v>
      </c>
      <c r="W3075" t="s">
        <v>52</v>
      </c>
      <c r="AS3075" t="s">
        <v>375</v>
      </c>
    </row>
    <row r="3076" spans="1:45" x14ac:dyDescent="0.35">
      <c r="A3076" t="s">
        <v>45</v>
      </c>
      <c r="B3076" t="s">
        <v>7092</v>
      </c>
      <c r="C3076" t="s">
        <v>47</v>
      </c>
      <c r="D3076" t="s">
        <v>7093</v>
      </c>
      <c r="E3076" t="s">
        <v>7093</v>
      </c>
      <c r="F3076" t="s">
        <v>49</v>
      </c>
      <c r="G3076" t="s">
        <v>7094</v>
      </c>
      <c r="H3076" t="s">
        <v>7095</v>
      </c>
      <c r="J3076" t="str">
        <f>HYPERLINK("https://www.facebook.com/454965103328545/posts/734813295343723?comment_id=374202175330824","https://www.facebook.com/454965103328545/posts/734813295343723?comment_id=374202175330824")</f>
        <v>https://www.facebook.com/454965103328545/posts/734813295343723?comment_id=374202175330824</v>
      </c>
      <c r="O3076">
        <v>0</v>
      </c>
      <c r="P3076">
        <v>0</v>
      </c>
      <c r="Q3076">
        <v>0</v>
      </c>
      <c r="S3076">
        <v>0</v>
      </c>
      <c r="T3076">
        <v>0</v>
      </c>
      <c r="U3076">
        <v>0</v>
      </c>
      <c r="W3076" t="s">
        <v>62</v>
      </c>
      <c r="AS3076" t="s">
        <v>375</v>
      </c>
    </row>
    <row r="3077" spans="1:45" x14ac:dyDescent="0.35">
      <c r="A3077" t="s">
        <v>45</v>
      </c>
      <c r="B3077" t="s">
        <v>7092</v>
      </c>
      <c r="C3077" t="s">
        <v>47</v>
      </c>
      <c r="D3077" t="s">
        <v>6746</v>
      </c>
      <c r="E3077" t="s">
        <v>6746</v>
      </c>
      <c r="F3077" t="s">
        <v>49</v>
      </c>
      <c r="G3077" t="s">
        <v>50</v>
      </c>
      <c r="H3077" t="s">
        <v>7096</v>
      </c>
      <c r="J3077" t="str">
        <f>HYPERLINK("https://www.facebook.com/357267201017935/inbox/7013092892101966/","https://www.facebook.com/357267201017935/inbox/7013092892101966/")</f>
        <v>https://www.facebook.com/357267201017935/inbox/7013092892101966/</v>
      </c>
      <c r="O3077">
        <v>0</v>
      </c>
      <c r="P3077">
        <v>0</v>
      </c>
      <c r="Q3077">
        <v>0</v>
      </c>
      <c r="S3077">
        <v>0</v>
      </c>
      <c r="T3077">
        <v>0</v>
      </c>
      <c r="U3077">
        <v>0</v>
      </c>
      <c r="W3077" t="s">
        <v>52</v>
      </c>
      <c r="AS3077" t="s">
        <v>375</v>
      </c>
    </row>
    <row r="3078" spans="1:45" x14ac:dyDescent="0.35">
      <c r="A3078" t="s">
        <v>45</v>
      </c>
      <c r="B3078" t="s">
        <v>7092</v>
      </c>
      <c r="C3078" t="s">
        <v>139</v>
      </c>
      <c r="D3078" t="s">
        <v>7097</v>
      </c>
      <c r="E3078" t="s">
        <v>7098</v>
      </c>
      <c r="F3078" t="s">
        <v>49</v>
      </c>
      <c r="G3078" t="s">
        <v>3455</v>
      </c>
      <c r="H3078" t="s">
        <v>7099</v>
      </c>
      <c r="J3078" t="str">
        <f>HYPERLINK("https://twitter.com/Abhisar63000/status/1755249715728531817","https://twitter.com/Abhisar63000/status/1755249715728531817")</f>
        <v>https://twitter.com/Abhisar63000/status/1755249715728531817</v>
      </c>
      <c r="K3078" t="s">
        <v>145</v>
      </c>
      <c r="O3078">
        <v>0</v>
      </c>
      <c r="P3078">
        <v>0</v>
      </c>
      <c r="Q3078">
        <v>2413</v>
      </c>
      <c r="R3078" t="s">
        <v>1946</v>
      </c>
      <c r="S3078">
        <v>0</v>
      </c>
      <c r="T3078">
        <v>0</v>
      </c>
      <c r="U3078">
        <v>0</v>
      </c>
      <c r="W3078" t="s">
        <v>552</v>
      </c>
    </row>
    <row r="3079" spans="1:45" x14ac:dyDescent="0.35">
      <c r="A3079" t="s">
        <v>45</v>
      </c>
      <c r="B3079" t="s">
        <v>7092</v>
      </c>
      <c r="C3079" t="s">
        <v>139</v>
      </c>
      <c r="D3079" t="s">
        <v>2946</v>
      </c>
      <c r="E3079" t="s">
        <v>2947</v>
      </c>
      <c r="F3079" t="s">
        <v>76</v>
      </c>
      <c r="G3079" t="s">
        <v>3457</v>
      </c>
      <c r="H3079" t="s">
        <v>7100</v>
      </c>
      <c r="J3079" t="str">
        <f>HYPERLINK("https://twitter.com/InghNiranjan/status/1755248526236537002","https://twitter.com/InghNiranjan/status/1755248526236537002")</f>
        <v>https://twitter.com/InghNiranjan/status/1755248526236537002</v>
      </c>
      <c r="K3079" t="s">
        <v>145</v>
      </c>
      <c r="O3079">
        <v>0</v>
      </c>
      <c r="P3079">
        <v>0</v>
      </c>
      <c r="Q3079">
        <v>1698</v>
      </c>
      <c r="R3079" t="s">
        <v>2950</v>
      </c>
      <c r="S3079">
        <v>0</v>
      </c>
      <c r="T3079">
        <v>0</v>
      </c>
      <c r="U3079">
        <v>0</v>
      </c>
      <c r="W3079" t="s">
        <v>146</v>
      </c>
    </row>
    <row r="3080" spans="1:45" x14ac:dyDescent="0.35">
      <c r="A3080" t="s">
        <v>45</v>
      </c>
      <c r="B3080" t="s">
        <v>7092</v>
      </c>
      <c r="C3080" t="s">
        <v>139</v>
      </c>
      <c r="D3080" t="s">
        <v>7101</v>
      </c>
      <c r="E3080" t="s">
        <v>7102</v>
      </c>
      <c r="F3080" t="s">
        <v>49</v>
      </c>
      <c r="G3080" t="s">
        <v>7103</v>
      </c>
      <c r="H3080" t="s">
        <v>7104</v>
      </c>
      <c r="J3080" t="str">
        <f>HYPERLINK("https://twitter.com/P70910Patel/status/1755244310864523427","https://twitter.com/P70910Patel/status/1755244310864523427")</f>
        <v>https://twitter.com/P70910Patel/status/1755244310864523427</v>
      </c>
      <c r="K3080" t="s">
        <v>145</v>
      </c>
      <c r="O3080">
        <v>0</v>
      </c>
      <c r="P3080">
        <v>0</v>
      </c>
      <c r="Q3080">
        <v>357</v>
      </c>
      <c r="S3080">
        <v>0</v>
      </c>
      <c r="T3080">
        <v>0</v>
      </c>
      <c r="U3080">
        <v>0</v>
      </c>
      <c r="W3080" t="s">
        <v>146</v>
      </c>
      <c r="AP3080" t="s">
        <v>147</v>
      </c>
    </row>
    <row r="3081" spans="1:45" x14ac:dyDescent="0.35">
      <c r="A3081" t="s">
        <v>45</v>
      </c>
      <c r="B3081" t="s">
        <v>7092</v>
      </c>
      <c r="C3081" t="s">
        <v>139</v>
      </c>
      <c r="D3081" t="s">
        <v>7101</v>
      </c>
      <c r="E3081" t="s">
        <v>7102</v>
      </c>
      <c r="F3081" t="s">
        <v>76</v>
      </c>
      <c r="G3081" t="s">
        <v>7105</v>
      </c>
      <c r="H3081" t="s">
        <v>7106</v>
      </c>
      <c r="J3081" t="str">
        <f>HYPERLINK("https://twitter.com/P70910Patel/status/1755244153041268989","https://twitter.com/P70910Patel/status/1755244153041268989")</f>
        <v>https://twitter.com/P70910Patel/status/1755244153041268989</v>
      </c>
      <c r="K3081" t="s">
        <v>145</v>
      </c>
      <c r="O3081">
        <v>0</v>
      </c>
      <c r="P3081">
        <v>0</v>
      </c>
      <c r="Q3081">
        <v>357</v>
      </c>
      <c r="S3081">
        <v>0</v>
      </c>
      <c r="T3081">
        <v>0</v>
      </c>
      <c r="U3081">
        <v>0</v>
      </c>
      <c r="W3081" t="s">
        <v>552</v>
      </c>
    </row>
    <row r="3082" spans="1:45" x14ac:dyDescent="0.35">
      <c r="A3082" t="s">
        <v>45</v>
      </c>
      <c r="B3082" t="s">
        <v>7092</v>
      </c>
      <c r="C3082" t="s">
        <v>139</v>
      </c>
      <c r="D3082" t="s">
        <v>2946</v>
      </c>
      <c r="E3082" t="s">
        <v>2947</v>
      </c>
      <c r="F3082" t="s">
        <v>76</v>
      </c>
      <c r="G3082" t="s">
        <v>7105</v>
      </c>
      <c r="H3082" t="s">
        <v>7107</v>
      </c>
      <c r="J3082" t="str">
        <f>HYPERLINK("https://twitter.com/InghNiranjan/status/1755243590328988043","https://twitter.com/InghNiranjan/status/1755243590328988043")</f>
        <v>https://twitter.com/InghNiranjan/status/1755243590328988043</v>
      </c>
      <c r="K3082" t="s">
        <v>145</v>
      </c>
      <c r="O3082">
        <v>0</v>
      </c>
      <c r="P3082">
        <v>0</v>
      </c>
      <c r="Q3082">
        <v>1698</v>
      </c>
      <c r="R3082" t="s">
        <v>2950</v>
      </c>
      <c r="S3082">
        <v>0</v>
      </c>
      <c r="T3082">
        <v>0</v>
      </c>
      <c r="U3082">
        <v>0</v>
      </c>
      <c r="W3082" t="s">
        <v>146</v>
      </c>
    </row>
    <row r="3083" spans="1:45" x14ac:dyDescent="0.35">
      <c r="A3083" t="s">
        <v>45</v>
      </c>
      <c r="B3083" t="s">
        <v>7092</v>
      </c>
      <c r="C3083" t="s">
        <v>47</v>
      </c>
      <c r="D3083" t="s">
        <v>4488</v>
      </c>
      <c r="E3083" t="s">
        <v>4488</v>
      </c>
      <c r="F3083" t="s">
        <v>49</v>
      </c>
      <c r="G3083" t="s">
        <v>7108</v>
      </c>
      <c r="H3083" t="s">
        <v>7109</v>
      </c>
      <c r="J3083" t="str">
        <f>HYPERLINK("https://www.facebook.com/454965103328545/posts/763715162453536?comment_id=369645655697410&amp;reply_comment_id=380385844597322","https://www.facebook.com/454965103328545/posts/763715162453536?comment_id=369645655697410&amp;reply_comment_id=380385844597322")</f>
        <v>https://www.facebook.com/454965103328545/posts/763715162453536?comment_id=369645655697410&amp;reply_comment_id=380385844597322</v>
      </c>
      <c r="O3083">
        <v>0</v>
      </c>
      <c r="P3083">
        <v>0</v>
      </c>
      <c r="Q3083">
        <v>0</v>
      </c>
      <c r="S3083">
        <v>0</v>
      </c>
      <c r="T3083">
        <v>0</v>
      </c>
      <c r="U3083">
        <v>0</v>
      </c>
      <c r="W3083" t="s">
        <v>62</v>
      </c>
      <c r="AS3083" t="s">
        <v>375</v>
      </c>
    </row>
    <row r="3084" spans="1:45" x14ac:dyDescent="0.35">
      <c r="A3084" t="s">
        <v>45</v>
      </c>
      <c r="B3084" t="s">
        <v>7092</v>
      </c>
      <c r="C3084" t="s">
        <v>47</v>
      </c>
      <c r="D3084" t="s">
        <v>4488</v>
      </c>
      <c r="E3084" t="s">
        <v>4488</v>
      </c>
      <c r="F3084" t="s">
        <v>49</v>
      </c>
      <c r="G3084" t="s">
        <v>45</v>
      </c>
      <c r="H3084" t="s">
        <v>7110</v>
      </c>
      <c r="J3084" t="str">
        <f>HYPERLINK("https://www.facebook.com/454965103328545/posts/763715162453536?comment_id=369645655697410&amp;reply_comment_id=918716106523791","https://www.facebook.com/454965103328545/posts/763715162453536?comment_id=369645655697410&amp;reply_comment_id=918716106523791")</f>
        <v>https://www.facebook.com/454965103328545/posts/763715162453536?comment_id=369645655697410&amp;reply_comment_id=918716106523791</v>
      </c>
      <c r="O3084">
        <v>0</v>
      </c>
      <c r="P3084">
        <v>0</v>
      </c>
      <c r="Q3084">
        <v>0</v>
      </c>
      <c r="S3084">
        <v>0</v>
      </c>
      <c r="T3084">
        <v>0</v>
      </c>
      <c r="U3084">
        <v>0</v>
      </c>
      <c r="W3084" t="s">
        <v>106</v>
      </c>
    </row>
    <row r="3085" spans="1:45" x14ac:dyDescent="0.35">
      <c r="A3085" t="s">
        <v>45</v>
      </c>
      <c r="B3085" t="s">
        <v>7092</v>
      </c>
      <c r="C3085" t="s">
        <v>47</v>
      </c>
      <c r="D3085" t="s">
        <v>5847</v>
      </c>
      <c r="E3085" t="s">
        <v>5847</v>
      </c>
      <c r="F3085" t="s">
        <v>49</v>
      </c>
      <c r="G3085" t="s">
        <v>7111</v>
      </c>
      <c r="H3085" t="s">
        <v>7112</v>
      </c>
      <c r="J3085" t="str">
        <f>HYPERLINK("https://www.facebook.com/454965103328545/videos/3697954183759550?comment_id=256445070820808&amp;reply_comment_id=3367621236717998","https://www.facebook.com/454965103328545/videos/3697954183759550?comment_id=256445070820808&amp;reply_comment_id=3367621236717998")</f>
        <v>https://www.facebook.com/454965103328545/videos/3697954183759550?comment_id=256445070820808&amp;reply_comment_id=3367621236717998</v>
      </c>
      <c r="O3085">
        <v>0</v>
      </c>
      <c r="P3085">
        <v>0</v>
      </c>
      <c r="Q3085">
        <v>0</v>
      </c>
      <c r="S3085">
        <v>0</v>
      </c>
      <c r="T3085">
        <v>0</v>
      </c>
      <c r="U3085">
        <v>0</v>
      </c>
      <c r="W3085" t="s">
        <v>62</v>
      </c>
      <c r="Y3085" t="s">
        <v>7113</v>
      </c>
      <c r="Z3085" t="s">
        <v>613</v>
      </c>
      <c r="AA3085" t="s">
        <v>614</v>
      </c>
    </row>
    <row r="3086" spans="1:45" x14ac:dyDescent="0.35">
      <c r="A3086" t="s">
        <v>45</v>
      </c>
      <c r="B3086" t="s">
        <v>7092</v>
      </c>
      <c r="C3086" t="s">
        <v>47</v>
      </c>
      <c r="D3086" t="s">
        <v>5847</v>
      </c>
      <c r="E3086" t="s">
        <v>5847</v>
      </c>
      <c r="F3086" t="s">
        <v>49</v>
      </c>
      <c r="G3086" t="s">
        <v>7114</v>
      </c>
      <c r="H3086" t="s">
        <v>7115</v>
      </c>
      <c r="J3086" t="str">
        <f>HYPERLINK("https://www.facebook.com/454965103328545/videos/3697954183759550?comment_id=578711314469783&amp;reply_comment_id=1789070404890021","https://www.facebook.com/454965103328545/videos/3697954183759550?comment_id=578711314469783&amp;reply_comment_id=1789070404890021")</f>
        <v>https://www.facebook.com/454965103328545/videos/3697954183759550?comment_id=578711314469783&amp;reply_comment_id=1789070404890021</v>
      </c>
      <c r="O3086">
        <v>0</v>
      </c>
      <c r="P3086">
        <v>0</v>
      </c>
      <c r="Q3086">
        <v>0</v>
      </c>
      <c r="S3086">
        <v>0</v>
      </c>
      <c r="T3086">
        <v>0</v>
      </c>
      <c r="U3086">
        <v>0</v>
      </c>
      <c r="W3086" t="s">
        <v>62</v>
      </c>
      <c r="AP3086" t="s">
        <v>101</v>
      </c>
      <c r="AS3086" t="s">
        <v>375</v>
      </c>
    </row>
    <row r="3087" spans="1:45" x14ac:dyDescent="0.35">
      <c r="A3087" t="s">
        <v>45</v>
      </c>
      <c r="B3087" t="s">
        <v>7092</v>
      </c>
      <c r="C3087" t="s">
        <v>47</v>
      </c>
      <c r="D3087" t="s">
        <v>5847</v>
      </c>
      <c r="E3087" t="s">
        <v>5847</v>
      </c>
      <c r="F3087" t="s">
        <v>49</v>
      </c>
      <c r="G3087" t="s">
        <v>7116</v>
      </c>
      <c r="H3087" t="s">
        <v>7117</v>
      </c>
      <c r="J3087" t="str">
        <f>HYPERLINK("https://www.facebook.com/454965103328545/videos/3697954183759550?comment_id=1505291576918042&amp;reply_comment_id=943280870481629","https://www.facebook.com/454965103328545/videos/3697954183759550?comment_id=1505291576918042&amp;reply_comment_id=943280870481629")</f>
        <v>https://www.facebook.com/454965103328545/videos/3697954183759550?comment_id=1505291576918042&amp;reply_comment_id=943280870481629</v>
      </c>
      <c r="O3087">
        <v>0</v>
      </c>
      <c r="P3087">
        <v>0</v>
      </c>
      <c r="Q3087">
        <v>0</v>
      </c>
      <c r="S3087">
        <v>0</v>
      </c>
      <c r="T3087">
        <v>0</v>
      </c>
      <c r="U3087">
        <v>0</v>
      </c>
      <c r="W3087" t="s">
        <v>62</v>
      </c>
      <c r="AP3087" t="s">
        <v>101</v>
      </c>
    </row>
    <row r="3088" spans="1:45" x14ac:dyDescent="0.35">
      <c r="A3088" t="s">
        <v>45</v>
      </c>
      <c r="B3088" t="s">
        <v>7092</v>
      </c>
      <c r="C3088" t="s">
        <v>47</v>
      </c>
      <c r="D3088" t="s">
        <v>5847</v>
      </c>
      <c r="E3088" t="s">
        <v>5847</v>
      </c>
      <c r="F3088" t="s">
        <v>49</v>
      </c>
      <c r="G3088" t="s">
        <v>7118</v>
      </c>
      <c r="H3088" t="s">
        <v>7119</v>
      </c>
      <c r="J3088" t="str">
        <f>HYPERLINK("https://www.facebook.com/454965103328545/videos/3697954183759550?comment_id=887163386586656&amp;reply_comment_id=418108233897619","https://www.facebook.com/454965103328545/videos/3697954183759550?comment_id=887163386586656&amp;reply_comment_id=418108233897619")</f>
        <v>https://www.facebook.com/454965103328545/videos/3697954183759550?comment_id=887163386586656&amp;reply_comment_id=418108233897619</v>
      </c>
      <c r="O3088">
        <v>0</v>
      </c>
      <c r="P3088">
        <v>0</v>
      </c>
      <c r="Q3088">
        <v>0</v>
      </c>
      <c r="S3088">
        <v>0</v>
      </c>
      <c r="T3088">
        <v>0</v>
      </c>
      <c r="U3088">
        <v>0</v>
      </c>
      <c r="W3088" t="s">
        <v>62</v>
      </c>
    </row>
    <row r="3089" spans="1:45" x14ac:dyDescent="0.35">
      <c r="A3089" t="s">
        <v>45</v>
      </c>
      <c r="B3089" t="s">
        <v>7092</v>
      </c>
      <c r="C3089" t="s">
        <v>47</v>
      </c>
      <c r="D3089" t="s">
        <v>5847</v>
      </c>
      <c r="E3089" t="s">
        <v>5847</v>
      </c>
      <c r="F3089" t="s">
        <v>49</v>
      </c>
      <c r="G3089" t="s">
        <v>7120</v>
      </c>
      <c r="H3089" t="s">
        <v>7121</v>
      </c>
      <c r="J3089" t="str">
        <f>HYPERLINK("https://www.facebook.com/454965103328545/videos/3697954183759550?comment_id=887163386586656&amp;reply_comment_id=392951906719180","https://www.facebook.com/454965103328545/videos/3697954183759550?comment_id=887163386586656&amp;reply_comment_id=392951906719180")</f>
        <v>https://www.facebook.com/454965103328545/videos/3697954183759550?comment_id=887163386586656&amp;reply_comment_id=392951906719180</v>
      </c>
      <c r="O3089">
        <v>0</v>
      </c>
      <c r="P3089">
        <v>0</v>
      </c>
      <c r="Q3089">
        <v>0</v>
      </c>
      <c r="S3089">
        <v>0</v>
      </c>
      <c r="T3089">
        <v>0</v>
      </c>
      <c r="U3089">
        <v>0</v>
      </c>
      <c r="W3089" t="s">
        <v>62</v>
      </c>
      <c r="AP3089" t="s">
        <v>101</v>
      </c>
    </row>
    <row r="3090" spans="1:45" x14ac:dyDescent="0.35">
      <c r="A3090" t="s">
        <v>45</v>
      </c>
      <c r="B3090" t="s">
        <v>7092</v>
      </c>
      <c r="C3090" t="s">
        <v>47</v>
      </c>
      <c r="D3090" t="s">
        <v>6231</v>
      </c>
      <c r="E3090" t="s">
        <v>6231</v>
      </c>
      <c r="F3090" t="s">
        <v>49</v>
      </c>
      <c r="G3090" t="s">
        <v>7122</v>
      </c>
      <c r="H3090" t="s">
        <v>7123</v>
      </c>
      <c r="J3090" t="str">
        <f>HYPERLINK("https://www.facebook.com/454965103328545/posts/766279632197089?comment_id=1100472927653821&amp;reply_comment_id=696489472660213","https://www.facebook.com/454965103328545/posts/766279632197089?comment_id=1100472927653821&amp;reply_comment_id=696489472660213")</f>
        <v>https://www.facebook.com/454965103328545/posts/766279632197089?comment_id=1100472927653821&amp;reply_comment_id=696489472660213</v>
      </c>
      <c r="O3090">
        <v>0</v>
      </c>
      <c r="P3090">
        <v>0</v>
      </c>
      <c r="Q3090">
        <v>0</v>
      </c>
      <c r="S3090">
        <v>0</v>
      </c>
      <c r="T3090">
        <v>0</v>
      </c>
      <c r="U3090">
        <v>0</v>
      </c>
      <c r="W3090" t="s">
        <v>62</v>
      </c>
    </row>
    <row r="3091" spans="1:45" x14ac:dyDescent="0.35">
      <c r="A3091" t="s">
        <v>45</v>
      </c>
      <c r="B3091" t="s">
        <v>7092</v>
      </c>
      <c r="C3091" t="s">
        <v>47</v>
      </c>
      <c r="D3091" t="s">
        <v>6231</v>
      </c>
      <c r="E3091" t="s">
        <v>6231</v>
      </c>
      <c r="F3091" t="s">
        <v>49</v>
      </c>
      <c r="H3091" t="s">
        <v>7124</v>
      </c>
      <c r="J3091" t="str">
        <f>HYPERLINK("https://www.facebook.com/454965103328545/posts/766279632197089?comment_id=1100472927653821&amp;reply_comment_id=3229828210654871","https://www.facebook.com/454965103328545/posts/766279632197089?comment_id=1100472927653821&amp;reply_comment_id=3229828210654871")</f>
        <v>https://www.facebook.com/454965103328545/posts/766279632197089?comment_id=1100472927653821&amp;reply_comment_id=3229828210654871</v>
      </c>
      <c r="O3091">
        <v>0</v>
      </c>
      <c r="P3091">
        <v>0</v>
      </c>
      <c r="Q3091">
        <v>0</v>
      </c>
      <c r="S3091">
        <v>0</v>
      </c>
      <c r="T3091">
        <v>0</v>
      </c>
      <c r="U3091">
        <v>0</v>
      </c>
      <c r="W3091" t="s">
        <v>62</v>
      </c>
    </row>
    <row r="3092" spans="1:45" x14ac:dyDescent="0.35">
      <c r="A3092" t="s">
        <v>45</v>
      </c>
      <c r="B3092" t="s">
        <v>7092</v>
      </c>
      <c r="C3092" t="s">
        <v>47</v>
      </c>
      <c r="D3092" t="s">
        <v>6231</v>
      </c>
      <c r="E3092" t="s">
        <v>6231</v>
      </c>
      <c r="F3092" t="s">
        <v>49</v>
      </c>
      <c r="G3092" t="s">
        <v>7125</v>
      </c>
      <c r="H3092" t="s">
        <v>7126</v>
      </c>
      <c r="J3092" t="str">
        <f>HYPERLINK("https://www.facebook.com/454965103328545/posts/766279632197089?comment_id=1100472927653821&amp;reply_comment_id=1380211062602075","https://www.facebook.com/454965103328545/posts/766279632197089?comment_id=1100472927653821&amp;reply_comment_id=1380211062602075")</f>
        <v>https://www.facebook.com/454965103328545/posts/766279632197089?comment_id=1100472927653821&amp;reply_comment_id=1380211062602075</v>
      </c>
      <c r="O3092">
        <v>0</v>
      </c>
      <c r="P3092">
        <v>0</v>
      </c>
      <c r="Q3092">
        <v>0</v>
      </c>
      <c r="S3092">
        <v>0</v>
      </c>
      <c r="T3092">
        <v>0</v>
      </c>
      <c r="U3092">
        <v>0</v>
      </c>
      <c r="W3092" t="s">
        <v>62</v>
      </c>
    </row>
    <row r="3093" spans="1:45" x14ac:dyDescent="0.35">
      <c r="A3093" t="s">
        <v>45</v>
      </c>
      <c r="B3093" t="s">
        <v>7092</v>
      </c>
      <c r="C3093" t="s">
        <v>47</v>
      </c>
      <c r="D3093" t="s">
        <v>6231</v>
      </c>
      <c r="E3093" t="s">
        <v>6231</v>
      </c>
      <c r="F3093" t="s">
        <v>49</v>
      </c>
      <c r="H3093" t="s">
        <v>7127</v>
      </c>
      <c r="J3093" t="str">
        <f>HYPERLINK("https://www.facebook.com/454965103328545/posts/766279632197089?comment_id=1100472927653821&amp;reply_comment_id=1755259961609648","https://www.facebook.com/454965103328545/posts/766279632197089?comment_id=1100472927653821&amp;reply_comment_id=1755259961609648")</f>
        <v>https://www.facebook.com/454965103328545/posts/766279632197089?comment_id=1100472927653821&amp;reply_comment_id=1755259961609648</v>
      </c>
      <c r="O3093">
        <v>0</v>
      </c>
      <c r="P3093">
        <v>0</v>
      </c>
      <c r="Q3093">
        <v>0</v>
      </c>
      <c r="S3093">
        <v>0</v>
      </c>
      <c r="T3093">
        <v>0</v>
      </c>
      <c r="U3093">
        <v>0</v>
      </c>
      <c r="W3093" t="s">
        <v>62</v>
      </c>
    </row>
    <row r="3094" spans="1:45" x14ac:dyDescent="0.35">
      <c r="A3094" t="s">
        <v>45</v>
      </c>
      <c r="B3094" t="s">
        <v>7092</v>
      </c>
      <c r="C3094" t="s">
        <v>47</v>
      </c>
      <c r="D3094" t="s">
        <v>6231</v>
      </c>
      <c r="E3094" t="s">
        <v>6231</v>
      </c>
      <c r="F3094" t="s">
        <v>49</v>
      </c>
      <c r="H3094" t="s">
        <v>7128</v>
      </c>
      <c r="J3094" t="str">
        <f>HYPERLINK("https://www.facebook.com/454965103328545/posts/766279632197089?comment_id=1100472927653821&amp;reply_comment_id=1142940030169402","https://www.facebook.com/454965103328545/posts/766279632197089?comment_id=1100472927653821&amp;reply_comment_id=1142940030169402")</f>
        <v>https://www.facebook.com/454965103328545/posts/766279632197089?comment_id=1100472927653821&amp;reply_comment_id=1142940030169402</v>
      </c>
      <c r="O3094">
        <v>0</v>
      </c>
      <c r="P3094">
        <v>0</v>
      </c>
      <c r="Q3094">
        <v>0</v>
      </c>
      <c r="S3094">
        <v>0</v>
      </c>
      <c r="T3094">
        <v>0</v>
      </c>
      <c r="U3094">
        <v>0</v>
      </c>
      <c r="W3094" t="s">
        <v>62</v>
      </c>
    </row>
    <row r="3095" spans="1:45" x14ac:dyDescent="0.35">
      <c r="A3095" t="s">
        <v>45</v>
      </c>
      <c r="B3095" t="s">
        <v>7092</v>
      </c>
      <c r="C3095" t="s">
        <v>47</v>
      </c>
      <c r="D3095" t="s">
        <v>6231</v>
      </c>
      <c r="E3095" t="s">
        <v>6231</v>
      </c>
      <c r="F3095" t="s">
        <v>49</v>
      </c>
      <c r="G3095" t="s">
        <v>7125</v>
      </c>
      <c r="H3095" t="s">
        <v>7129</v>
      </c>
      <c r="J3095" t="str">
        <f>HYPERLINK("https://www.facebook.com/454965103328545/posts/766279632197089?comment_id=1100472927653821&amp;reply_comment_id=946475670432485","https://www.facebook.com/454965103328545/posts/766279632197089?comment_id=1100472927653821&amp;reply_comment_id=946475670432485")</f>
        <v>https://www.facebook.com/454965103328545/posts/766279632197089?comment_id=1100472927653821&amp;reply_comment_id=946475670432485</v>
      </c>
      <c r="O3095">
        <v>0</v>
      </c>
      <c r="P3095">
        <v>0</v>
      </c>
      <c r="Q3095">
        <v>0</v>
      </c>
      <c r="S3095">
        <v>0</v>
      </c>
      <c r="T3095">
        <v>0</v>
      </c>
      <c r="U3095">
        <v>0</v>
      </c>
      <c r="W3095" t="s">
        <v>62</v>
      </c>
    </row>
    <row r="3096" spans="1:45" x14ac:dyDescent="0.35">
      <c r="A3096" t="s">
        <v>45</v>
      </c>
      <c r="B3096" t="s">
        <v>7092</v>
      </c>
      <c r="C3096" t="s">
        <v>47</v>
      </c>
      <c r="D3096" t="s">
        <v>6231</v>
      </c>
      <c r="E3096" t="s">
        <v>6231</v>
      </c>
      <c r="F3096" t="s">
        <v>49</v>
      </c>
      <c r="G3096" t="s">
        <v>7130</v>
      </c>
      <c r="H3096" t="s">
        <v>7131</v>
      </c>
      <c r="J3096" t="str">
        <f>HYPERLINK("https://www.facebook.com/454965103328545/posts/766279632197089?comment_id=1100472927653821&amp;reply_comment_id=1411069556161836","https://www.facebook.com/454965103328545/posts/766279632197089?comment_id=1100472927653821&amp;reply_comment_id=1411069556161836")</f>
        <v>https://www.facebook.com/454965103328545/posts/766279632197089?comment_id=1100472927653821&amp;reply_comment_id=1411069556161836</v>
      </c>
      <c r="O3096">
        <v>0</v>
      </c>
      <c r="P3096">
        <v>0</v>
      </c>
      <c r="Q3096">
        <v>0</v>
      </c>
      <c r="S3096">
        <v>0</v>
      </c>
      <c r="T3096">
        <v>0</v>
      </c>
      <c r="U3096">
        <v>0</v>
      </c>
      <c r="W3096" t="s">
        <v>62</v>
      </c>
      <c r="AP3096" t="s">
        <v>94</v>
      </c>
    </row>
    <row r="3097" spans="1:45" x14ac:dyDescent="0.35">
      <c r="A3097" t="s">
        <v>45</v>
      </c>
      <c r="B3097" t="s">
        <v>7092</v>
      </c>
      <c r="C3097" t="s">
        <v>47</v>
      </c>
      <c r="D3097" t="s">
        <v>3843</v>
      </c>
      <c r="E3097" t="s">
        <v>3843</v>
      </c>
      <c r="F3097" t="s">
        <v>49</v>
      </c>
      <c r="G3097" t="s">
        <v>50</v>
      </c>
      <c r="H3097" t="s">
        <v>7132</v>
      </c>
      <c r="J3097" t="str">
        <f>HYPERLINK("https://www.facebook.com/357267201017935/inbox/7012421342169121/","https://www.facebook.com/357267201017935/inbox/7012421342169121/")</f>
        <v>https://www.facebook.com/357267201017935/inbox/7012421342169121/</v>
      </c>
      <c r="O3097">
        <v>0</v>
      </c>
      <c r="P3097">
        <v>0</v>
      </c>
      <c r="Q3097">
        <v>0</v>
      </c>
      <c r="S3097">
        <v>0</v>
      </c>
      <c r="T3097">
        <v>0</v>
      </c>
      <c r="U3097">
        <v>0</v>
      </c>
      <c r="W3097" t="s">
        <v>52</v>
      </c>
      <c r="AS3097" t="s">
        <v>375</v>
      </c>
    </row>
    <row r="3098" spans="1:45" x14ac:dyDescent="0.35">
      <c r="A3098" t="s">
        <v>45</v>
      </c>
      <c r="B3098" t="s">
        <v>7092</v>
      </c>
      <c r="C3098" t="s">
        <v>58</v>
      </c>
      <c r="D3098" t="s">
        <v>7133</v>
      </c>
      <c r="E3098" t="s">
        <v>7133</v>
      </c>
      <c r="F3098" t="s">
        <v>49</v>
      </c>
      <c r="G3098" t="s">
        <v>7134</v>
      </c>
      <c r="H3098" t="s">
        <v>7135</v>
      </c>
      <c r="J3098" t="str">
        <f>HYPERLINK("https://www.youtube.com/watch?v=f6lXoh06d4c","https://www.youtube.com/watch?v=f6lXoh06d4c")</f>
        <v>https://www.youtube.com/watch?v=f6lXoh06d4c</v>
      </c>
      <c r="O3098">
        <v>0</v>
      </c>
      <c r="P3098">
        <v>0</v>
      </c>
      <c r="Q3098">
        <v>0</v>
      </c>
      <c r="S3098">
        <v>0</v>
      </c>
      <c r="T3098">
        <v>0</v>
      </c>
      <c r="U3098">
        <v>0</v>
      </c>
      <c r="W3098" t="s">
        <v>106</v>
      </c>
    </row>
    <row r="3099" spans="1:45" x14ac:dyDescent="0.35">
      <c r="A3099" t="s">
        <v>45</v>
      </c>
      <c r="B3099" t="s">
        <v>7092</v>
      </c>
      <c r="C3099" t="s">
        <v>139</v>
      </c>
      <c r="D3099" t="s">
        <v>7136</v>
      </c>
      <c r="E3099" t="s">
        <v>7137</v>
      </c>
      <c r="F3099" t="s">
        <v>49</v>
      </c>
      <c r="G3099" t="s">
        <v>3455</v>
      </c>
      <c r="H3099" t="s">
        <v>7138</v>
      </c>
      <c r="J3099" t="str">
        <f>HYPERLINK("https://twitter.com/mydurgeshshukla/status/1755198780033372531","https://twitter.com/mydurgeshshukla/status/1755198780033372531")</f>
        <v>https://twitter.com/mydurgeshshukla/status/1755198780033372531</v>
      </c>
      <c r="K3099" t="s">
        <v>145</v>
      </c>
      <c r="O3099">
        <v>0</v>
      </c>
      <c r="P3099">
        <v>0</v>
      </c>
      <c r="Q3099">
        <v>2575</v>
      </c>
      <c r="R3099" t="s">
        <v>7139</v>
      </c>
      <c r="S3099">
        <v>0</v>
      </c>
      <c r="T3099">
        <v>0</v>
      </c>
      <c r="U3099">
        <v>0</v>
      </c>
      <c r="W3099" t="s">
        <v>552</v>
      </c>
    </row>
    <row r="3100" spans="1:45" x14ac:dyDescent="0.35">
      <c r="A3100" t="s">
        <v>45</v>
      </c>
      <c r="B3100" t="s">
        <v>7092</v>
      </c>
      <c r="C3100" t="s">
        <v>47</v>
      </c>
      <c r="D3100" t="s">
        <v>6710</v>
      </c>
      <c r="E3100" t="s">
        <v>6710</v>
      </c>
      <c r="F3100" t="s">
        <v>49</v>
      </c>
      <c r="G3100" t="s">
        <v>7140</v>
      </c>
      <c r="H3100" t="s">
        <v>7141</v>
      </c>
      <c r="J3100" t="str">
        <f>HYPERLINK("https://www.facebook.com/357267201017935/inbox/6743898455688079/","https://www.facebook.com/357267201017935/inbox/6743898455688079/")</f>
        <v>https://www.facebook.com/357267201017935/inbox/6743898455688079/</v>
      </c>
      <c r="O3100">
        <v>0</v>
      </c>
      <c r="P3100">
        <v>0</v>
      </c>
      <c r="Q3100">
        <v>0</v>
      </c>
      <c r="S3100">
        <v>0</v>
      </c>
      <c r="T3100">
        <v>0</v>
      </c>
      <c r="U3100">
        <v>0</v>
      </c>
      <c r="W3100" t="s">
        <v>52</v>
      </c>
      <c r="Y3100" t="s">
        <v>7142</v>
      </c>
      <c r="Z3100" t="s">
        <v>613</v>
      </c>
      <c r="AA3100" t="s">
        <v>614</v>
      </c>
    </row>
    <row r="3101" spans="1:45" x14ac:dyDescent="0.35">
      <c r="A3101" t="s">
        <v>45</v>
      </c>
      <c r="B3101" t="s">
        <v>7092</v>
      </c>
      <c r="C3101" t="s">
        <v>47</v>
      </c>
      <c r="D3101" t="s">
        <v>6710</v>
      </c>
      <c r="E3101" t="s">
        <v>6710</v>
      </c>
      <c r="F3101" t="s">
        <v>49</v>
      </c>
      <c r="G3101" t="s">
        <v>2767</v>
      </c>
      <c r="H3101" t="s">
        <v>7143</v>
      </c>
      <c r="J3101" t="str">
        <f>HYPERLINK("https://www.facebook.com/357267201017935/inbox/6743898455688079/","https://www.facebook.com/357267201017935/inbox/6743898455688079/")</f>
        <v>https://www.facebook.com/357267201017935/inbox/6743898455688079/</v>
      </c>
      <c r="O3101">
        <v>0</v>
      </c>
      <c r="P3101">
        <v>0</v>
      </c>
      <c r="Q3101">
        <v>0</v>
      </c>
      <c r="S3101">
        <v>0</v>
      </c>
      <c r="T3101">
        <v>0</v>
      </c>
      <c r="U3101">
        <v>0</v>
      </c>
      <c r="W3101" t="s">
        <v>52</v>
      </c>
      <c r="AS3101" t="s">
        <v>375</v>
      </c>
    </row>
    <row r="3102" spans="1:45" x14ac:dyDescent="0.35">
      <c r="A3102" t="s">
        <v>45</v>
      </c>
      <c r="B3102" t="s">
        <v>7092</v>
      </c>
      <c r="C3102" t="s">
        <v>47</v>
      </c>
      <c r="D3102" t="s">
        <v>6710</v>
      </c>
      <c r="E3102" t="s">
        <v>6710</v>
      </c>
      <c r="F3102" t="s">
        <v>49</v>
      </c>
      <c r="G3102" t="s">
        <v>7144</v>
      </c>
      <c r="H3102" t="s">
        <v>7145</v>
      </c>
      <c r="J3102" t="str">
        <f>HYPERLINK("https://www.facebook.com/357267201017935/inbox/6743898455688079/","https://www.facebook.com/357267201017935/inbox/6743898455688079/")</f>
        <v>https://www.facebook.com/357267201017935/inbox/6743898455688079/</v>
      </c>
      <c r="O3102">
        <v>0</v>
      </c>
      <c r="P3102">
        <v>0</v>
      </c>
      <c r="Q3102">
        <v>0</v>
      </c>
      <c r="S3102">
        <v>0</v>
      </c>
      <c r="T3102">
        <v>0</v>
      </c>
      <c r="U3102">
        <v>0</v>
      </c>
      <c r="W3102" t="s">
        <v>52</v>
      </c>
      <c r="AS3102" t="s">
        <v>375</v>
      </c>
    </row>
    <row r="3103" spans="1:45" x14ac:dyDescent="0.35">
      <c r="A3103" t="s">
        <v>45</v>
      </c>
      <c r="B3103" t="s">
        <v>7092</v>
      </c>
      <c r="C3103" t="s">
        <v>47</v>
      </c>
      <c r="D3103" t="s">
        <v>6724</v>
      </c>
      <c r="E3103" t="s">
        <v>6724</v>
      </c>
      <c r="F3103" t="s">
        <v>49</v>
      </c>
      <c r="G3103" t="s">
        <v>7146</v>
      </c>
      <c r="H3103" t="s">
        <v>7147</v>
      </c>
      <c r="J3103" t="str">
        <f>HYPERLINK("https://www.facebook.com/454965103328545/posts/766279632197089?comment_id=1100472927653821&amp;reply_comment_id=263821323411129","https://www.facebook.com/454965103328545/posts/766279632197089?comment_id=1100472927653821&amp;reply_comment_id=263821323411129")</f>
        <v>https://www.facebook.com/454965103328545/posts/766279632197089?comment_id=1100472927653821&amp;reply_comment_id=263821323411129</v>
      </c>
      <c r="O3103">
        <v>0</v>
      </c>
      <c r="P3103">
        <v>0</v>
      </c>
      <c r="Q3103">
        <v>0</v>
      </c>
      <c r="S3103">
        <v>0</v>
      </c>
      <c r="T3103">
        <v>0</v>
      </c>
      <c r="U3103">
        <v>0</v>
      </c>
      <c r="W3103" t="s">
        <v>62</v>
      </c>
      <c r="AS3103" t="s">
        <v>375</v>
      </c>
    </row>
    <row r="3104" spans="1:45" x14ac:dyDescent="0.35">
      <c r="A3104" t="s">
        <v>45</v>
      </c>
      <c r="B3104" t="s">
        <v>7092</v>
      </c>
      <c r="C3104" t="s">
        <v>47</v>
      </c>
      <c r="D3104" t="s">
        <v>6231</v>
      </c>
      <c r="E3104" t="s">
        <v>6231</v>
      </c>
      <c r="F3104" t="s">
        <v>49</v>
      </c>
      <c r="G3104" t="s">
        <v>7148</v>
      </c>
      <c r="H3104" t="s">
        <v>7149</v>
      </c>
      <c r="J3104" t="str">
        <f>HYPERLINK("https://www.facebook.com/454965103328545/posts/766279632197089?comment_id=1100472927653821&amp;reply_comment_id=261375190317570","https://www.facebook.com/454965103328545/posts/766279632197089?comment_id=1100472927653821&amp;reply_comment_id=261375190317570")</f>
        <v>https://www.facebook.com/454965103328545/posts/766279632197089?comment_id=1100472927653821&amp;reply_comment_id=261375190317570</v>
      </c>
      <c r="O3104">
        <v>0</v>
      </c>
      <c r="P3104">
        <v>0</v>
      </c>
      <c r="Q3104">
        <v>0</v>
      </c>
      <c r="S3104">
        <v>0</v>
      </c>
      <c r="T3104">
        <v>0</v>
      </c>
      <c r="U3104">
        <v>0</v>
      </c>
      <c r="W3104" t="s">
        <v>62</v>
      </c>
    </row>
    <row r="3105" spans="1:45" x14ac:dyDescent="0.35">
      <c r="A3105" t="s">
        <v>45</v>
      </c>
      <c r="B3105" t="s">
        <v>7092</v>
      </c>
      <c r="C3105" t="s">
        <v>47</v>
      </c>
      <c r="D3105" t="s">
        <v>6231</v>
      </c>
      <c r="E3105" t="s">
        <v>6231</v>
      </c>
      <c r="F3105" t="s">
        <v>49</v>
      </c>
      <c r="G3105" t="s">
        <v>7125</v>
      </c>
      <c r="H3105" t="s">
        <v>7150</v>
      </c>
      <c r="J3105" t="str">
        <f>HYPERLINK("https://www.facebook.com/454965103328545/posts/766279632197089?comment_id=1100472927653821&amp;reply_comment_id=225026297270469","https://www.facebook.com/454965103328545/posts/766279632197089?comment_id=1100472927653821&amp;reply_comment_id=225026297270469")</f>
        <v>https://www.facebook.com/454965103328545/posts/766279632197089?comment_id=1100472927653821&amp;reply_comment_id=225026297270469</v>
      </c>
      <c r="O3105">
        <v>0</v>
      </c>
      <c r="P3105">
        <v>0</v>
      </c>
      <c r="Q3105">
        <v>0</v>
      </c>
      <c r="S3105">
        <v>0</v>
      </c>
      <c r="T3105">
        <v>0</v>
      </c>
      <c r="U3105">
        <v>0</v>
      </c>
      <c r="W3105" t="s">
        <v>62</v>
      </c>
    </row>
    <row r="3106" spans="1:45" x14ac:dyDescent="0.35">
      <c r="A3106" t="s">
        <v>45</v>
      </c>
      <c r="B3106" t="s">
        <v>7092</v>
      </c>
      <c r="C3106" t="s">
        <v>47</v>
      </c>
      <c r="D3106" t="s">
        <v>6231</v>
      </c>
      <c r="E3106" t="s">
        <v>6231</v>
      </c>
      <c r="F3106" t="s">
        <v>49</v>
      </c>
      <c r="G3106" t="s">
        <v>6232</v>
      </c>
      <c r="H3106" t="s">
        <v>7151</v>
      </c>
      <c r="J3106" t="str">
        <f>HYPERLINK("https://www.facebook.com/454965103328545/posts/766279632197089?comment_id=1100472927653821&amp;reply_comment_id=433707692316605","https://www.facebook.com/454965103328545/posts/766279632197089?comment_id=1100472927653821&amp;reply_comment_id=433707692316605")</f>
        <v>https://www.facebook.com/454965103328545/posts/766279632197089?comment_id=1100472927653821&amp;reply_comment_id=433707692316605</v>
      </c>
      <c r="O3106">
        <v>0</v>
      </c>
      <c r="P3106">
        <v>0</v>
      </c>
      <c r="Q3106">
        <v>0</v>
      </c>
      <c r="S3106">
        <v>0</v>
      </c>
      <c r="T3106">
        <v>0</v>
      </c>
      <c r="U3106">
        <v>0</v>
      </c>
      <c r="W3106" t="s">
        <v>62</v>
      </c>
      <c r="Y3106" t="s">
        <v>7152</v>
      </c>
      <c r="Z3106" t="s">
        <v>613</v>
      </c>
      <c r="AA3106" t="s">
        <v>614</v>
      </c>
    </row>
    <row r="3107" spans="1:45" x14ac:dyDescent="0.35">
      <c r="A3107" t="s">
        <v>45</v>
      </c>
      <c r="B3107" t="s">
        <v>7092</v>
      </c>
      <c r="C3107" t="s">
        <v>47</v>
      </c>
      <c r="D3107" t="s">
        <v>6724</v>
      </c>
      <c r="E3107" t="s">
        <v>6724</v>
      </c>
      <c r="F3107" t="s">
        <v>142</v>
      </c>
      <c r="G3107" t="s">
        <v>7153</v>
      </c>
      <c r="H3107" t="s">
        <v>7154</v>
      </c>
      <c r="J3107" t="str">
        <f>HYPERLINK("https://www.facebook.com/454965103328545/posts/766279632197089?comment_id=1100472927653821&amp;reply_comment_id=1125247801986929","https://www.facebook.com/454965103328545/posts/766279632197089?comment_id=1100472927653821&amp;reply_comment_id=1125247801986929")</f>
        <v>https://www.facebook.com/454965103328545/posts/766279632197089?comment_id=1100472927653821&amp;reply_comment_id=1125247801986929</v>
      </c>
      <c r="O3107">
        <v>0</v>
      </c>
      <c r="P3107">
        <v>0</v>
      </c>
      <c r="Q3107">
        <v>0</v>
      </c>
      <c r="S3107">
        <v>0</v>
      </c>
      <c r="T3107">
        <v>0</v>
      </c>
      <c r="U3107">
        <v>0</v>
      </c>
      <c r="W3107" t="s">
        <v>62</v>
      </c>
    </row>
    <row r="3108" spans="1:45" x14ac:dyDescent="0.35">
      <c r="A3108" t="s">
        <v>45</v>
      </c>
      <c r="B3108" t="s">
        <v>7092</v>
      </c>
      <c r="C3108" t="s">
        <v>139</v>
      </c>
      <c r="D3108" t="s">
        <v>7155</v>
      </c>
      <c r="E3108" t="s">
        <v>7156</v>
      </c>
      <c r="F3108" t="s">
        <v>49</v>
      </c>
      <c r="G3108" t="s">
        <v>3455</v>
      </c>
      <c r="H3108" t="s">
        <v>7157</v>
      </c>
      <c r="J3108" t="str">
        <f>HYPERLINK("https://twitter.com/hetramfage22798/status/1755171710280601609","https://twitter.com/hetramfage22798/status/1755171710280601609")</f>
        <v>https://twitter.com/hetramfage22798/status/1755171710280601609</v>
      </c>
      <c r="K3108" t="s">
        <v>145</v>
      </c>
      <c r="O3108">
        <v>0</v>
      </c>
      <c r="P3108">
        <v>0</v>
      </c>
      <c r="Q3108">
        <v>6342</v>
      </c>
      <c r="R3108" t="s">
        <v>7158</v>
      </c>
      <c r="S3108">
        <v>0</v>
      </c>
      <c r="T3108">
        <v>0</v>
      </c>
      <c r="U3108">
        <v>0</v>
      </c>
      <c r="W3108" t="s">
        <v>552</v>
      </c>
    </row>
    <row r="3109" spans="1:45" x14ac:dyDescent="0.35">
      <c r="A3109" t="s">
        <v>45</v>
      </c>
      <c r="B3109" t="s">
        <v>7092</v>
      </c>
      <c r="C3109" t="s">
        <v>139</v>
      </c>
      <c r="D3109" t="s">
        <v>2902</v>
      </c>
      <c r="E3109" t="s">
        <v>2903</v>
      </c>
      <c r="F3109" t="s">
        <v>49</v>
      </c>
      <c r="G3109" t="s">
        <v>7159</v>
      </c>
      <c r="H3109" t="s">
        <v>7160</v>
      </c>
      <c r="J3109" t="str">
        <f>HYPERLINK("https://twitter.com/Biragbhan_Aheer/status/1755167359365746710","https://twitter.com/Biragbhan_Aheer/status/1755167359365746710")</f>
        <v>https://twitter.com/Biragbhan_Aheer/status/1755167359365746710</v>
      </c>
      <c r="O3109">
        <v>0</v>
      </c>
      <c r="P3109">
        <v>0</v>
      </c>
      <c r="Q3109">
        <v>3032</v>
      </c>
      <c r="R3109" t="s">
        <v>582</v>
      </c>
      <c r="S3109">
        <v>0</v>
      </c>
      <c r="T3109">
        <v>0</v>
      </c>
      <c r="U3109">
        <v>0</v>
      </c>
      <c r="W3109" t="s">
        <v>52</v>
      </c>
    </row>
    <row r="3110" spans="1:45" x14ac:dyDescent="0.35">
      <c r="A3110" t="s">
        <v>45</v>
      </c>
      <c r="B3110" t="s">
        <v>7092</v>
      </c>
      <c r="C3110" t="s">
        <v>139</v>
      </c>
      <c r="D3110" t="s">
        <v>2902</v>
      </c>
      <c r="E3110" t="s">
        <v>2903</v>
      </c>
      <c r="F3110" t="s">
        <v>49</v>
      </c>
      <c r="G3110" t="s">
        <v>7161</v>
      </c>
      <c r="H3110" t="s">
        <v>7162</v>
      </c>
      <c r="J3110" t="str">
        <f>HYPERLINK("https://twitter.com/Biragbhan_Aheer/status/1755167310317502921","https://twitter.com/Biragbhan_Aheer/status/1755167310317502921")</f>
        <v>https://twitter.com/Biragbhan_Aheer/status/1755167310317502921</v>
      </c>
      <c r="O3110">
        <v>0</v>
      </c>
      <c r="P3110">
        <v>0</v>
      </c>
      <c r="Q3110">
        <v>3032</v>
      </c>
      <c r="R3110" t="s">
        <v>582</v>
      </c>
      <c r="S3110">
        <v>0</v>
      </c>
      <c r="T3110">
        <v>0</v>
      </c>
      <c r="U3110">
        <v>0</v>
      </c>
      <c r="W3110" t="s">
        <v>52</v>
      </c>
    </row>
    <row r="3111" spans="1:45" x14ac:dyDescent="0.35">
      <c r="A3111" t="s">
        <v>45</v>
      </c>
      <c r="B3111" t="s">
        <v>7092</v>
      </c>
      <c r="C3111" t="s">
        <v>139</v>
      </c>
      <c r="D3111" t="s">
        <v>2902</v>
      </c>
      <c r="E3111" t="s">
        <v>2903</v>
      </c>
      <c r="F3111" t="s">
        <v>49</v>
      </c>
      <c r="G3111" t="s">
        <v>7163</v>
      </c>
      <c r="H3111" t="s">
        <v>7164</v>
      </c>
      <c r="J3111" t="str">
        <f>HYPERLINK("https://twitter.com/Biragbhan_Aheer/status/1755167142536949801","https://twitter.com/Biragbhan_Aheer/status/1755167142536949801")</f>
        <v>https://twitter.com/Biragbhan_Aheer/status/1755167142536949801</v>
      </c>
      <c r="O3111">
        <v>0</v>
      </c>
      <c r="P3111">
        <v>0</v>
      </c>
      <c r="Q3111">
        <v>3032</v>
      </c>
      <c r="R3111" t="s">
        <v>582</v>
      </c>
      <c r="S3111">
        <v>0</v>
      </c>
      <c r="T3111">
        <v>0</v>
      </c>
      <c r="U3111">
        <v>0</v>
      </c>
      <c r="W3111" t="s">
        <v>52</v>
      </c>
      <c r="AS3111" t="s">
        <v>375</v>
      </c>
    </row>
    <row r="3112" spans="1:45" x14ac:dyDescent="0.35">
      <c r="A3112" t="s">
        <v>45</v>
      </c>
      <c r="B3112" t="s">
        <v>7092</v>
      </c>
      <c r="C3112" t="s">
        <v>139</v>
      </c>
      <c r="D3112" t="s">
        <v>7165</v>
      </c>
      <c r="E3112" t="s">
        <v>7166</v>
      </c>
      <c r="F3112" t="s">
        <v>49</v>
      </c>
      <c r="G3112" t="s">
        <v>3455</v>
      </c>
      <c r="H3112" t="s">
        <v>7167</v>
      </c>
      <c r="J3112" t="str">
        <f>HYPERLINK("https://twitter.com/suniltiwari4509/status/1755156459245961383","https://twitter.com/suniltiwari4509/status/1755156459245961383")</f>
        <v>https://twitter.com/suniltiwari4509/status/1755156459245961383</v>
      </c>
      <c r="K3112" t="s">
        <v>145</v>
      </c>
      <c r="O3112">
        <v>0</v>
      </c>
      <c r="P3112">
        <v>0</v>
      </c>
      <c r="Q3112">
        <v>2363</v>
      </c>
      <c r="R3112" t="s">
        <v>7168</v>
      </c>
      <c r="S3112">
        <v>0</v>
      </c>
      <c r="T3112">
        <v>0</v>
      </c>
      <c r="U3112">
        <v>0</v>
      </c>
      <c r="W3112" t="s">
        <v>552</v>
      </c>
    </row>
    <row r="3113" spans="1:45" x14ac:dyDescent="0.35">
      <c r="A3113" t="s">
        <v>45</v>
      </c>
      <c r="B3113" t="s">
        <v>7092</v>
      </c>
      <c r="C3113" t="s">
        <v>58</v>
      </c>
      <c r="D3113" t="s">
        <v>7169</v>
      </c>
      <c r="E3113" t="s">
        <v>7169</v>
      </c>
      <c r="F3113" t="s">
        <v>49</v>
      </c>
      <c r="G3113" t="s">
        <v>7170</v>
      </c>
      <c r="H3113" t="s">
        <v>7171</v>
      </c>
      <c r="J3113" t="str">
        <f>HYPERLINK("https://www.youtube.com/watch?v=_IGGd-qooS0","https://www.youtube.com/watch?v=_IGGd-qooS0")</f>
        <v>https://www.youtube.com/watch?v=_IGGd-qooS0</v>
      </c>
      <c r="O3113">
        <v>0</v>
      </c>
      <c r="P3113">
        <v>0</v>
      </c>
      <c r="Q3113">
        <v>0</v>
      </c>
      <c r="S3113">
        <v>0</v>
      </c>
      <c r="T3113">
        <v>0</v>
      </c>
      <c r="U3113">
        <v>0</v>
      </c>
      <c r="W3113" t="s">
        <v>106</v>
      </c>
    </row>
    <row r="3114" spans="1:45" x14ac:dyDescent="0.35">
      <c r="A3114" t="s">
        <v>45</v>
      </c>
      <c r="B3114" t="s">
        <v>7092</v>
      </c>
      <c r="C3114" t="s">
        <v>47</v>
      </c>
      <c r="D3114" t="s">
        <v>7172</v>
      </c>
      <c r="E3114" t="s">
        <v>7172</v>
      </c>
      <c r="F3114" t="s">
        <v>49</v>
      </c>
      <c r="G3114" t="s">
        <v>7173</v>
      </c>
      <c r="H3114" t="s">
        <v>7174</v>
      </c>
      <c r="J3114" t="str">
        <f>HYPERLINK("https://www.facebook.com/357267201017935/posts/3418723634872261/?comment_id=404484115302117","https://www.facebook.com/357267201017935/posts/3418723634872261/?comment_id=404484115302117")</f>
        <v>https://www.facebook.com/357267201017935/posts/3418723634872261/?comment_id=404484115302117</v>
      </c>
      <c r="O3114">
        <v>0</v>
      </c>
      <c r="P3114">
        <v>0</v>
      </c>
      <c r="Q3114">
        <v>0</v>
      </c>
      <c r="S3114">
        <v>0</v>
      </c>
      <c r="T3114">
        <v>0</v>
      </c>
      <c r="U3114">
        <v>0</v>
      </c>
      <c r="W3114" t="s">
        <v>62</v>
      </c>
    </row>
    <row r="3115" spans="1:45" x14ac:dyDescent="0.35">
      <c r="A3115" t="s">
        <v>45</v>
      </c>
      <c r="B3115" t="s">
        <v>7092</v>
      </c>
      <c r="C3115" t="s">
        <v>47</v>
      </c>
      <c r="D3115" t="s">
        <v>91</v>
      </c>
      <c r="E3115" t="s">
        <v>91</v>
      </c>
      <c r="F3115" t="s">
        <v>49</v>
      </c>
      <c r="G3115" t="s">
        <v>7175</v>
      </c>
      <c r="H3115" t="s">
        <v>7176</v>
      </c>
      <c r="J3115" t="str">
        <f>HYPERLINK("https://www.facebook.com/454965103328545/videos/3697954183759550?comment_id=375132235252427","https://www.facebook.com/454965103328545/videos/3697954183759550?comment_id=375132235252427")</f>
        <v>https://www.facebook.com/454965103328545/videos/3697954183759550?comment_id=375132235252427</v>
      </c>
      <c r="O3115">
        <v>0</v>
      </c>
      <c r="P3115">
        <v>0</v>
      </c>
      <c r="Q3115">
        <v>0</v>
      </c>
      <c r="S3115">
        <v>0</v>
      </c>
      <c r="T3115">
        <v>0</v>
      </c>
      <c r="U3115">
        <v>0</v>
      </c>
      <c r="W3115" t="s">
        <v>62</v>
      </c>
    </row>
    <row r="3116" spans="1:45" x14ac:dyDescent="0.35">
      <c r="A3116" t="s">
        <v>45</v>
      </c>
      <c r="B3116" t="s">
        <v>7092</v>
      </c>
      <c r="C3116" t="s">
        <v>47</v>
      </c>
      <c r="D3116" t="s">
        <v>91</v>
      </c>
      <c r="E3116" t="s">
        <v>91</v>
      </c>
      <c r="F3116" t="s">
        <v>49</v>
      </c>
      <c r="G3116" t="s">
        <v>7177</v>
      </c>
      <c r="H3116" t="s">
        <v>7178</v>
      </c>
      <c r="J3116" t="str">
        <f>HYPERLINK("https://www.facebook.com/454965103328545/videos/3697954183759550?comment_id=1087518789179117","https://www.facebook.com/454965103328545/videos/3697954183759550?comment_id=1087518789179117")</f>
        <v>https://www.facebook.com/454965103328545/videos/3697954183759550?comment_id=1087518789179117</v>
      </c>
      <c r="O3116">
        <v>0</v>
      </c>
      <c r="P3116">
        <v>0</v>
      </c>
      <c r="Q3116">
        <v>0</v>
      </c>
      <c r="S3116">
        <v>0</v>
      </c>
      <c r="T3116">
        <v>0</v>
      </c>
      <c r="U3116">
        <v>0</v>
      </c>
      <c r="W3116" t="s">
        <v>62</v>
      </c>
    </row>
    <row r="3117" spans="1:45" x14ac:dyDescent="0.35">
      <c r="A3117" t="s">
        <v>45</v>
      </c>
      <c r="B3117" t="s">
        <v>7092</v>
      </c>
      <c r="C3117" t="s">
        <v>58</v>
      </c>
      <c r="D3117" t="s">
        <v>1574</v>
      </c>
      <c r="E3117" t="s">
        <v>1574</v>
      </c>
      <c r="F3117" t="s">
        <v>49</v>
      </c>
      <c r="G3117" t="s">
        <v>7179</v>
      </c>
      <c r="H3117" t="s">
        <v>7180</v>
      </c>
      <c r="J3117" t="str">
        <f>HYPERLINK("https://www.youtube.com/watch?v=Yna2xmgSF-E","https://www.youtube.com/watch?v=Yna2xmgSF-E")</f>
        <v>https://www.youtube.com/watch?v=Yna2xmgSF-E</v>
      </c>
      <c r="O3117">
        <v>0</v>
      </c>
      <c r="P3117">
        <v>0</v>
      </c>
      <c r="Q3117">
        <v>0</v>
      </c>
      <c r="S3117">
        <v>0</v>
      </c>
      <c r="T3117">
        <v>0</v>
      </c>
      <c r="U3117">
        <v>0</v>
      </c>
      <c r="W3117" t="s">
        <v>106</v>
      </c>
    </row>
    <row r="3118" spans="1:45" x14ac:dyDescent="0.35">
      <c r="A3118" t="s">
        <v>45</v>
      </c>
      <c r="B3118" t="s">
        <v>7092</v>
      </c>
      <c r="C3118" t="s">
        <v>47</v>
      </c>
      <c r="D3118" t="s">
        <v>7181</v>
      </c>
      <c r="E3118" t="s">
        <v>7181</v>
      </c>
      <c r="F3118" t="s">
        <v>49</v>
      </c>
      <c r="G3118" t="s">
        <v>7182</v>
      </c>
      <c r="H3118" t="s">
        <v>7183</v>
      </c>
      <c r="J3118" t="str">
        <f>HYPERLINK("https://www.facebook.com/357267201017935/inbox/7011333122277943/","https://www.facebook.com/357267201017935/inbox/7011333122277943/")</f>
        <v>https://www.facebook.com/357267201017935/inbox/7011333122277943/</v>
      </c>
      <c r="O3118">
        <v>0</v>
      </c>
      <c r="P3118">
        <v>0</v>
      </c>
      <c r="Q3118">
        <v>0</v>
      </c>
      <c r="S3118">
        <v>0</v>
      </c>
      <c r="T3118">
        <v>0</v>
      </c>
      <c r="U3118">
        <v>0</v>
      </c>
      <c r="W3118" t="s">
        <v>52</v>
      </c>
      <c r="AP3118" t="s">
        <v>94</v>
      </c>
      <c r="AS3118" t="s">
        <v>375</v>
      </c>
    </row>
    <row r="3119" spans="1:45" x14ac:dyDescent="0.35">
      <c r="A3119" t="s">
        <v>45</v>
      </c>
      <c r="B3119" t="s">
        <v>7092</v>
      </c>
      <c r="C3119" t="s">
        <v>47</v>
      </c>
      <c r="D3119" t="s">
        <v>7181</v>
      </c>
      <c r="E3119" t="s">
        <v>7181</v>
      </c>
      <c r="F3119" t="s">
        <v>49</v>
      </c>
      <c r="G3119" t="s">
        <v>7184</v>
      </c>
      <c r="H3119" t="s">
        <v>7185</v>
      </c>
      <c r="J3119" t="str">
        <f>HYPERLINK("https://www.facebook.com/357267201017935/inbox/7011333122277943/","https://www.facebook.com/357267201017935/inbox/7011333122277943/")</f>
        <v>https://www.facebook.com/357267201017935/inbox/7011333122277943/</v>
      </c>
      <c r="O3119">
        <v>0</v>
      </c>
      <c r="P3119">
        <v>0</v>
      </c>
      <c r="Q3119">
        <v>0</v>
      </c>
      <c r="S3119">
        <v>0</v>
      </c>
      <c r="T3119">
        <v>0</v>
      </c>
      <c r="U3119">
        <v>0</v>
      </c>
      <c r="W3119" t="s">
        <v>52</v>
      </c>
      <c r="AS3119" t="s">
        <v>375</v>
      </c>
    </row>
    <row r="3120" spans="1:45" x14ac:dyDescent="0.35">
      <c r="A3120" t="s">
        <v>45</v>
      </c>
      <c r="B3120" t="s">
        <v>7092</v>
      </c>
      <c r="C3120" t="s">
        <v>139</v>
      </c>
      <c r="D3120" t="s">
        <v>7186</v>
      </c>
      <c r="E3120" t="s">
        <v>7187</v>
      </c>
      <c r="F3120" t="s">
        <v>49</v>
      </c>
      <c r="G3120" t="s">
        <v>3455</v>
      </c>
      <c r="H3120" t="s">
        <v>7188</v>
      </c>
      <c r="J3120" t="str">
        <f>HYPERLINK("https://twitter.com/Abhishe33609987/status/1755116248927797261","https://twitter.com/Abhishe33609987/status/1755116248927797261")</f>
        <v>https://twitter.com/Abhishe33609987/status/1755116248927797261</v>
      </c>
      <c r="K3120" t="s">
        <v>145</v>
      </c>
      <c r="O3120">
        <v>0</v>
      </c>
      <c r="P3120">
        <v>0</v>
      </c>
      <c r="Q3120">
        <v>2409</v>
      </c>
      <c r="R3120" t="s">
        <v>7189</v>
      </c>
      <c r="S3120">
        <v>0</v>
      </c>
      <c r="T3120">
        <v>0</v>
      </c>
      <c r="U3120">
        <v>0</v>
      </c>
      <c r="W3120" t="s">
        <v>552</v>
      </c>
    </row>
    <row r="3121" spans="1:45" x14ac:dyDescent="0.35">
      <c r="A3121" t="s">
        <v>45</v>
      </c>
      <c r="B3121" t="s">
        <v>7092</v>
      </c>
      <c r="C3121" t="s">
        <v>139</v>
      </c>
      <c r="D3121" t="s">
        <v>7190</v>
      </c>
      <c r="E3121" t="s">
        <v>7191</v>
      </c>
      <c r="F3121" t="s">
        <v>49</v>
      </c>
      <c r="G3121" t="s">
        <v>3455</v>
      </c>
      <c r="H3121" t="s">
        <v>7192</v>
      </c>
      <c r="J3121" t="str">
        <f>HYPERLINK("https://twitter.com/AmitKum03175362/status/1755113589302825267","https://twitter.com/AmitKum03175362/status/1755113589302825267")</f>
        <v>https://twitter.com/AmitKum03175362/status/1755113589302825267</v>
      </c>
      <c r="K3121" t="s">
        <v>145</v>
      </c>
      <c r="O3121">
        <v>0</v>
      </c>
      <c r="P3121">
        <v>0</v>
      </c>
      <c r="Q3121">
        <v>300</v>
      </c>
      <c r="S3121">
        <v>0</v>
      </c>
      <c r="T3121">
        <v>0</v>
      </c>
      <c r="U3121">
        <v>0</v>
      </c>
      <c r="W3121" t="s">
        <v>552</v>
      </c>
    </row>
    <row r="3122" spans="1:45" x14ac:dyDescent="0.35">
      <c r="A3122" t="s">
        <v>45</v>
      </c>
      <c r="B3122" t="s">
        <v>7092</v>
      </c>
      <c r="C3122" t="s">
        <v>47</v>
      </c>
      <c r="D3122" t="s">
        <v>7193</v>
      </c>
      <c r="E3122" t="s">
        <v>7193</v>
      </c>
      <c r="F3122" t="s">
        <v>49</v>
      </c>
      <c r="G3122" t="s">
        <v>7194</v>
      </c>
      <c r="H3122" t="s">
        <v>7195</v>
      </c>
      <c r="J3122" t="str">
        <f>HYPERLINK("https://www.facebook.com/454965103328545/posts/766279632197089?comment_id=266003206517999&amp;reply_comment_id=1496604464244018","https://www.facebook.com/454965103328545/posts/766279632197089?comment_id=266003206517999&amp;reply_comment_id=1496604464244018")</f>
        <v>https://www.facebook.com/454965103328545/posts/766279632197089?comment_id=266003206517999&amp;reply_comment_id=1496604464244018</v>
      </c>
      <c r="O3122">
        <v>0</v>
      </c>
      <c r="P3122">
        <v>0</v>
      </c>
      <c r="Q3122">
        <v>0</v>
      </c>
      <c r="S3122">
        <v>0</v>
      </c>
      <c r="T3122">
        <v>0</v>
      </c>
      <c r="U3122">
        <v>0</v>
      </c>
      <c r="W3122" t="s">
        <v>62</v>
      </c>
    </row>
    <row r="3123" spans="1:45" x14ac:dyDescent="0.35">
      <c r="A3123" t="s">
        <v>45</v>
      </c>
      <c r="B3123" t="s">
        <v>7092</v>
      </c>
      <c r="C3123" t="s">
        <v>47</v>
      </c>
      <c r="D3123" t="s">
        <v>7193</v>
      </c>
      <c r="E3123" t="s">
        <v>7193</v>
      </c>
      <c r="F3123" t="s">
        <v>49</v>
      </c>
      <c r="G3123" t="s">
        <v>7196</v>
      </c>
      <c r="H3123" t="s">
        <v>7197</v>
      </c>
      <c r="J3123" t="str">
        <f>HYPERLINK("https://www.facebook.com/454965103328545/posts/766279632197089?comment_id=403745932213265","https://www.facebook.com/454965103328545/posts/766279632197089?comment_id=403745932213265")</f>
        <v>https://www.facebook.com/454965103328545/posts/766279632197089?comment_id=403745932213265</v>
      </c>
      <c r="O3123">
        <v>0</v>
      </c>
      <c r="P3123">
        <v>0</v>
      </c>
      <c r="Q3123">
        <v>0</v>
      </c>
      <c r="S3123">
        <v>0</v>
      </c>
      <c r="T3123">
        <v>0</v>
      </c>
      <c r="U3123">
        <v>0</v>
      </c>
      <c r="W3123" t="s">
        <v>62</v>
      </c>
    </row>
    <row r="3124" spans="1:45" x14ac:dyDescent="0.35">
      <c r="A3124" t="s">
        <v>45</v>
      </c>
      <c r="B3124" t="s">
        <v>7092</v>
      </c>
      <c r="C3124" t="s">
        <v>139</v>
      </c>
      <c r="D3124" t="s">
        <v>7198</v>
      </c>
      <c r="E3124" t="s">
        <v>7199</v>
      </c>
      <c r="F3124" t="s">
        <v>49</v>
      </c>
      <c r="G3124" t="s">
        <v>3455</v>
      </c>
      <c r="H3124" t="s">
        <v>7200</v>
      </c>
      <c r="J3124" t="str">
        <f>HYPERLINK("https://twitter.com/Raajputob/status/1755107483390279958","https://twitter.com/Raajputob/status/1755107483390279958")</f>
        <v>https://twitter.com/Raajputob/status/1755107483390279958</v>
      </c>
      <c r="O3124">
        <v>0</v>
      </c>
      <c r="P3124">
        <v>0</v>
      </c>
      <c r="Q3124">
        <v>3348</v>
      </c>
      <c r="R3124" t="s">
        <v>582</v>
      </c>
      <c r="S3124">
        <v>0</v>
      </c>
      <c r="T3124">
        <v>0</v>
      </c>
      <c r="U3124">
        <v>0</v>
      </c>
      <c r="W3124" t="s">
        <v>552</v>
      </c>
    </row>
    <row r="3125" spans="1:45" x14ac:dyDescent="0.35">
      <c r="A3125" t="s">
        <v>45</v>
      </c>
      <c r="B3125" t="s">
        <v>7092</v>
      </c>
      <c r="C3125" t="s">
        <v>47</v>
      </c>
      <c r="D3125" t="s">
        <v>7201</v>
      </c>
      <c r="E3125" t="s">
        <v>7201</v>
      </c>
      <c r="F3125" t="s">
        <v>49</v>
      </c>
      <c r="G3125" t="s">
        <v>7202</v>
      </c>
      <c r="H3125" t="s">
        <v>7203</v>
      </c>
      <c r="J3125" t="str">
        <f>HYPERLINK("https://www.facebook.com/454965103328545/posts/763902162434836?comment_id=1875626059568082","https://www.facebook.com/454965103328545/posts/763902162434836?comment_id=1875626059568082")</f>
        <v>https://www.facebook.com/454965103328545/posts/763902162434836?comment_id=1875626059568082</v>
      </c>
      <c r="O3125">
        <v>0</v>
      </c>
      <c r="P3125">
        <v>0</v>
      </c>
      <c r="Q3125">
        <v>0</v>
      </c>
      <c r="S3125">
        <v>0</v>
      </c>
      <c r="T3125">
        <v>0</v>
      </c>
      <c r="U3125">
        <v>0</v>
      </c>
      <c r="W3125" t="s">
        <v>62</v>
      </c>
    </row>
    <row r="3126" spans="1:45" x14ac:dyDescent="0.35">
      <c r="A3126" t="s">
        <v>45</v>
      </c>
      <c r="B3126" t="s">
        <v>7092</v>
      </c>
      <c r="C3126" t="s">
        <v>47</v>
      </c>
      <c r="D3126" t="s">
        <v>7204</v>
      </c>
      <c r="E3126" t="s">
        <v>7204</v>
      </c>
      <c r="F3126" t="s">
        <v>49</v>
      </c>
      <c r="G3126" t="s">
        <v>7205</v>
      </c>
      <c r="H3126" t="s">
        <v>7206</v>
      </c>
      <c r="J3126" t="str">
        <f>HYPERLINK("https://www.facebook.com/357267201017935/posts/3069910089753619/?comment_id=850610890154763","https://www.facebook.com/357267201017935/posts/3069910089753619/?comment_id=850610890154763")</f>
        <v>https://www.facebook.com/357267201017935/posts/3069910089753619/?comment_id=850610890154763</v>
      </c>
      <c r="O3126">
        <v>0</v>
      </c>
      <c r="P3126">
        <v>0</v>
      </c>
      <c r="Q3126">
        <v>0</v>
      </c>
      <c r="S3126">
        <v>0</v>
      </c>
      <c r="T3126">
        <v>0</v>
      </c>
      <c r="U3126">
        <v>0</v>
      </c>
      <c r="W3126" t="s">
        <v>62</v>
      </c>
      <c r="AS3126" t="s">
        <v>375</v>
      </c>
    </row>
    <row r="3127" spans="1:45" x14ac:dyDescent="0.35">
      <c r="A3127" t="s">
        <v>45</v>
      </c>
      <c r="B3127" t="s">
        <v>7092</v>
      </c>
      <c r="C3127" t="s">
        <v>47</v>
      </c>
      <c r="D3127" t="s">
        <v>4377</v>
      </c>
      <c r="E3127" t="s">
        <v>4377</v>
      </c>
      <c r="F3127" t="s">
        <v>76</v>
      </c>
      <c r="G3127" t="s">
        <v>4378</v>
      </c>
      <c r="H3127" t="s">
        <v>7207</v>
      </c>
      <c r="J3127" t="str">
        <f>HYPERLINK("https://www.facebook.com/454965103328545/posts/766279632197089?comment_id=917197663048735","https://www.facebook.com/454965103328545/posts/766279632197089?comment_id=917197663048735")</f>
        <v>https://www.facebook.com/454965103328545/posts/766279632197089?comment_id=917197663048735</v>
      </c>
      <c r="O3127">
        <v>0</v>
      </c>
      <c r="P3127">
        <v>0</v>
      </c>
      <c r="Q3127">
        <v>0</v>
      </c>
      <c r="S3127">
        <v>0</v>
      </c>
      <c r="T3127">
        <v>0</v>
      </c>
      <c r="U3127">
        <v>0</v>
      </c>
      <c r="W3127" t="s">
        <v>62</v>
      </c>
    </row>
    <row r="3128" spans="1:45" x14ac:dyDescent="0.35">
      <c r="A3128" t="s">
        <v>45</v>
      </c>
      <c r="B3128" t="s">
        <v>7092</v>
      </c>
      <c r="C3128" t="s">
        <v>47</v>
      </c>
      <c r="D3128" t="s">
        <v>4377</v>
      </c>
      <c r="E3128" t="s">
        <v>4377</v>
      </c>
      <c r="F3128" t="s">
        <v>76</v>
      </c>
      <c r="G3128" t="s">
        <v>4378</v>
      </c>
      <c r="H3128" t="s">
        <v>7208</v>
      </c>
      <c r="J3128" t="str">
        <f>HYPERLINK("https://www.facebook.com/357267201017935/posts/3069910089753619/?comment_id=710696854464910","https://www.facebook.com/357267201017935/posts/3069910089753619/?comment_id=710696854464910")</f>
        <v>https://www.facebook.com/357267201017935/posts/3069910089753619/?comment_id=710696854464910</v>
      </c>
      <c r="O3128">
        <v>0</v>
      </c>
      <c r="P3128">
        <v>0</v>
      </c>
      <c r="Q3128">
        <v>0</v>
      </c>
      <c r="S3128">
        <v>0</v>
      </c>
      <c r="T3128">
        <v>0</v>
      </c>
      <c r="U3128">
        <v>0</v>
      </c>
      <c r="W3128" t="s">
        <v>62</v>
      </c>
    </row>
    <row r="3129" spans="1:45" x14ac:dyDescent="0.35">
      <c r="A3129" t="s">
        <v>45</v>
      </c>
      <c r="B3129" t="s">
        <v>7092</v>
      </c>
      <c r="C3129" t="s">
        <v>47</v>
      </c>
      <c r="D3129" t="s">
        <v>151</v>
      </c>
      <c r="E3129" t="s">
        <v>151</v>
      </c>
      <c r="F3129" t="s">
        <v>49</v>
      </c>
      <c r="H3129" t="s">
        <v>7209</v>
      </c>
      <c r="J3129" t="str">
        <f>HYPERLINK("https://www.facebook.com/454965103328545/posts/766952498796469?comment_id=865206102072431","https://www.facebook.com/454965103328545/posts/766952498796469?comment_id=865206102072431")</f>
        <v>https://www.facebook.com/454965103328545/posts/766952498796469?comment_id=865206102072431</v>
      </c>
      <c r="O3129">
        <v>0</v>
      </c>
      <c r="P3129">
        <v>0</v>
      </c>
      <c r="Q3129">
        <v>0</v>
      </c>
      <c r="S3129">
        <v>0</v>
      </c>
      <c r="T3129">
        <v>0</v>
      </c>
      <c r="U3129">
        <v>0</v>
      </c>
      <c r="W3129" t="s">
        <v>62</v>
      </c>
    </row>
    <row r="3130" spans="1:45" x14ac:dyDescent="0.35">
      <c r="A3130" t="s">
        <v>45</v>
      </c>
      <c r="B3130" t="s">
        <v>7092</v>
      </c>
      <c r="C3130" t="s">
        <v>139</v>
      </c>
      <c r="D3130" t="s">
        <v>5913</v>
      </c>
      <c r="E3130" t="s">
        <v>5914</v>
      </c>
      <c r="F3130" t="s">
        <v>49</v>
      </c>
      <c r="G3130" t="s">
        <v>7210</v>
      </c>
      <c r="H3130" t="s">
        <v>7211</v>
      </c>
      <c r="J3130" t="str">
        <f>HYPERLINK("https://twitter.com/fidolkastro/status/1755097916228993035","https://twitter.com/fidolkastro/status/1755097916228993035")</f>
        <v>https://twitter.com/fidolkastro/status/1755097916228993035</v>
      </c>
      <c r="K3130" t="s">
        <v>145</v>
      </c>
      <c r="O3130">
        <v>0</v>
      </c>
      <c r="P3130">
        <v>0</v>
      </c>
      <c r="Q3130">
        <v>6</v>
      </c>
      <c r="R3130" t="s">
        <v>5917</v>
      </c>
      <c r="S3130">
        <v>0</v>
      </c>
      <c r="T3130">
        <v>0</v>
      </c>
      <c r="U3130">
        <v>0</v>
      </c>
      <c r="W3130" t="s">
        <v>552</v>
      </c>
    </row>
    <row r="3131" spans="1:45" x14ac:dyDescent="0.35">
      <c r="A3131" t="s">
        <v>45</v>
      </c>
      <c r="B3131" t="s">
        <v>7092</v>
      </c>
      <c r="C3131" t="s">
        <v>47</v>
      </c>
      <c r="D3131" t="s">
        <v>6644</v>
      </c>
      <c r="E3131" t="s">
        <v>6644</v>
      </c>
      <c r="F3131" t="s">
        <v>49</v>
      </c>
      <c r="G3131" t="s">
        <v>7212</v>
      </c>
      <c r="H3131" t="s">
        <v>7213</v>
      </c>
      <c r="J3131" t="str">
        <f>HYPERLINK("https://www.facebook.com/454965103328545/videos/3697954183759550?comment_id=369887482340545","https://www.facebook.com/454965103328545/videos/3697954183759550?comment_id=369887482340545")</f>
        <v>https://www.facebook.com/454965103328545/videos/3697954183759550?comment_id=369887482340545</v>
      </c>
      <c r="O3131">
        <v>0</v>
      </c>
      <c r="P3131">
        <v>0</v>
      </c>
      <c r="Q3131">
        <v>0</v>
      </c>
      <c r="S3131">
        <v>0</v>
      </c>
      <c r="T3131">
        <v>0</v>
      </c>
      <c r="U3131">
        <v>0</v>
      </c>
      <c r="W3131" t="s">
        <v>62</v>
      </c>
      <c r="AS3131" t="s">
        <v>375</v>
      </c>
    </row>
    <row r="3132" spans="1:45" x14ac:dyDescent="0.35">
      <c r="A3132" t="s">
        <v>45</v>
      </c>
      <c r="B3132" t="s">
        <v>7092</v>
      </c>
      <c r="C3132" t="s">
        <v>139</v>
      </c>
      <c r="D3132" t="s">
        <v>7214</v>
      </c>
      <c r="E3132" t="s">
        <v>7215</v>
      </c>
      <c r="F3132" t="s">
        <v>49</v>
      </c>
      <c r="G3132" t="s">
        <v>7216</v>
      </c>
      <c r="H3132" t="s">
        <v>7217</v>
      </c>
      <c r="J3132" t="str">
        <f>HYPERLINK("https://twitter.com/TheCopyNinjaa/status/1755091425153204302","https://twitter.com/TheCopyNinjaa/status/1755091425153204302")</f>
        <v>https://twitter.com/TheCopyNinjaa/status/1755091425153204302</v>
      </c>
      <c r="K3132" t="s">
        <v>145</v>
      </c>
      <c r="O3132">
        <v>0</v>
      </c>
      <c r="P3132">
        <v>0</v>
      </c>
      <c r="Q3132">
        <v>139</v>
      </c>
      <c r="R3132" t="s">
        <v>1247</v>
      </c>
      <c r="S3132">
        <v>0</v>
      </c>
      <c r="T3132">
        <v>0</v>
      </c>
      <c r="U3132">
        <v>0</v>
      </c>
      <c r="W3132" t="s">
        <v>146</v>
      </c>
    </row>
    <row r="3133" spans="1:45" x14ac:dyDescent="0.35">
      <c r="A3133" t="s">
        <v>45</v>
      </c>
      <c r="B3133" t="s">
        <v>7092</v>
      </c>
      <c r="C3133" t="s">
        <v>139</v>
      </c>
      <c r="D3133" t="s">
        <v>7218</v>
      </c>
      <c r="E3133" t="s">
        <v>7219</v>
      </c>
      <c r="F3133" t="s">
        <v>49</v>
      </c>
      <c r="G3133" t="s">
        <v>3455</v>
      </c>
      <c r="H3133" t="s">
        <v>7220</v>
      </c>
      <c r="J3133" t="str">
        <f>HYPERLINK("https://twitter.com/NJ_0007/status/1755089901639602180","https://twitter.com/NJ_0007/status/1755089901639602180")</f>
        <v>https://twitter.com/NJ_0007/status/1755089901639602180</v>
      </c>
      <c r="O3133">
        <v>0</v>
      </c>
      <c r="P3133">
        <v>0</v>
      </c>
      <c r="Q3133">
        <v>12496</v>
      </c>
      <c r="S3133">
        <v>0</v>
      </c>
      <c r="T3133">
        <v>0</v>
      </c>
      <c r="U3133">
        <v>0</v>
      </c>
      <c r="W3133" t="s">
        <v>552</v>
      </c>
    </row>
    <row r="3134" spans="1:45" x14ac:dyDescent="0.35">
      <c r="A3134" t="s">
        <v>45</v>
      </c>
      <c r="B3134" t="s">
        <v>7092</v>
      </c>
      <c r="C3134" t="s">
        <v>139</v>
      </c>
      <c r="D3134" t="s">
        <v>7221</v>
      </c>
      <c r="E3134" t="s">
        <v>7222</v>
      </c>
      <c r="F3134" t="s">
        <v>49</v>
      </c>
      <c r="G3134" t="s">
        <v>3455</v>
      </c>
      <c r="H3134" t="s">
        <v>7223</v>
      </c>
      <c r="J3134" t="str">
        <f>HYPERLINK("https://twitter.com/SatyaSah24/status/1755089837881725250","https://twitter.com/SatyaSah24/status/1755089837881725250")</f>
        <v>https://twitter.com/SatyaSah24/status/1755089837881725250</v>
      </c>
      <c r="K3134" t="s">
        <v>145</v>
      </c>
      <c r="O3134">
        <v>0</v>
      </c>
      <c r="P3134">
        <v>0</v>
      </c>
      <c r="Q3134">
        <v>6024</v>
      </c>
      <c r="R3134" t="s">
        <v>7224</v>
      </c>
      <c r="S3134">
        <v>0</v>
      </c>
      <c r="T3134">
        <v>0</v>
      </c>
      <c r="U3134">
        <v>0</v>
      </c>
      <c r="W3134" t="s">
        <v>552</v>
      </c>
    </row>
    <row r="3135" spans="1:45" x14ac:dyDescent="0.35">
      <c r="A3135" t="s">
        <v>45</v>
      </c>
      <c r="B3135" t="s">
        <v>7092</v>
      </c>
      <c r="C3135" t="s">
        <v>63</v>
      </c>
      <c r="D3135" t="s">
        <v>4838</v>
      </c>
      <c r="E3135" t="s">
        <v>4838</v>
      </c>
      <c r="F3135" t="s">
        <v>49</v>
      </c>
      <c r="G3135" t="s">
        <v>7225</v>
      </c>
      <c r="H3135" t="s">
        <v>7226</v>
      </c>
      <c r="J3135" t="str">
        <f>HYPERLINK("https://www.instagram.com/reel/C3B5KTnh6TJ/","https://www.instagram.com/reel/C3B5KTnh6TJ/")</f>
        <v>https://www.instagram.com/reel/C3B5KTnh6TJ/</v>
      </c>
      <c r="O3135">
        <v>0</v>
      </c>
      <c r="P3135">
        <v>0</v>
      </c>
      <c r="Q3135">
        <v>0</v>
      </c>
      <c r="S3135">
        <v>0</v>
      </c>
      <c r="T3135">
        <v>0</v>
      </c>
      <c r="U3135">
        <v>0</v>
      </c>
      <c r="W3135" t="s">
        <v>62</v>
      </c>
    </row>
    <row r="3136" spans="1:45" x14ac:dyDescent="0.35">
      <c r="A3136" t="s">
        <v>45</v>
      </c>
      <c r="B3136" t="s">
        <v>7092</v>
      </c>
      <c r="C3136" t="s">
        <v>139</v>
      </c>
      <c r="D3136" t="s">
        <v>7101</v>
      </c>
      <c r="E3136" t="s">
        <v>7102</v>
      </c>
      <c r="F3136" t="s">
        <v>49</v>
      </c>
      <c r="G3136" t="s">
        <v>3455</v>
      </c>
      <c r="H3136" t="s">
        <v>7227</v>
      </c>
      <c r="J3136" t="str">
        <f>HYPERLINK("https://twitter.com/P70910Patel/status/1755086786769076297","https://twitter.com/P70910Patel/status/1755086786769076297")</f>
        <v>https://twitter.com/P70910Patel/status/1755086786769076297</v>
      </c>
      <c r="K3136" t="s">
        <v>145</v>
      </c>
      <c r="O3136">
        <v>0</v>
      </c>
      <c r="P3136">
        <v>0</v>
      </c>
      <c r="Q3136">
        <v>350</v>
      </c>
      <c r="S3136">
        <v>0</v>
      </c>
      <c r="T3136">
        <v>0</v>
      </c>
      <c r="U3136">
        <v>0</v>
      </c>
      <c r="W3136" t="s">
        <v>552</v>
      </c>
    </row>
    <row r="3137" spans="1:45" x14ac:dyDescent="0.35">
      <c r="A3137" t="s">
        <v>45</v>
      </c>
      <c r="B3137" t="s">
        <v>7092</v>
      </c>
      <c r="C3137" t="s">
        <v>47</v>
      </c>
      <c r="D3137" t="s">
        <v>6425</v>
      </c>
      <c r="E3137" t="s">
        <v>6425</v>
      </c>
      <c r="F3137" t="s">
        <v>49</v>
      </c>
      <c r="G3137" t="s">
        <v>56</v>
      </c>
      <c r="H3137" t="s">
        <v>7228</v>
      </c>
      <c r="J3137" t="str">
        <f>HYPERLINK("https://www.facebook.com/357267201017935/inbox/7010892538988668/","https://www.facebook.com/357267201017935/inbox/7010892538988668/")</f>
        <v>https://www.facebook.com/357267201017935/inbox/7010892538988668/</v>
      </c>
      <c r="O3137">
        <v>0</v>
      </c>
      <c r="P3137">
        <v>0</v>
      </c>
      <c r="Q3137">
        <v>0</v>
      </c>
      <c r="S3137">
        <v>0</v>
      </c>
      <c r="T3137">
        <v>0</v>
      </c>
      <c r="U3137">
        <v>0</v>
      </c>
      <c r="W3137" t="s">
        <v>52</v>
      </c>
      <c r="AS3137" t="s">
        <v>375</v>
      </c>
    </row>
    <row r="3138" spans="1:45" x14ac:dyDescent="0.35">
      <c r="A3138" t="s">
        <v>45</v>
      </c>
      <c r="B3138" t="s">
        <v>7092</v>
      </c>
      <c r="C3138" t="s">
        <v>47</v>
      </c>
      <c r="D3138" t="s">
        <v>6425</v>
      </c>
      <c r="E3138" t="s">
        <v>6425</v>
      </c>
      <c r="F3138" t="s">
        <v>49</v>
      </c>
      <c r="G3138" t="s">
        <v>2273</v>
      </c>
      <c r="H3138" t="s">
        <v>7228</v>
      </c>
      <c r="J3138" t="str">
        <f>HYPERLINK("https://www.facebook.com/357267201017935/inbox/7010892538988668/","https://www.facebook.com/357267201017935/inbox/7010892538988668/")</f>
        <v>https://www.facebook.com/357267201017935/inbox/7010892538988668/</v>
      </c>
      <c r="O3138">
        <v>0</v>
      </c>
      <c r="P3138">
        <v>0</v>
      </c>
      <c r="Q3138">
        <v>0</v>
      </c>
      <c r="S3138">
        <v>0</v>
      </c>
      <c r="T3138">
        <v>0</v>
      </c>
      <c r="U3138">
        <v>0</v>
      </c>
      <c r="W3138" t="s">
        <v>52</v>
      </c>
    </row>
    <row r="3139" spans="1:45" x14ac:dyDescent="0.35">
      <c r="A3139" t="s">
        <v>45</v>
      </c>
      <c r="B3139" t="s">
        <v>7092</v>
      </c>
      <c r="C3139" t="s">
        <v>47</v>
      </c>
      <c r="D3139" t="s">
        <v>7229</v>
      </c>
      <c r="E3139" t="s">
        <v>7229</v>
      </c>
      <c r="F3139" t="s">
        <v>49</v>
      </c>
      <c r="G3139" t="s">
        <v>7230</v>
      </c>
      <c r="H3139" t="s">
        <v>7231</v>
      </c>
      <c r="J3139" t="str">
        <f>HYPERLINK("https://www.facebook.com/357267201017935/inbox/7010864198991502/","https://www.facebook.com/357267201017935/inbox/7010864198991502/")</f>
        <v>https://www.facebook.com/357267201017935/inbox/7010864198991502/</v>
      </c>
      <c r="O3139">
        <v>0</v>
      </c>
      <c r="P3139">
        <v>0</v>
      </c>
      <c r="Q3139">
        <v>0</v>
      </c>
      <c r="S3139">
        <v>0</v>
      </c>
      <c r="T3139">
        <v>0</v>
      </c>
      <c r="U3139">
        <v>0</v>
      </c>
      <c r="W3139" t="s">
        <v>52</v>
      </c>
      <c r="AS3139" t="s">
        <v>375</v>
      </c>
    </row>
    <row r="3140" spans="1:45" x14ac:dyDescent="0.35">
      <c r="A3140" t="s">
        <v>45</v>
      </c>
      <c r="B3140" t="s">
        <v>7092</v>
      </c>
      <c r="C3140" t="s">
        <v>47</v>
      </c>
      <c r="D3140" t="s">
        <v>7229</v>
      </c>
      <c r="E3140" t="s">
        <v>7229</v>
      </c>
      <c r="F3140" t="s">
        <v>49</v>
      </c>
      <c r="G3140" t="s">
        <v>2273</v>
      </c>
      <c r="H3140" t="s">
        <v>7232</v>
      </c>
      <c r="J3140" t="str">
        <f>HYPERLINK("https://www.facebook.com/357267201017935/inbox/7010864198991502/","https://www.facebook.com/357267201017935/inbox/7010864198991502/")</f>
        <v>https://www.facebook.com/357267201017935/inbox/7010864198991502/</v>
      </c>
      <c r="O3140">
        <v>0</v>
      </c>
      <c r="P3140">
        <v>0</v>
      </c>
      <c r="Q3140">
        <v>0</v>
      </c>
      <c r="S3140">
        <v>0</v>
      </c>
      <c r="T3140">
        <v>0</v>
      </c>
      <c r="U3140">
        <v>0</v>
      </c>
      <c r="W3140" t="s">
        <v>52</v>
      </c>
    </row>
    <row r="3141" spans="1:45" x14ac:dyDescent="0.35">
      <c r="A3141" t="s">
        <v>45</v>
      </c>
      <c r="B3141" t="s">
        <v>7092</v>
      </c>
      <c r="C3141" t="s">
        <v>47</v>
      </c>
      <c r="D3141" t="s">
        <v>6231</v>
      </c>
      <c r="E3141" t="s">
        <v>6231</v>
      </c>
      <c r="F3141" t="s">
        <v>49</v>
      </c>
      <c r="G3141" t="s">
        <v>7233</v>
      </c>
      <c r="H3141" t="s">
        <v>7234</v>
      </c>
      <c r="J3141" t="str">
        <f>HYPERLINK("https://www.facebook.com/454965103328545/posts/766279632197089?comment_id=1100472927653821&amp;reply_comment_id=951208959759124","https://www.facebook.com/454965103328545/posts/766279632197089?comment_id=1100472927653821&amp;reply_comment_id=951208959759124")</f>
        <v>https://www.facebook.com/454965103328545/posts/766279632197089?comment_id=1100472927653821&amp;reply_comment_id=951208959759124</v>
      </c>
      <c r="O3141">
        <v>0</v>
      </c>
      <c r="P3141">
        <v>0</v>
      </c>
      <c r="Q3141">
        <v>0</v>
      </c>
      <c r="S3141">
        <v>0</v>
      </c>
      <c r="T3141">
        <v>0</v>
      </c>
      <c r="U3141">
        <v>0</v>
      </c>
      <c r="W3141" t="s">
        <v>62</v>
      </c>
      <c r="Y3141" t="s">
        <v>7235</v>
      </c>
      <c r="Z3141" t="s">
        <v>613</v>
      </c>
      <c r="AA3141" t="s">
        <v>614</v>
      </c>
    </row>
    <row r="3142" spans="1:45" x14ac:dyDescent="0.35">
      <c r="A3142" t="s">
        <v>45</v>
      </c>
      <c r="B3142" t="s">
        <v>7092</v>
      </c>
      <c r="C3142" t="s">
        <v>47</v>
      </c>
      <c r="D3142" t="s">
        <v>4488</v>
      </c>
      <c r="E3142" t="s">
        <v>4488</v>
      </c>
      <c r="F3142" t="s">
        <v>49</v>
      </c>
      <c r="G3142" t="s">
        <v>7236</v>
      </c>
      <c r="H3142" t="s">
        <v>7237</v>
      </c>
      <c r="J3142" t="str">
        <f>HYPERLINK("https://www.facebook.com/454965103328545/posts/766279632197089?comment_id=266003206517999&amp;reply_comment_id=834936208441677","https://www.facebook.com/454965103328545/posts/766279632197089?comment_id=266003206517999&amp;reply_comment_id=834936208441677")</f>
        <v>https://www.facebook.com/454965103328545/posts/766279632197089?comment_id=266003206517999&amp;reply_comment_id=834936208441677</v>
      </c>
      <c r="O3142">
        <v>0</v>
      </c>
      <c r="P3142">
        <v>0</v>
      </c>
      <c r="Q3142">
        <v>0</v>
      </c>
      <c r="S3142">
        <v>0</v>
      </c>
      <c r="T3142">
        <v>0</v>
      </c>
      <c r="U3142">
        <v>0</v>
      </c>
      <c r="W3142" t="s">
        <v>62</v>
      </c>
    </row>
    <row r="3143" spans="1:45" x14ac:dyDescent="0.35">
      <c r="A3143" t="s">
        <v>45</v>
      </c>
      <c r="B3143" t="s">
        <v>7092</v>
      </c>
      <c r="C3143" t="s">
        <v>47</v>
      </c>
      <c r="D3143" t="s">
        <v>4488</v>
      </c>
      <c r="E3143" t="s">
        <v>4488</v>
      </c>
      <c r="F3143" t="s">
        <v>49</v>
      </c>
      <c r="G3143" t="s">
        <v>45</v>
      </c>
      <c r="H3143" t="s">
        <v>7238</v>
      </c>
      <c r="J3143" t="str">
        <f>HYPERLINK("https://www.facebook.com/454965103328545/posts/766279632197089?comment_id=266003206517999&amp;reply_comment_id=723168562927994","https://www.facebook.com/454965103328545/posts/766279632197089?comment_id=266003206517999&amp;reply_comment_id=723168562927994")</f>
        <v>https://www.facebook.com/454965103328545/posts/766279632197089?comment_id=266003206517999&amp;reply_comment_id=723168562927994</v>
      </c>
      <c r="O3143">
        <v>0</v>
      </c>
      <c r="P3143">
        <v>0</v>
      </c>
      <c r="Q3143">
        <v>0</v>
      </c>
      <c r="S3143">
        <v>0</v>
      </c>
      <c r="T3143">
        <v>0</v>
      </c>
      <c r="U3143">
        <v>0</v>
      </c>
      <c r="W3143" t="s">
        <v>62</v>
      </c>
    </row>
    <row r="3144" spans="1:45" x14ac:dyDescent="0.35">
      <c r="A3144" t="s">
        <v>45</v>
      </c>
      <c r="B3144" t="s">
        <v>7092</v>
      </c>
      <c r="C3144" t="s">
        <v>47</v>
      </c>
      <c r="D3144" t="s">
        <v>5524</v>
      </c>
      <c r="E3144" t="s">
        <v>5524</v>
      </c>
      <c r="F3144" t="s">
        <v>49</v>
      </c>
      <c r="G3144" t="s">
        <v>7239</v>
      </c>
      <c r="H3144" t="s">
        <v>7240</v>
      </c>
      <c r="J3144" t="str">
        <f>HYPERLINK("https://www.facebook.com/454965103328545/posts/766279632197089?comment_id=999990781703960&amp;reply_comment_id=1117050055970561","https://www.facebook.com/454965103328545/posts/766279632197089?comment_id=999990781703960&amp;reply_comment_id=1117050055970561")</f>
        <v>https://www.facebook.com/454965103328545/posts/766279632197089?comment_id=999990781703960&amp;reply_comment_id=1117050055970561</v>
      </c>
      <c r="O3144">
        <v>0</v>
      </c>
      <c r="P3144">
        <v>0</v>
      </c>
      <c r="Q3144">
        <v>0</v>
      </c>
      <c r="S3144">
        <v>0</v>
      </c>
      <c r="T3144">
        <v>0</v>
      </c>
      <c r="U3144">
        <v>0</v>
      </c>
      <c r="W3144" t="s">
        <v>62</v>
      </c>
      <c r="AS3144" t="s">
        <v>375</v>
      </c>
    </row>
    <row r="3145" spans="1:45" x14ac:dyDescent="0.35">
      <c r="A3145" t="s">
        <v>45</v>
      </c>
      <c r="B3145" t="s">
        <v>7092</v>
      </c>
      <c r="C3145" t="s">
        <v>47</v>
      </c>
      <c r="D3145" t="s">
        <v>45</v>
      </c>
      <c r="E3145" t="s">
        <v>45</v>
      </c>
      <c r="F3145" t="s">
        <v>49</v>
      </c>
      <c r="G3145" t="s">
        <v>7241</v>
      </c>
      <c r="H3145" t="s">
        <v>7242</v>
      </c>
      <c r="J3145" t="str">
        <f>HYPERLINK("https://www.facebook.com/454965103328545/posts/763902162434836?comment_id=700394025553373&amp;reply_comment_id=1188792865833208","https://www.facebook.com/454965103328545/posts/763902162434836?comment_id=700394025553373&amp;reply_comment_id=1188792865833208")</f>
        <v>https://www.facebook.com/454965103328545/posts/763902162434836?comment_id=700394025553373&amp;reply_comment_id=1188792865833208</v>
      </c>
      <c r="O3145">
        <v>0</v>
      </c>
      <c r="P3145">
        <v>0</v>
      </c>
      <c r="Q3145">
        <v>0</v>
      </c>
      <c r="S3145">
        <v>0</v>
      </c>
      <c r="T3145">
        <v>0</v>
      </c>
      <c r="U3145">
        <v>0</v>
      </c>
      <c r="W3145" t="s">
        <v>62</v>
      </c>
    </row>
    <row r="3146" spans="1:45" x14ac:dyDescent="0.35">
      <c r="A3146" t="s">
        <v>45</v>
      </c>
      <c r="B3146" t="s">
        <v>7092</v>
      </c>
      <c r="C3146" t="s">
        <v>47</v>
      </c>
      <c r="D3146" t="s">
        <v>45</v>
      </c>
      <c r="E3146" t="s">
        <v>45</v>
      </c>
      <c r="F3146" t="s">
        <v>49</v>
      </c>
      <c r="G3146" t="s">
        <v>7243</v>
      </c>
      <c r="H3146" t="s">
        <v>7244</v>
      </c>
      <c r="J3146" t="str">
        <f>HYPERLINK("https://www.facebook.com/454965103328545/posts/766279632197089?comment_id=1100472927653821&amp;reply_comment_id=1418555098756680","https://www.facebook.com/454965103328545/posts/766279632197089?comment_id=1100472927653821&amp;reply_comment_id=1418555098756680")</f>
        <v>https://www.facebook.com/454965103328545/posts/766279632197089?comment_id=1100472927653821&amp;reply_comment_id=1418555098756680</v>
      </c>
      <c r="O3146">
        <v>0</v>
      </c>
      <c r="P3146">
        <v>0</v>
      </c>
      <c r="Q3146">
        <v>0</v>
      </c>
      <c r="S3146">
        <v>0</v>
      </c>
      <c r="T3146">
        <v>0</v>
      </c>
      <c r="U3146">
        <v>0</v>
      </c>
      <c r="W3146" t="s">
        <v>62</v>
      </c>
    </row>
    <row r="3147" spans="1:45" x14ac:dyDescent="0.35">
      <c r="A3147" t="s">
        <v>45</v>
      </c>
      <c r="B3147" t="s">
        <v>7092</v>
      </c>
      <c r="C3147" t="s">
        <v>47</v>
      </c>
      <c r="D3147" t="s">
        <v>45</v>
      </c>
      <c r="E3147" t="s">
        <v>45</v>
      </c>
      <c r="F3147" t="s">
        <v>49</v>
      </c>
      <c r="G3147" t="s">
        <v>7245</v>
      </c>
      <c r="H3147" t="s">
        <v>7246</v>
      </c>
      <c r="J3147" t="str">
        <f>HYPERLINK("https://www.facebook.com/454965103328545/posts/490024586489263?comment_id=1036473360766575&amp;reply_comment_id=1110714910081795","https://www.facebook.com/454965103328545/posts/490024586489263?comment_id=1036473360766575&amp;reply_comment_id=1110714910081795")</f>
        <v>https://www.facebook.com/454965103328545/posts/490024586489263?comment_id=1036473360766575&amp;reply_comment_id=1110714910081795</v>
      </c>
      <c r="O3147">
        <v>0</v>
      </c>
      <c r="P3147">
        <v>0</v>
      </c>
      <c r="Q3147">
        <v>0</v>
      </c>
      <c r="S3147">
        <v>0</v>
      </c>
      <c r="T3147">
        <v>0</v>
      </c>
      <c r="U3147">
        <v>0</v>
      </c>
      <c r="W3147" t="s">
        <v>62</v>
      </c>
    </row>
    <row r="3148" spans="1:45" x14ac:dyDescent="0.35">
      <c r="A3148" t="s">
        <v>45</v>
      </c>
      <c r="B3148" t="s">
        <v>7092</v>
      </c>
      <c r="C3148" t="s">
        <v>47</v>
      </c>
      <c r="D3148" t="s">
        <v>45</v>
      </c>
      <c r="E3148" t="s">
        <v>45</v>
      </c>
      <c r="F3148" t="s">
        <v>49</v>
      </c>
      <c r="G3148" t="s">
        <v>7247</v>
      </c>
      <c r="H3148" t="s">
        <v>7248</v>
      </c>
      <c r="J3148" t="str">
        <f>HYPERLINK("https://www.facebook.com/454965103328545/posts/766279632197089?comment_id=1120839475580951&amp;reply_comment_id=1732621753926319","https://www.facebook.com/454965103328545/posts/766279632197089?comment_id=1120839475580951&amp;reply_comment_id=1732621753926319")</f>
        <v>https://www.facebook.com/454965103328545/posts/766279632197089?comment_id=1120839475580951&amp;reply_comment_id=1732621753926319</v>
      </c>
      <c r="O3148">
        <v>0</v>
      </c>
      <c r="P3148">
        <v>0</v>
      </c>
      <c r="Q3148">
        <v>0</v>
      </c>
      <c r="S3148">
        <v>0</v>
      </c>
      <c r="T3148">
        <v>0</v>
      </c>
      <c r="U3148">
        <v>0</v>
      </c>
      <c r="W3148" t="s">
        <v>62</v>
      </c>
    </row>
    <row r="3149" spans="1:45" x14ac:dyDescent="0.35">
      <c r="A3149" t="s">
        <v>45</v>
      </c>
      <c r="B3149" t="s">
        <v>7092</v>
      </c>
      <c r="C3149" t="s">
        <v>47</v>
      </c>
      <c r="D3149" t="s">
        <v>45</v>
      </c>
      <c r="E3149" t="s">
        <v>45</v>
      </c>
      <c r="F3149" t="s">
        <v>49</v>
      </c>
      <c r="G3149" t="s">
        <v>7249</v>
      </c>
      <c r="H3149" t="s">
        <v>7250</v>
      </c>
      <c r="J3149" t="str">
        <f>HYPERLINK("https://www.facebook.com/454965103328545/posts/766279632197089?comment_id=1105756190615909&amp;reply_comment_id=920793879665840","https://www.facebook.com/454965103328545/posts/766279632197089?comment_id=1105756190615909&amp;reply_comment_id=920793879665840")</f>
        <v>https://www.facebook.com/454965103328545/posts/766279632197089?comment_id=1105756190615909&amp;reply_comment_id=920793879665840</v>
      </c>
      <c r="O3149">
        <v>0</v>
      </c>
      <c r="P3149">
        <v>0</v>
      </c>
      <c r="Q3149">
        <v>0</v>
      </c>
      <c r="S3149">
        <v>0</v>
      </c>
      <c r="T3149">
        <v>0</v>
      </c>
      <c r="U3149">
        <v>0</v>
      </c>
      <c r="W3149" t="s">
        <v>62</v>
      </c>
    </row>
    <row r="3150" spans="1:45" x14ac:dyDescent="0.35">
      <c r="A3150" t="s">
        <v>45</v>
      </c>
      <c r="B3150" t="s">
        <v>7092</v>
      </c>
      <c r="C3150" t="s">
        <v>139</v>
      </c>
      <c r="D3150" t="s">
        <v>190</v>
      </c>
      <c r="E3150" t="s">
        <v>45</v>
      </c>
      <c r="F3150" t="s">
        <v>49</v>
      </c>
      <c r="G3150" t="s">
        <v>7251</v>
      </c>
      <c r="H3150" t="s">
        <v>7252</v>
      </c>
      <c r="J3150" t="str">
        <f>HYPERLINK("https://twitter.com/FinoPaymntsBank/status/1755074164883628207","https://twitter.com/FinoPaymntsBank/status/1755074164883628207")</f>
        <v>https://twitter.com/FinoPaymntsBank/status/1755074164883628207</v>
      </c>
      <c r="K3150" t="s">
        <v>145</v>
      </c>
      <c r="O3150">
        <v>0</v>
      </c>
      <c r="P3150">
        <v>0</v>
      </c>
      <c r="Q3150">
        <v>8365</v>
      </c>
      <c r="R3150" t="s">
        <v>193</v>
      </c>
      <c r="S3150">
        <v>0</v>
      </c>
      <c r="T3150">
        <v>0</v>
      </c>
      <c r="U3150">
        <v>0</v>
      </c>
      <c r="W3150" t="s">
        <v>146</v>
      </c>
    </row>
    <row r="3151" spans="1:45" x14ac:dyDescent="0.35">
      <c r="A3151" t="s">
        <v>45</v>
      </c>
      <c r="B3151" t="s">
        <v>7092</v>
      </c>
      <c r="C3151" t="s">
        <v>47</v>
      </c>
      <c r="D3151" t="s">
        <v>45</v>
      </c>
      <c r="E3151" t="s">
        <v>45</v>
      </c>
      <c r="F3151" t="s">
        <v>49</v>
      </c>
      <c r="G3151" t="s">
        <v>7253</v>
      </c>
      <c r="H3151" t="s">
        <v>7254</v>
      </c>
      <c r="J3151" t="str">
        <f>HYPERLINK("https://www.facebook.com/454965103328545/posts/766279632197089?comment_id=999990781703960&amp;reply_comment_id=911378100361992","https://www.facebook.com/454965103328545/posts/766279632197089?comment_id=999990781703960&amp;reply_comment_id=911378100361992")</f>
        <v>https://www.facebook.com/454965103328545/posts/766279632197089?comment_id=999990781703960&amp;reply_comment_id=911378100361992</v>
      </c>
      <c r="O3151">
        <v>0</v>
      </c>
      <c r="P3151">
        <v>0</v>
      </c>
      <c r="Q3151">
        <v>0</v>
      </c>
      <c r="S3151">
        <v>0</v>
      </c>
      <c r="T3151">
        <v>0</v>
      </c>
      <c r="U3151">
        <v>0</v>
      </c>
      <c r="W3151" t="s">
        <v>62</v>
      </c>
    </row>
    <row r="3152" spans="1:45" x14ac:dyDescent="0.35">
      <c r="A3152" t="s">
        <v>45</v>
      </c>
      <c r="B3152" t="s">
        <v>7092</v>
      </c>
      <c r="C3152" t="s">
        <v>47</v>
      </c>
      <c r="D3152" t="s">
        <v>45</v>
      </c>
      <c r="E3152" t="s">
        <v>45</v>
      </c>
      <c r="F3152" t="s">
        <v>49</v>
      </c>
      <c r="G3152" t="s">
        <v>7255</v>
      </c>
      <c r="H3152" t="s">
        <v>7256</v>
      </c>
      <c r="J3152" t="str">
        <f>HYPERLINK("https://www.facebook.com/454965103328545/videos/3697954183759550?comment_id=887163386586656&amp;reply_comment_id=933886938272296","https://www.facebook.com/454965103328545/videos/3697954183759550?comment_id=887163386586656&amp;reply_comment_id=933886938272296")</f>
        <v>https://www.facebook.com/454965103328545/videos/3697954183759550?comment_id=887163386586656&amp;reply_comment_id=933886938272296</v>
      </c>
      <c r="O3152">
        <v>0</v>
      </c>
      <c r="P3152">
        <v>0</v>
      </c>
      <c r="Q3152">
        <v>0</v>
      </c>
      <c r="S3152">
        <v>0</v>
      </c>
      <c r="T3152">
        <v>0</v>
      </c>
      <c r="U3152">
        <v>0</v>
      </c>
      <c r="W3152" t="s">
        <v>62</v>
      </c>
    </row>
    <row r="3153" spans="1:45" x14ac:dyDescent="0.35">
      <c r="A3153" t="s">
        <v>45</v>
      </c>
      <c r="B3153" t="s">
        <v>7092</v>
      </c>
      <c r="C3153" t="s">
        <v>47</v>
      </c>
      <c r="D3153" t="s">
        <v>45</v>
      </c>
      <c r="E3153" t="s">
        <v>45</v>
      </c>
      <c r="F3153" t="s">
        <v>49</v>
      </c>
      <c r="G3153" t="s">
        <v>7257</v>
      </c>
      <c r="H3153" t="s">
        <v>7258</v>
      </c>
      <c r="J3153" t="str">
        <f>HYPERLINK("https://www.facebook.com/357267201017935/inbox/7010543632356892/","https://www.facebook.com/357267201017935/inbox/7010543632356892/")</f>
        <v>https://www.facebook.com/357267201017935/inbox/7010543632356892/</v>
      </c>
      <c r="O3153">
        <v>0</v>
      </c>
      <c r="P3153">
        <v>0</v>
      </c>
      <c r="Q3153">
        <v>0</v>
      </c>
      <c r="S3153">
        <v>0</v>
      </c>
      <c r="T3153">
        <v>0</v>
      </c>
      <c r="U3153">
        <v>0</v>
      </c>
      <c r="W3153" t="s">
        <v>52</v>
      </c>
    </row>
    <row r="3154" spans="1:45" x14ac:dyDescent="0.35">
      <c r="A3154" t="s">
        <v>45</v>
      </c>
      <c r="B3154" t="s">
        <v>7092</v>
      </c>
      <c r="C3154" t="s">
        <v>47</v>
      </c>
      <c r="D3154" t="s">
        <v>45</v>
      </c>
      <c r="E3154" t="s">
        <v>45</v>
      </c>
      <c r="F3154" t="s">
        <v>49</v>
      </c>
      <c r="G3154" t="s">
        <v>7259</v>
      </c>
      <c r="H3154" t="s">
        <v>7260</v>
      </c>
      <c r="J3154" t="str">
        <f>HYPERLINK("https://www.facebook.com/454965103328545/posts/766279632197089?comment_id=266003206517999&amp;reply_comment_id=875456524327986","https://www.facebook.com/454965103328545/posts/766279632197089?comment_id=266003206517999&amp;reply_comment_id=875456524327986")</f>
        <v>https://www.facebook.com/454965103328545/posts/766279632197089?comment_id=266003206517999&amp;reply_comment_id=875456524327986</v>
      </c>
      <c r="O3154">
        <v>0</v>
      </c>
      <c r="P3154">
        <v>0</v>
      </c>
      <c r="Q3154">
        <v>0</v>
      </c>
      <c r="S3154">
        <v>0</v>
      </c>
      <c r="T3154">
        <v>0</v>
      </c>
      <c r="U3154">
        <v>0</v>
      </c>
      <c r="W3154" t="s">
        <v>62</v>
      </c>
    </row>
    <row r="3155" spans="1:45" x14ac:dyDescent="0.35">
      <c r="A3155" t="s">
        <v>45</v>
      </c>
      <c r="B3155" t="s">
        <v>7092</v>
      </c>
      <c r="C3155" t="s">
        <v>58</v>
      </c>
      <c r="D3155" t="s">
        <v>7261</v>
      </c>
      <c r="E3155" t="s">
        <v>7261</v>
      </c>
      <c r="F3155" t="s">
        <v>49</v>
      </c>
      <c r="G3155" t="s">
        <v>7262</v>
      </c>
      <c r="H3155" t="s">
        <v>7263</v>
      </c>
      <c r="J3155" t="str">
        <f>HYPERLINK("https://www.youtube.com/watch?v=MnEJ_Egt4Qk","https://www.youtube.com/watch?v=MnEJ_Egt4Qk")</f>
        <v>https://www.youtube.com/watch?v=MnEJ_Egt4Qk</v>
      </c>
      <c r="O3155">
        <v>0</v>
      </c>
      <c r="P3155">
        <v>0</v>
      </c>
      <c r="Q3155">
        <v>0</v>
      </c>
      <c r="S3155">
        <v>0</v>
      </c>
      <c r="T3155">
        <v>0</v>
      </c>
      <c r="U3155">
        <v>0</v>
      </c>
      <c r="W3155" t="s">
        <v>106</v>
      </c>
    </row>
    <row r="3156" spans="1:45" x14ac:dyDescent="0.35">
      <c r="A3156" t="s">
        <v>45</v>
      </c>
      <c r="B3156" t="s">
        <v>7092</v>
      </c>
      <c r="C3156" t="s">
        <v>47</v>
      </c>
      <c r="D3156" t="s">
        <v>4488</v>
      </c>
      <c r="E3156" t="s">
        <v>4488</v>
      </c>
      <c r="F3156" t="s">
        <v>49</v>
      </c>
      <c r="G3156" t="s">
        <v>5919</v>
      </c>
      <c r="H3156" t="s">
        <v>7264</v>
      </c>
      <c r="J3156" t="str">
        <f>HYPERLINK("https://www.facebook.com/454965103328545/posts/766279632197089?comment_id=266003206517999","https://www.facebook.com/454965103328545/posts/766279632197089?comment_id=266003206517999")</f>
        <v>https://www.facebook.com/454965103328545/posts/766279632197089?comment_id=266003206517999</v>
      </c>
      <c r="O3156">
        <v>0</v>
      </c>
      <c r="P3156">
        <v>0</v>
      </c>
      <c r="Q3156">
        <v>0</v>
      </c>
      <c r="S3156">
        <v>0</v>
      </c>
      <c r="T3156">
        <v>0</v>
      </c>
      <c r="U3156">
        <v>0</v>
      </c>
      <c r="W3156" t="s">
        <v>62</v>
      </c>
      <c r="AS3156" t="s">
        <v>375</v>
      </c>
    </row>
    <row r="3157" spans="1:45" x14ac:dyDescent="0.35">
      <c r="A3157" t="s">
        <v>45</v>
      </c>
      <c r="B3157" t="s">
        <v>7092</v>
      </c>
      <c r="C3157" t="s">
        <v>47</v>
      </c>
      <c r="D3157" t="s">
        <v>7265</v>
      </c>
      <c r="E3157" t="s">
        <v>7265</v>
      </c>
      <c r="F3157" t="s">
        <v>49</v>
      </c>
      <c r="G3157" t="s">
        <v>7266</v>
      </c>
      <c r="H3157" t="s">
        <v>7267</v>
      </c>
      <c r="J3157" t="str">
        <f>HYPERLINK("https://www.facebook.com/357267201017935/inbox/7010543632356892/","https://www.facebook.com/357267201017935/inbox/7010543632356892/")</f>
        <v>https://www.facebook.com/357267201017935/inbox/7010543632356892/</v>
      </c>
      <c r="O3157">
        <v>0</v>
      </c>
      <c r="P3157">
        <v>0</v>
      </c>
      <c r="Q3157">
        <v>0</v>
      </c>
      <c r="S3157">
        <v>0</v>
      </c>
      <c r="T3157">
        <v>0</v>
      </c>
      <c r="U3157">
        <v>0</v>
      </c>
      <c r="W3157" t="s">
        <v>52</v>
      </c>
      <c r="AP3157" t="s">
        <v>147</v>
      </c>
      <c r="AS3157" t="s">
        <v>375</v>
      </c>
    </row>
    <row r="3158" spans="1:45" x14ac:dyDescent="0.35">
      <c r="A3158" t="s">
        <v>45</v>
      </c>
      <c r="B3158" t="s">
        <v>7092</v>
      </c>
      <c r="C3158" t="s">
        <v>47</v>
      </c>
      <c r="D3158" t="s">
        <v>7265</v>
      </c>
      <c r="E3158" t="s">
        <v>7265</v>
      </c>
      <c r="F3158" t="s">
        <v>49</v>
      </c>
      <c r="G3158" t="s">
        <v>373</v>
      </c>
      <c r="H3158" t="s">
        <v>7268</v>
      </c>
      <c r="J3158" t="str">
        <f>HYPERLINK("https://www.facebook.com/357267201017935/inbox/7010543632356892/","https://www.facebook.com/357267201017935/inbox/7010543632356892/")</f>
        <v>https://www.facebook.com/357267201017935/inbox/7010543632356892/</v>
      </c>
      <c r="O3158">
        <v>0</v>
      </c>
      <c r="P3158">
        <v>0</v>
      </c>
      <c r="Q3158">
        <v>0</v>
      </c>
      <c r="S3158">
        <v>0</v>
      </c>
      <c r="T3158">
        <v>0</v>
      </c>
      <c r="U3158">
        <v>0</v>
      </c>
      <c r="W3158" t="s">
        <v>52</v>
      </c>
    </row>
    <row r="3159" spans="1:45" x14ac:dyDescent="0.35">
      <c r="A3159" t="s">
        <v>45</v>
      </c>
      <c r="B3159" t="s">
        <v>7092</v>
      </c>
      <c r="C3159" t="s">
        <v>63</v>
      </c>
      <c r="D3159" t="s">
        <v>186</v>
      </c>
      <c r="E3159" t="s">
        <v>186</v>
      </c>
      <c r="F3159" t="s">
        <v>49</v>
      </c>
      <c r="G3159" t="s">
        <v>7269</v>
      </c>
      <c r="H3159" t="s">
        <v>7270</v>
      </c>
      <c r="J3159" t="str">
        <f>HYPERLINK("https://www.instagram.com/reel/C3B5KTnh6TJ/","https://www.instagram.com/reel/C3B5KTnh6TJ/")</f>
        <v>https://www.instagram.com/reel/C3B5KTnh6TJ/</v>
      </c>
      <c r="O3159">
        <v>0</v>
      </c>
      <c r="P3159">
        <v>0</v>
      </c>
      <c r="Q3159">
        <v>0</v>
      </c>
      <c r="S3159">
        <v>1</v>
      </c>
      <c r="T3159">
        <v>64</v>
      </c>
      <c r="U3159">
        <v>0</v>
      </c>
      <c r="W3159" t="s">
        <v>106</v>
      </c>
    </row>
    <row r="3160" spans="1:45" x14ac:dyDescent="0.35">
      <c r="A3160" t="s">
        <v>45</v>
      </c>
      <c r="B3160" t="s">
        <v>7092</v>
      </c>
      <c r="C3160" t="s">
        <v>47</v>
      </c>
      <c r="D3160" t="s">
        <v>45</v>
      </c>
      <c r="E3160" t="s">
        <v>45</v>
      </c>
      <c r="F3160" t="s">
        <v>49</v>
      </c>
      <c r="G3160" t="s">
        <v>7269</v>
      </c>
      <c r="H3160" t="s">
        <v>7271</v>
      </c>
      <c r="J3160" t="str">
        <f>HYPERLINK("https://www.facebook.com/357267201017935_766952498796469","https://www.facebook.com/357267201017935_766952498796469")</f>
        <v>https://www.facebook.com/357267201017935_766952498796469</v>
      </c>
      <c r="O3160">
        <v>0</v>
      </c>
      <c r="P3160">
        <v>0</v>
      </c>
      <c r="Q3160">
        <v>0</v>
      </c>
      <c r="S3160">
        <v>2</v>
      </c>
      <c r="T3160">
        <v>72</v>
      </c>
      <c r="U3160">
        <v>3</v>
      </c>
      <c r="W3160" t="s">
        <v>106</v>
      </c>
    </row>
    <row r="3161" spans="1:45" x14ac:dyDescent="0.35">
      <c r="A3161" t="s">
        <v>45</v>
      </c>
      <c r="B3161" t="s">
        <v>7092</v>
      </c>
      <c r="C3161" t="s">
        <v>139</v>
      </c>
      <c r="D3161" t="s">
        <v>190</v>
      </c>
      <c r="E3161" t="s">
        <v>45</v>
      </c>
      <c r="F3161" t="s">
        <v>49</v>
      </c>
      <c r="G3161" t="s">
        <v>7210</v>
      </c>
      <c r="H3161" t="s">
        <v>7272</v>
      </c>
      <c r="J3161" t="str">
        <f>HYPERLINK("https://twitter.com/FinoPaymntsBank/status/1755056286419628230","https://twitter.com/FinoPaymntsBank/status/1755056286419628230")</f>
        <v>https://twitter.com/FinoPaymntsBank/status/1755056286419628230</v>
      </c>
      <c r="K3161" t="s">
        <v>145</v>
      </c>
      <c r="O3161">
        <v>0</v>
      </c>
      <c r="P3161">
        <v>0</v>
      </c>
      <c r="Q3161">
        <v>8366</v>
      </c>
      <c r="R3161" t="s">
        <v>193</v>
      </c>
      <c r="S3161">
        <v>0</v>
      </c>
      <c r="T3161">
        <v>0</v>
      </c>
      <c r="U3161">
        <v>0</v>
      </c>
      <c r="W3161" t="s">
        <v>146</v>
      </c>
    </row>
    <row r="3162" spans="1:45" x14ac:dyDescent="0.35">
      <c r="A3162" t="s">
        <v>45</v>
      </c>
      <c r="B3162" t="s">
        <v>7092</v>
      </c>
      <c r="C3162" t="s">
        <v>58</v>
      </c>
      <c r="D3162" t="s">
        <v>7273</v>
      </c>
      <c r="E3162" t="s">
        <v>7273</v>
      </c>
      <c r="F3162" t="s">
        <v>49</v>
      </c>
      <c r="G3162" t="s">
        <v>7274</v>
      </c>
      <c r="H3162" t="s">
        <v>7275</v>
      </c>
      <c r="J3162" t="str">
        <f>HYPERLINK("https://www.youtube.com/watch?v=O38yicK0Beo","https://www.youtube.com/watch?v=O38yicK0Beo")</f>
        <v>https://www.youtube.com/watch?v=O38yicK0Beo</v>
      </c>
      <c r="O3162">
        <v>0</v>
      </c>
      <c r="P3162">
        <v>0</v>
      </c>
      <c r="Q3162">
        <v>0</v>
      </c>
      <c r="S3162">
        <v>0</v>
      </c>
      <c r="T3162">
        <v>0</v>
      </c>
      <c r="U3162">
        <v>0</v>
      </c>
      <c r="W3162" t="s">
        <v>106</v>
      </c>
    </row>
    <row r="3163" spans="1:45" x14ac:dyDescent="0.35">
      <c r="A3163" t="s">
        <v>45</v>
      </c>
      <c r="B3163" t="s">
        <v>7092</v>
      </c>
      <c r="C3163" t="s">
        <v>47</v>
      </c>
      <c r="D3163" t="s">
        <v>7276</v>
      </c>
      <c r="E3163" t="s">
        <v>7276</v>
      </c>
      <c r="F3163" t="s">
        <v>49</v>
      </c>
      <c r="G3163" t="s">
        <v>7277</v>
      </c>
      <c r="H3163" t="s">
        <v>7278</v>
      </c>
      <c r="J3163" t="str">
        <f>HYPERLINK("https://www.facebook.com/454965103328545/videos/3697954183759550?comment_id=887163386586656","https://www.facebook.com/454965103328545/videos/3697954183759550?comment_id=887163386586656")</f>
        <v>https://www.facebook.com/454965103328545/videos/3697954183759550?comment_id=887163386586656</v>
      </c>
      <c r="O3163">
        <v>0</v>
      </c>
      <c r="P3163">
        <v>0</v>
      </c>
      <c r="Q3163">
        <v>0</v>
      </c>
      <c r="S3163">
        <v>0</v>
      </c>
      <c r="T3163">
        <v>0</v>
      </c>
      <c r="U3163">
        <v>0</v>
      </c>
      <c r="W3163" t="s">
        <v>62</v>
      </c>
      <c r="AS3163" t="s">
        <v>375</v>
      </c>
    </row>
    <row r="3164" spans="1:45" x14ac:dyDescent="0.35">
      <c r="A3164" t="s">
        <v>45</v>
      </c>
      <c r="B3164" t="s">
        <v>7279</v>
      </c>
      <c r="C3164" t="s">
        <v>47</v>
      </c>
      <c r="D3164" t="s">
        <v>5524</v>
      </c>
      <c r="E3164" t="s">
        <v>5524</v>
      </c>
      <c r="F3164" t="s">
        <v>76</v>
      </c>
      <c r="G3164" t="s">
        <v>7280</v>
      </c>
      <c r="H3164" t="s">
        <v>7281</v>
      </c>
      <c r="J3164" t="str">
        <f>HYPERLINK("https://www.facebook.com/454965103328545/posts/766279632197089?comment_id=999990781703960","https://www.facebook.com/454965103328545/posts/766279632197089?comment_id=999990781703960")</f>
        <v>https://www.facebook.com/454965103328545/posts/766279632197089?comment_id=999990781703960</v>
      </c>
      <c r="O3164">
        <v>0</v>
      </c>
      <c r="P3164">
        <v>0</v>
      </c>
      <c r="Q3164">
        <v>0</v>
      </c>
      <c r="S3164">
        <v>0</v>
      </c>
      <c r="T3164">
        <v>0</v>
      </c>
      <c r="U3164">
        <v>0</v>
      </c>
      <c r="W3164" t="s">
        <v>62</v>
      </c>
      <c r="AP3164" t="s">
        <v>101</v>
      </c>
      <c r="AS3164" t="s">
        <v>375</v>
      </c>
    </row>
    <row r="3165" spans="1:45" x14ac:dyDescent="0.35">
      <c r="A3165" t="s">
        <v>45</v>
      </c>
      <c r="B3165" t="s">
        <v>7279</v>
      </c>
      <c r="C3165" t="s">
        <v>58</v>
      </c>
      <c r="D3165" t="s">
        <v>7282</v>
      </c>
      <c r="E3165" t="s">
        <v>7282</v>
      </c>
      <c r="F3165" t="s">
        <v>49</v>
      </c>
      <c r="G3165" t="s">
        <v>7283</v>
      </c>
      <c r="H3165" t="s">
        <v>7284</v>
      </c>
      <c r="J3165" t="str">
        <f>HYPERLINK("https://www.youtube.com/watch?v=5zNdyqECOhk","https://www.youtube.com/watch?v=5zNdyqECOhk")</f>
        <v>https://www.youtube.com/watch?v=5zNdyqECOhk</v>
      </c>
      <c r="O3165">
        <v>0</v>
      </c>
      <c r="P3165">
        <v>0</v>
      </c>
      <c r="Q3165">
        <v>0</v>
      </c>
      <c r="S3165">
        <v>0</v>
      </c>
      <c r="T3165">
        <v>0</v>
      </c>
      <c r="U3165">
        <v>0</v>
      </c>
      <c r="W3165" t="s">
        <v>106</v>
      </c>
    </row>
    <row r="3166" spans="1:45" x14ac:dyDescent="0.35">
      <c r="A3166" t="s">
        <v>45</v>
      </c>
      <c r="B3166" t="s">
        <v>7279</v>
      </c>
      <c r="C3166" t="s">
        <v>139</v>
      </c>
      <c r="D3166" t="s">
        <v>7285</v>
      </c>
      <c r="E3166" t="s">
        <v>7286</v>
      </c>
      <c r="F3166" t="s">
        <v>49</v>
      </c>
      <c r="G3166" t="s">
        <v>7287</v>
      </c>
      <c r="H3166" t="s">
        <v>7288</v>
      </c>
      <c r="J3166" t="str">
        <f>HYPERLINK("https://twitter.com/JaayShaan/status/1754922049535889510","https://twitter.com/JaayShaan/status/1754922049535889510")</f>
        <v>https://twitter.com/JaayShaan/status/1754922049535889510</v>
      </c>
      <c r="O3166">
        <v>0</v>
      </c>
      <c r="P3166">
        <v>0</v>
      </c>
      <c r="Q3166">
        <v>1835</v>
      </c>
      <c r="R3166" t="s">
        <v>2924</v>
      </c>
      <c r="S3166">
        <v>0</v>
      </c>
      <c r="T3166">
        <v>0</v>
      </c>
      <c r="U3166">
        <v>0</v>
      </c>
      <c r="W3166" t="s">
        <v>146</v>
      </c>
    </row>
    <row r="3167" spans="1:45" x14ac:dyDescent="0.35">
      <c r="A3167" t="s">
        <v>45</v>
      </c>
      <c r="B3167" t="s">
        <v>7279</v>
      </c>
      <c r="C3167" t="s">
        <v>139</v>
      </c>
      <c r="D3167" t="s">
        <v>7289</v>
      </c>
      <c r="E3167" t="s">
        <v>7290</v>
      </c>
      <c r="F3167" t="s">
        <v>49</v>
      </c>
      <c r="G3167" t="s">
        <v>7291</v>
      </c>
      <c r="H3167" t="s">
        <v>7292</v>
      </c>
      <c r="J3167" t="str">
        <f>HYPERLINK("https://twitter.com/Farmer203_off/status/1754920138355376624","https://twitter.com/Farmer203_off/status/1754920138355376624")</f>
        <v>https://twitter.com/Farmer203_off/status/1754920138355376624</v>
      </c>
      <c r="O3167">
        <v>0</v>
      </c>
      <c r="P3167">
        <v>0</v>
      </c>
      <c r="Q3167">
        <v>1624</v>
      </c>
      <c r="R3167" t="s">
        <v>7293</v>
      </c>
      <c r="S3167">
        <v>0</v>
      </c>
      <c r="T3167">
        <v>0</v>
      </c>
      <c r="U3167">
        <v>0</v>
      </c>
      <c r="W3167" t="s">
        <v>146</v>
      </c>
      <c r="AS3167" t="s">
        <v>375</v>
      </c>
    </row>
    <row r="3168" spans="1:45" x14ac:dyDescent="0.35">
      <c r="A3168" t="s">
        <v>45</v>
      </c>
      <c r="B3168" t="s">
        <v>7279</v>
      </c>
      <c r="C3168" t="s">
        <v>47</v>
      </c>
      <c r="D3168" t="s">
        <v>1284</v>
      </c>
      <c r="E3168" t="s">
        <v>1284</v>
      </c>
      <c r="F3168" t="s">
        <v>49</v>
      </c>
      <c r="G3168" t="s">
        <v>7294</v>
      </c>
      <c r="H3168" t="s">
        <v>7295</v>
      </c>
      <c r="J3168" t="str">
        <f>HYPERLINK("https://www.facebook.com/454965103328545/posts/766279632197089?comment_id=1105756190615909","https://www.facebook.com/454965103328545/posts/766279632197089?comment_id=1105756190615909")</f>
        <v>https://www.facebook.com/454965103328545/posts/766279632197089?comment_id=1105756190615909</v>
      </c>
      <c r="O3168">
        <v>0</v>
      </c>
      <c r="P3168">
        <v>0</v>
      </c>
      <c r="Q3168">
        <v>0</v>
      </c>
      <c r="S3168">
        <v>0</v>
      </c>
      <c r="T3168">
        <v>0</v>
      </c>
      <c r="U3168">
        <v>0</v>
      </c>
      <c r="W3168" t="s">
        <v>62</v>
      </c>
      <c r="AS3168" t="s">
        <v>375</v>
      </c>
    </row>
    <row r="3169" spans="1:45" x14ac:dyDescent="0.35">
      <c r="A3169" t="s">
        <v>45</v>
      </c>
      <c r="B3169" t="s">
        <v>7279</v>
      </c>
      <c r="C3169" t="s">
        <v>47</v>
      </c>
      <c r="D3169" t="s">
        <v>7296</v>
      </c>
      <c r="E3169" t="s">
        <v>7296</v>
      </c>
      <c r="F3169" t="s">
        <v>49</v>
      </c>
      <c r="G3169" t="s">
        <v>373</v>
      </c>
      <c r="H3169" t="s">
        <v>7297</v>
      </c>
      <c r="J3169" t="str">
        <f>HYPERLINK("https://www.facebook.com/357267201017935/inbox/7008941989183723/","https://www.facebook.com/357267201017935/inbox/7008941989183723/")</f>
        <v>https://www.facebook.com/357267201017935/inbox/7008941989183723/</v>
      </c>
      <c r="O3169">
        <v>0</v>
      </c>
      <c r="P3169">
        <v>0</v>
      </c>
      <c r="Q3169">
        <v>0</v>
      </c>
      <c r="S3169">
        <v>0</v>
      </c>
      <c r="T3169">
        <v>0</v>
      </c>
      <c r="U3169">
        <v>0</v>
      </c>
      <c r="W3169" t="s">
        <v>52</v>
      </c>
      <c r="AS3169" t="s">
        <v>375</v>
      </c>
    </row>
    <row r="3170" spans="1:45" x14ac:dyDescent="0.35">
      <c r="A3170" t="s">
        <v>45</v>
      </c>
      <c r="B3170" t="s">
        <v>7279</v>
      </c>
      <c r="C3170" t="s">
        <v>47</v>
      </c>
      <c r="D3170" t="s">
        <v>7201</v>
      </c>
      <c r="E3170" t="s">
        <v>7201</v>
      </c>
      <c r="F3170" t="s">
        <v>49</v>
      </c>
      <c r="G3170" t="s">
        <v>7298</v>
      </c>
      <c r="H3170" t="s">
        <v>7299</v>
      </c>
      <c r="J3170" t="str">
        <f>HYPERLINK("https://www.facebook.com/454965103328545/posts/766279632197089?comment_id=1120839475580951","https://www.facebook.com/454965103328545/posts/766279632197089?comment_id=1120839475580951")</f>
        <v>https://www.facebook.com/454965103328545/posts/766279632197089?comment_id=1120839475580951</v>
      </c>
      <c r="O3170">
        <v>0</v>
      </c>
      <c r="P3170">
        <v>0</v>
      </c>
      <c r="Q3170">
        <v>0</v>
      </c>
      <c r="S3170">
        <v>0</v>
      </c>
      <c r="T3170">
        <v>0</v>
      </c>
      <c r="U3170">
        <v>0</v>
      </c>
      <c r="W3170" t="s">
        <v>62</v>
      </c>
      <c r="AS3170" t="s">
        <v>375</v>
      </c>
    </row>
    <row r="3171" spans="1:45" x14ac:dyDescent="0.35">
      <c r="A3171" t="s">
        <v>45</v>
      </c>
      <c r="B3171" t="s">
        <v>7279</v>
      </c>
      <c r="C3171" t="s">
        <v>58</v>
      </c>
      <c r="D3171" t="s">
        <v>7300</v>
      </c>
      <c r="E3171" t="s">
        <v>7300</v>
      </c>
      <c r="F3171" t="s">
        <v>49</v>
      </c>
      <c r="G3171" t="s">
        <v>7301</v>
      </c>
      <c r="H3171" t="s">
        <v>7302</v>
      </c>
      <c r="J3171" t="str">
        <f>HYPERLINK("https://www.youtube.com/watch?v=NxJhosfAmSo","https://www.youtube.com/watch?v=NxJhosfAmSo")</f>
        <v>https://www.youtube.com/watch?v=NxJhosfAmSo</v>
      </c>
      <c r="O3171">
        <v>0</v>
      </c>
      <c r="P3171">
        <v>0</v>
      </c>
      <c r="Q3171">
        <v>0</v>
      </c>
      <c r="S3171">
        <v>0</v>
      </c>
      <c r="T3171">
        <v>0</v>
      </c>
      <c r="U3171">
        <v>0</v>
      </c>
      <c r="W3171" t="s">
        <v>106</v>
      </c>
      <c r="AO3171" t="s">
        <v>67</v>
      </c>
      <c r="AP3171" t="s">
        <v>94</v>
      </c>
    </row>
    <row r="3172" spans="1:45" x14ac:dyDescent="0.35">
      <c r="A3172" t="s">
        <v>45</v>
      </c>
      <c r="B3172" t="s">
        <v>7279</v>
      </c>
      <c r="C3172" t="s">
        <v>47</v>
      </c>
      <c r="D3172" t="s">
        <v>6290</v>
      </c>
      <c r="E3172" t="s">
        <v>6290</v>
      </c>
      <c r="F3172" t="s">
        <v>49</v>
      </c>
      <c r="G3172" t="s">
        <v>50</v>
      </c>
      <c r="H3172" t="s">
        <v>7303</v>
      </c>
      <c r="J3172" t="str">
        <f>HYPERLINK("https://www.facebook.com/357267201017935/inbox/7008768595867729/","https://www.facebook.com/357267201017935/inbox/7008768595867729/")</f>
        <v>https://www.facebook.com/357267201017935/inbox/7008768595867729/</v>
      </c>
      <c r="O3172">
        <v>0</v>
      </c>
      <c r="P3172">
        <v>0</v>
      </c>
      <c r="Q3172">
        <v>0</v>
      </c>
      <c r="S3172">
        <v>0</v>
      </c>
      <c r="T3172">
        <v>0</v>
      </c>
      <c r="U3172">
        <v>0</v>
      </c>
      <c r="W3172" t="s">
        <v>52</v>
      </c>
      <c r="AS3172" t="s">
        <v>375</v>
      </c>
    </row>
    <row r="3173" spans="1:45" x14ac:dyDescent="0.35">
      <c r="A3173" t="s">
        <v>45</v>
      </c>
      <c r="B3173" t="s">
        <v>7279</v>
      </c>
      <c r="C3173" t="s">
        <v>47</v>
      </c>
      <c r="D3173" t="s">
        <v>7125</v>
      </c>
      <c r="E3173" t="s">
        <v>7125</v>
      </c>
      <c r="F3173" t="s">
        <v>49</v>
      </c>
      <c r="G3173" t="s">
        <v>7304</v>
      </c>
      <c r="H3173" t="s">
        <v>7305</v>
      </c>
      <c r="J3173" t="str">
        <f>HYPERLINK("https://www.facebook.com/454965103328545/posts/766279632197089?comment_id=1100472927653821&amp;reply_comment_id=681369677536548","https://www.facebook.com/454965103328545/posts/766279632197089?comment_id=1100472927653821&amp;reply_comment_id=681369677536548")</f>
        <v>https://www.facebook.com/454965103328545/posts/766279632197089?comment_id=1100472927653821&amp;reply_comment_id=681369677536548</v>
      </c>
      <c r="O3173">
        <v>0</v>
      </c>
      <c r="P3173">
        <v>0</v>
      </c>
      <c r="Q3173">
        <v>0</v>
      </c>
      <c r="S3173">
        <v>0</v>
      </c>
      <c r="T3173">
        <v>0</v>
      </c>
      <c r="U3173">
        <v>0</v>
      </c>
      <c r="W3173" t="s">
        <v>62</v>
      </c>
    </row>
    <row r="3174" spans="1:45" x14ac:dyDescent="0.35">
      <c r="A3174" t="s">
        <v>45</v>
      </c>
      <c r="B3174" t="s">
        <v>7279</v>
      </c>
      <c r="C3174" t="s">
        <v>47</v>
      </c>
      <c r="D3174" t="s">
        <v>7306</v>
      </c>
      <c r="E3174" t="s">
        <v>7306</v>
      </c>
      <c r="F3174" t="s">
        <v>49</v>
      </c>
      <c r="G3174" t="s">
        <v>7307</v>
      </c>
      <c r="H3174" t="s">
        <v>7308</v>
      </c>
      <c r="J3174" t="str">
        <f>HYPERLINK("https://www.facebook.com/454965103328545/posts/490024586489263?comment_id=1036473360766575","https://www.facebook.com/454965103328545/posts/490024586489263?comment_id=1036473360766575")</f>
        <v>https://www.facebook.com/454965103328545/posts/490024586489263?comment_id=1036473360766575</v>
      </c>
      <c r="O3174">
        <v>0</v>
      </c>
      <c r="P3174">
        <v>0</v>
      </c>
      <c r="Q3174">
        <v>0</v>
      </c>
      <c r="S3174">
        <v>0</v>
      </c>
      <c r="T3174">
        <v>0</v>
      </c>
      <c r="U3174">
        <v>0</v>
      </c>
      <c r="W3174" t="s">
        <v>62</v>
      </c>
      <c r="AP3174" t="s">
        <v>94</v>
      </c>
      <c r="AS3174" t="s">
        <v>375</v>
      </c>
    </row>
    <row r="3175" spans="1:45" x14ac:dyDescent="0.35">
      <c r="A3175" t="s">
        <v>45</v>
      </c>
      <c r="B3175" t="s">
        <v>7279</v>
      </c>
      <c r="C3175" t="s">
        <v>58</v>
      </c>
      <c r="D3175" t="s">
        <v>7309</v>
      </c>
      <c r="E3175" t="s">
        <v>7309</v>
      </c>
      <c r="F3175" t="s">
        <v>142</v>
      </c>
      <c r="G3175" t="s">
        <v>7310</v>
      </c>
      <c r="H3175" t="s">
        <v>7311</v>
      </c>
      <c r="J3175" t="str">
        <f>HYPERLINK("https://www.youtube.com/watch?v=USDmHeytIdU","https://www.youtube.com/watch?v=USDmHeytIdU")</f>
        <v>https://www.youtube.com/watch?v=USDmHeytIdU</v>
      </c>
      <c r="O3175">
        <v>0</v>
      </c>
      <c r="P3175">
        <v>0</v>
      </c>
      <c r="Q3175">
        <v>0</v>
      </c>
      <c r="S3175">
        <v>0</v>
      </c>
      <c r="T3175">
        <v>0</v>
      </c>
      <c r="U3175">
        <v>0</v>
      </c>
      <c r="W3175" t="s">
        <v>106</v>
      </c>
      <c r="AP3175" t="s">
        <v>147</v>
      </c>
    </row>
    <row r="3176" spans="1:45" x14ac:dyDescent="0.35">
      <c r="A3176" t="s">
        <v>45</v>
      </c>
      <c r="B3176" t="s">
        <v>7279</v>
      </c>
      <c r="C3176" t="s">
        <v>47</v>
      </c>
      <c r="D3176" t="s">
        <v>151</v>
      </c>
      <c r="E3176" t="s">
        <v>151</v>
      </c>
      <c r="F3176" t="s">
        <v>49</v>
      </c>
      <c r="H3176" t="s">
        <v>7312</v>
      </c>
      <c r="J3176" t="str">
        <f>HYPERLINK("https://www.facebook.com/454965103328545/posts/763285952496457?comment_id=308085738920982","https://www.facebook.com/454965103328545/posts/763285952496457?comment_id=308085738920982")</f>
        <v>https://www.facebook.com/454965103328545/posts/763285952496457?comment_id=308085738920982</v>
      </c>
      <c r="O3176">
        <v>0</v>
      </c>
      <c r="P3176">
        <v>0</v>
      </c>
      <c r="Q3176">
        <v>0</v>
      </c>
      <c r="S3176">
        <v>0</v>
      </c>
      <c r="T3176">
        <v>0</v>
      </c>
      <c r="U3176">
        <v>0</v>
      </c>
      <c r="W3176" t="s">
        <v>62</v>
      </c>
    </row>
    <row r="3177" spans="1:45" x14ac:dyDescent="0.35">
      <c r="A3177" t="s">
        <v>45</v>
      </c>
      <c r="B3177" t="s">
        <v>7279</v>
      </c>
      <c r="C3177" t="s">
        <v>139</v>
      </c>
      <c r="D3177" t="s">
        <v>7313</v>
      </c>
      <c r="E3177" t="s">
        <v>7314</v>
      </c>
      <c r="F3177" t="s">
        <v>49</v>
      </c>
      <c r="G3177" t="s">
        <v>7315</v>
      </c>
      <c r="H3177" t="s">
        <v>7316</v>
      </c>
      <c r="J3177" t="str">
        <f>HYPERLINK("https://twitter.com/Mahendr79952097/status/1754867126181978461","https://twitter.com/Mahendr79952097/status/1754867126181978461")</f>
        <v>https://twitter.com/Mahendr79952097/status/1754867126181978461</v>
      </c>
      <c r="K3177" t="s">
        <v>145</v>
      </c>
      <c r="O3177">
        <v>0</v>
      </c>
      <c r="P3177">
        <v>0</v>
      </c>
      <c r="Q3177">
        <v>0</v>
      </c>
      <c r="S3177">
        <v>0</v>
      </c>
      <c r="T3177">
        <v>0</v>
      </c>
      <c r="U3177">
        <v>0</v>
      </c>
      <c r="W3177" t="s">
        <v>146</v>
      </c>
    </row>
    <row r="3178" spans="1:45" x14ac:dyDescent="0.35">
      <c r="A3178" t="s">
        <v>45</v>
      </c>
      <c r="B3178" t="s">
        <v>7279</v>
      </c>
      <c r="C3178" t="s">
        <v>47</v>
      </c>
      <c r="D3178" t="s">
        <v>4488</v>
      </c>
      <c r="E3178" t="s">
        <v>4488</v>
      </c>
      <c r="F3178" t="s">
        <v>49</v>
      </c>
      <c r="G3178" t="s">
        <v>6576</v>
      </c>
      <c r="H3178" t="s">
        <v>7317</v>
      </c>
      <c r="J3178" t="str">
        <f>HYPERLINK("https://www.facebook.com/454965103328545/posts/763285952496457?comment_id=360838466704811","https://www.facebook.com/454965103328545/posts/763285952496457?comment_id=360838466704811")</f>
        <v>https://www.facebook.com/454965103328545/posts/763285952496457?comment_id=360838466704811</v>
      </c>
      <c r="O3178">
        <v>0</v>
      </c>
      <c r="P3178">
        <v>0</v>
      </c>
      <c r="Q3178">
        <v>0</v>
      </c>
      <c r="S3178">
        <v>0</v>
      </c>
      <c r="T3178">
        <v>0</v>
      </c>
      <c r="U3178">
        <v>0</v>
      </c>
      <c r="W3178" t="s">
        <v>62</v>
      </c>
    </row>
    <row r="3179" spans="1:45" x14ac:dyDescent="0.35">
      <c r="A3179" t="s">
        <v>45</v>
      </c>
      <c r="B3179" t="s">
        <v>7279</v>
      </c>
      <c r="C3179" t="s">
        <v>58</v>
      </c>
      <c r="D3179" t="s">
        <v>7318</v>
      </c>
      <c r="E3179" t="s">
        <v>7318</v>
      </c>
      <c r="F3179" t="s">
        <v>49</v>
      </c>
      <c r="G3179" t="s">
        <v>7319</v>
      </c>
      <c r="H3179" t="s">
        <v>7320</v>
      </c>
      <c r="J3179" t="str">
        <f>HYPERLINK("https://www.youtube.com/watch?v=SnPeyZQ9Hjk","https://www.youtube.com/watch?v=SnPeyZQ9Hjk")</f>
        <v>https://www.youtube.com/watch?v=SnPeyZQ9Hjk</v>
      </c>
      <c r="O3179">
        <v>0</v>
      </c>
      <c r="P3179">
        <v>0</v>
      </c>
      <c r="Q3179">
        <v>0</v>
      </c>
      <c r="S3179">
        <v>0</v>
      </c>
      <c r="T3179">
        <v>0</v>
      </c>
      <c r="U3179">
        <v>0</v>
      </c>
      <c r="W3179" t="s">
        <v>106</v>
      </c>
    </row>
    <row r="3180" spans="1:45" x14ac:dyDescent="0.35">
      <c r="A3180" t="s">
        <v>45</v>
      </c>
      <c r="B3180" t="s">
        <v>7279</v>
      </c>
      <c r="C3180" t="s">
        <v>139</v>
      </c>
      <c r="D3180" t="s">
        <v>7321</v>
      </c>
      <c r="E3180" t="s">
        <v>7322</v>
      </c>
      <c r="F3180" t="s">
        <v>142</v>
      </c>
      <c r="G3180" t="s">
        <v>7323</v>
      </c>
      <c r="H3180" t="s">
        <v>7324</v>
      </c>
      <c r="J3180" t="str">
        <f>HYPERLINK("https://twitter.com/iccicibankc/status/1754858350062543343","https://twitter.com/iccicibankc/status/1754858350062543343")</f>
        <v>https://twitter.com/iccicibankc/status/1754858350062543343</v>
      </c>
      <c r="K3180" t="s">
        <v>145</v>
      </c>
      <c r="O3180">
        <v>0</v>
      </c>
      <c r="P3180">
        <v>0</v>
      </c>
      <c r="Q3180">
        <v>0</v>
      </c>
      <c r="S3180">
        <v>0</v>
      </c>
      <c r="T3180">
        <v>0</v>
      </c>
      <c r="U3180">
        <v>0</v>
      </c>
      <c r="W3180" t="s">
        <v>146</v>
      </c>
    </row>
    <row r="3181" spans="1:45" x14ac:dyDescent="0.35">
      <c r="A3181" t="s">
        <v>45</v>
      </c>
      <c r="B3181" t="s">
        <v>7279</v>
      </c>
      <c r="C3181" t="s">
        <v>139</v>
      </c>
      <c r="D3181" t="s">
        <v>7325</v>
      </c>
      <c r="E3181" t="s">
        <v>7326</v>
      </c>
      <c r="F3181" t="s">
        <v>142</v>
      </c>
      <c r="G3181" t="s">
        <v>7327</v>
      </c>
      <c r="H3181" t="s">
        <v>7328</v>
      </c>
      <c r="J3181" t="str">
        <f>HYPERLINK("https://twitter.com/BidyadharKhars6/status/1754849673372913948","https://twitter.com/BidyadharKhars6/status/1754849673372913948")</f>
        <v>https://twitter.com/BidyadharKhars6/status/1754849673372913948</v>
      </c>
      <c r="K3181" t="s">
        <v>145</v>
      </c>
      <c r="O3181">
        <v>0</v>
      </c>
      <c r="P3181">
        <v>0</v>
      </c>
      <c r="Q3181">
        <v>9</v>
      </c>
      <c r="S3181">
        <v>0</v>
      </c>
      <c r="T3181">
        <v>0</v>
      </c>
      <c r="U3181">
        <v>0</v>
      </c>
      <c r="W3181" t="s">
        <v>146</v>
      </c>
      <c r="AP3181" t="s">
        <v>147</v>
      </c>
    </row>
    <row r="3182" spans="1:45" x14ac:dyDescent="0.35">
      <c r="A3182" t="s">
        <v>45</v>
      </c>
      <c r="B3182" t="s">
        <v>7279</v>
      </c>
      <c r="C3182" t="s">
        <v>139</v>
      </c>
      <c r="D3182" t="s">
        <v>7329</v>
      </c>
      <c r="E3182" t="s">
        <v>7330</v>
      </c>
      <c r="F3182" t="s">
        <v>142</v>
      </c>
      <c r="G3182" t="s">
        <v>7331</v>
      </c>
      <c r="H3182" t="s">
        <v>7332</v>
      </c>
      <c r="J3182" t="str">
        <f>HYPERLINK("https://twitter.com/musarofkhan015/status/1754845991633575938","https://twitter.com/musarofkhan015/status/1754845991633575938")</f>
        <v>https://twitter.com/musarofkhan015/status/1754845991633575938</v>
      </c>
      <c r="O3182">
        <v>0</v>
      </c>
      <c r="P3182">
        <v>0</v>
      </c>
      <c r="Q3182">
        <v>1</v>
      </c>
      <c r="S3182">
        <v>0</v>
      </c>
      <c r="T3182">
        <v>0</v>
      </c>
      <c r="U3182">
        <v>0</v>
      </c>
      <c r="W3182" t="s">
        <v>146</v>
      </c>
      <c r="AP3182" t="s">
        <v>147</v>
      </c>
    </row>
    <row r="3183" spans="1:45" x14ac:dyDescent="0.35">
      <c r="A3183" t="s">
        <v>45</v>
      </c>
      <c r="B3183" t="s">
        <v>7279</v>
      </c>
      <c r="C3183" t="s">
        <v>47</v>
      </c>
      <c r="D3183" t="s">
        <v>6231</v>
      </c>
      <c r="E3183" t="s">
        <v>6231</v>
      </c>
      <c r="F3183" t="s">
        <v>49</v>
      </c>
      <c r="G3183" t="s">
        <v>7333</v>
      </c>
      <c r="H3183" t="s">
        <v>7334</v>
      </c>
      <c r="J3183" t="str">
        <f>HYPERLINK("https://www.facebook.com/454965103328545/posts/766279632197089?comment_id=1100472927653821","https://www.facebook.com/454965103328545/posts/766279632197089?comment_id=1100472927653821")</f>
        <v>https://www.facebook.com/454965103328545/posts/766279632197089?comment_id=1100472927653821</v>
      </c>
      <c r="O3183">
        <v>0</v>
      </c>
      <c r="P3183">
        <v>0</v>
      </c>
      <c r="Q3183">
        <v>0</v>
      </c>
      <c r="S3183">
        <v>0</v>
      </c>
      <c r="T3183">
        <v>0</v>
      </c>
      <c r="U3183">
        <v>0</v>
      </c>
      <c r="W3183" t="s">
        <v>62</v>
      </c>
      <c r="AS3183" t="s">
        <v>375</v>
      </c>
    </row>
    <row r="3184" spans="1:45" x14ac:dyDescent="0.35">
      <c r="A3184" t="s">
        <v>45</v>
      </c>
      <c r="B3184" t="s">
        <v>7279</v>
      </c>
      <c r="C3184" t="s">
        <v>47</v>
      </c>
      <c r="D3184" t="s">
        <v>2335</v>
      </c>
      <c r="E3184" t="s">
        <v>2335</v>
      </c>
      <c r="F3184" t="s">
        <v>49</v>
      </c>
      <c r="G3184" t="s">
        <v>7335</v>
      </c>
      <c r="H3184" t="s">
        <v>7336</v>
      </c>
      <c r="J3184" t="str">
        <f>HYPERLINK("https://www.facebook.com/454965103328545/posts/763902162434836?comment_id=700394025553373","https://www.facebook.com/454965103328545/posts/763902162434836?comment_id=700394025553373")</f>
        <v>https://www.facebook.com/454965103328545/posts/763902162434836?comment_id=700394025553373</v>
      </c>
      <c r="O3184">
        <v>0</v>
      </c>
      <c r="P3184">
        <v>0</v>
      </c>
      <c r="Q3184">
        <v>0</v>
      </c>
      <c r="S3184">
        <v>0</v>
      </c>
      <c r="T3184">
        <v>0</v>
      </c>
      <c r="U3184">
        <v>0</v>
      </c>
      <c r="W3184" t="s">
        <v>62</v>
      </c>
      <c r="AS3184" t="s">
        <v>375</v>
      </c>
    </row>
    <row r="3185" spans="1:45" x14ac:dyDescent="0.35">
      <c r="A3185" t="s">
        <v>45</v>
      </c>
      <c r="B3185" t="s">
        <v>7279</v>
      </c>
      <c r="C3185" t="s">
        <v>47</v>
      </c>
      <c r="D3185" t="s">
        <v>2335</v>
      </c>
      <c r="E3185" t="s">
        <v>2335</v>
      </c>
      <c r="F3185" t="s">
        <v>49</v>
      </c>
      <c r="H3185" t="s">
        <v>7337</v>
      </c>
      <c r="J3185" t="str">
        <f>HYPERLINK("https://www.facebook.com/454965103328545/posts/763902162434836?comment_id=420648043631739","https://www.facebook.com/454965103328545/posts/763902162434836?comment_id=420648043631739")</f>
        <v>https://www.facebook.com/454965103328545/posts/763902162434836?comment_id=420648043631739</v>
      </c>
      <c r="O3185">
        <v>0</v>
      </c>
      <c r="P3185">
        <v>0</v>
      </c>
      <c r="Q3185">
        <v>0</v>
      </c>
      <c r="S3185">
        <v>0</v>
      </c>
      <c r="T3185">
        <v>0</v>
      </c>
      <c r="U3185">
        <v>0</v>
      </c>
      <c r="W3185" t="s">
        <v>62</v>
      </c>
    </row>
    <row r="3186" spans="1:45" x14ac:dyDescent="0.35">
      <c r="A3186" t="s">
        <v>45</v>
      </c>
      <c r="B3186" t="s">
        <v>7279</v>
      </c>
      <c r="C3186" t="s">
        <v>47</v>
      </c>
      <c r="D3186" t="s">
        <v>7338</v>
      </c>
      <c r="E3186" t="s">
        <v>7338</v>
      </c>
      <c r="F3186" t="s">
        <v>76</v>
      </c>
      <c r="G3186" t="s">
        <v>7339</v>
      </c>
      <c r="H3186" t="s">
        <v>7340</v>
      </c>
      <c r="J3186" t="str">
        <f>HYPERLINK("https://www.facebook.com/454965103328545/posts/766279632197089?comment_id=1140221393642702","https://www.facebook.com/454965103328545/posts/766279632197089?comment_id=1140221393642702")</f>
        <v>https://www.facebook.com/454965103328545/posts/766279632197089?comment_id=1140221393642702</v>
      </c>
      <c r="O3186">
        <v>0</v>
      </c>
      <c r="P3186">
        <v>0</v>
      </c>
      <c r="Q3186">
        <v>0</v>
      </c>
      <c r="S3186">
        <v>0</v>
      </c>
      <c r="T3186">
        <v>0</v>
      </c>
      <c r="U3186">
        <v>0</v>
      </c>
      <c r="W3186" t="s">
        <v>62</v>
      </c>
    </row>
    <row r="3187" spans="1:45" x14ac:dyDescent="0.35">
      <c r="A3187" t="s">
        <v>45</v>
      </c>
      <c r="B3187" t="s">
        <v>7279</v>
      </c>
      <c r="C3187" t="s">
        <v>63</v>
      </c>
      <c r="D3187" t="s">
        <v>186</v>
      </c>
      <c r="E3187" t="s">
        <v>186</v>
      </c>
      <c r="F3187" t="s">
        <v>49</v>
      </c>
      <c r="G3187" t="s">
        <v>7341</v>
      </c>
      <c r="H3187" t="s">
        <v>7342</v>
      </c>
      <c r="J3187" t="str">
        <f>HYPERLINK("https://www.instagram.com/p/C3ASGQ7OXA1/","https://www.instagram.com/p/C3ASGQ7OXA1/")</f>
        <v>https://www.instagram.com/p/C3ASGQ7OXA1/</v>
      </c>
      <c r="O3187">
        <v>0</v>
      </c>
      <c r="P3187">
        <v>0</v>
      </c>
      <c r="Q3187">
        <v>0</v>
      </c>
      <c r="S3187">
        <v>0</v>
      </c>
      <c r="T3187">
        <v>80</v>
      </c>
      <c r="U3187">
        <v>0</v>
      </c>
      <c r="W3187" t="s">
        <v>106</v>
      </c>
    </row>
    <row r="3188" spans="1:45" x14ac:dyDescent="0.35">
      <c r="A3188" t="s">
        <v>45</v>
      </c>
      <c r="B3188" t="s">
        <v>7279</v>
      </c>
      <c r="C3188" t="s">
        <v>139</v>
      </c>
      <c r="D3188" t="s">
        <v>190</v>
      </c>
      <c r="E3188" t="s">
        <v>45</v>
      </c>
      <c r="F3188" t="s">
        <v>49</v>
      </c>
      <c r="G3188" t="s">
        <v>7343</v>
      </c>
      <c r="H3188" t="s">
        <v>7344</v>
      </c>
      <c r="J3188" t="str">
        <f>HYPERLINK("https://twitter.com/FinoPaymntsBank/status/1754829792741109864","https://twitter.com/FinoPaymntsBank/status/1754829792741109864")</f>
        <v>https://twitter.com/FinoPaymntsBank/status/1754829792741109864</v>
      </c>
      <c r="K3188" t="s">
        <v>145</v>
      </c>
      <c r="O3188">
        <v>0</v>
      </c>
      <c r="P3188">
        <v>0</v>
      </c>
      <c r="Q3188">
        <v>8362</v>
      </c>
      <c r="R3188" t="s">
        <v>193</v>
      </c>
      <c r="S3188">
        <v>0</v>
      </c>
      <c r="T3188">
        <v>0</v>
      </c>
      <c r="U3188">
        <v>0</v>
      </c>
      <c r="W3188" t="s">
        <v>146</v>
      </c>
    </row>
    <row r="3189" spans="1:45" x14ac:dyDescent="0.35">
      <c r="A3189" t="s">
        <v>45</v>
      </c>
      <c r="B3189" t="s">
        <v>7279</v>
      </c>
      <c r="C3189" t="s">
        <v>47</v>
      </c>
      <c r="D3189" t="s">
        <v>45</v>
      </c>
      <c r="E3189" t="s">
        <v>45</v>
      </c>
      <c r="F3189" t="s">
        <v>49</v>
      </c>
      <c r="G3189" t="s">
        <v>7341</v>
      </c>
      <c r="H3189" t="s">
        <v>7344</v>
      </c>
      <c r="J3189" t="str">
        <f>HYPERLINK("https://www.facebook.com/357267201017935_766279632197089","https://www.facebook.com/357267201017935_766279632197089")</f>
        <v>https://www.facebook.com/357267201017935_766279632197089</v>
      </c>
      <c r="O3189">
        <v>0</v>
      </c>
      <c r="P3189">
        <v>0</v>
      </c>
      <c r="Q3189">
        <v>0</v>
      </c>
      <c r="S3189">
        <v>11</v>
      </c>
      <c r="T3189">
        <v>96</v>
      </c>
      <c r="U3189">
        <v>8</v>
      </c>
      <c r="W3189" t="s">
        <v>106</v>
      </c>
    </row>
    <row r="3190" spans="1:45" x14ac:dyDescent="0.35">
      <c r="A3190" t="s">
        <v>45</v>
      </c>
      <c r="B3190" t="s">
        <v>7279</v>
      </c>
      <c r="C3190" t="s">
        <v>47</v>
      </c>
      <c r="D3190" t="s">
        <v>7345</v>
      </c>
      <c r="E3190" t="s">
        <v>7345</v>
      </c>
      <c r="F3190" t="s">
        <v>49</v>
      </c>
      <c r="G3190" t="s">
        <v>373</v>
      </c>
      <c r="H3190" t="s">
        <v>7346</v>
      </c>
      <c r="J3190" t="str">
        <f>HYPERLINK("https://www.facebook.com/357267201017935/inbox/7007639975980591/","https://www.facebook.com/357267201017935/inbox/7007639975980591/")</f>
        <v>https://www.facebook.com/357267201017935/inbox/7007639975980591/</v>
      </c>
      <c r="O3190">
        <v>0</v>
      </c>
      <c r="P3190">
        <v>0</v>
      </c>
      <c r="Q3190">
        <v>0</v>
      </c>
      <c r="S3190">
        <v>0</v>
      </c>
      <c r="T3190">
        <v>0</v>
      </c>
      <c r="U3190">
        <v>0</v>
      </c>
      <c r="W3190" t="s">
        <v>52</v>
      </c>
      <c r="AS3190" t="s">
        <v>375</v>
      </c>
    </row>
    <row r="3191" spans="1:45" x14ac:dyDescent="0.35">
      <c r="A3191" t="s">
        <v>45</v>
      </c>
      <c r="B3191" t="s">
        <v>7279</v>
      </c>
      <c r="C3191" t="s">
        <v>102</v>
      </c>
      <c r="D3191" t="s">
        <v>7347</v>
      </c>
      <c r="E3191" t="s">
        <v>7347</v>
      </c>
      <c r="F3191" t="s">
        <v>49</v>
      </c>
      <c r="G3191" t="s">
        <v>7348</v>
      </c>
      <c r="H3191" t="s">
        <v>7349</v>
      </c>
      <c r="J3191" t="str">
        <f>HYPERLINK("https://www.linkedin.com/feed/update/urn:li:share:7159179277924544514/?commentUrn=urn:li:comment:(urn:li:activity:7159179278708793344,7160563817888821248)","https://www.linkedin.com/feed/update/urn:li:share:7159179277924544514/?commentUrn=urn:li:comment:(urn:li:activity:7159179278708793344,7160563817888821248)")</f>
        <v>https://www.linkedin.com/feed/update/urn:li:share:7159179277924544514/?commentUrn=urn:li:comment:(urn:li:activity:7159179278708793344,7160563817888821248)</v>
      </c>
      <c r="K3191" t="s">
        <v>145</v>
      </c>
      <c r="O3191">
        <v>0</v>
      </c>
      <c r="P3191">
        <v>0</v>
      </c>
      <c r="Q3191">
        <v>0</v>
      </c>
      <c r="S3191">
        <v>0</v>
      </c>
      <c r="T3191">
        <v>0</v>
      </c>
      <c r="U3191">
        <v>0</v>
      </c>
      <c r="W3191" t="s">
        <v>62</v>
      </c>
    </row>
    <row r="3192" spans="1:45" x14ac:dyDescent="0.35">
      <c r="A3192" t="s">
        <v>45</v>
      </c>
      <c r="B3192" t="s">
        <v>7279</v>
      </c>
      <c r="C3192" t="s">
        <v>47</v>
      </c>
      <c r="D3192" t="s">
        <v>6662</v>
      </c>
      <c r="E3192" t="s">
        <v>6662</v>
      </c>
      <c r="F3192" t="s">
        <v>49</v>
      </c>
      <c r="G3192" t="s">
        <v>373</v>
      </c>
      <c r="H3192" t="s">
        <v>7350</v>
      </c>
      <c r="J3192" t="str">
        <f>HYPERLINK("https://www.facebook.com/357267201017935/inbox/7007407672670488/","https://www.facebook.com/357267201017935/inbox/7007407672670488/")</f>
        <v>https://www.facebook.com/357267201017935/inbox/7007407672670488/</v>
      </c>
      <c r="O3192">
        <v>0</v>
      </c>
      <c r="P3192">
        <v>0</v>
      </c>
      <c r="Q3192">
        <v>0</v>
      </c>
      <c r="S3192">
        <v>0</v>
      </c>
      <c r="T3192">
        <v>0</v>
      </c>
      <c r="U3192">
        <v>0</v>
      </c>
      <c r="W3192" t="s">
        <v>52</v>
      </c>
      <c r="AS3192" t="s">
        <v>375</v>
      </c>
    </row>
    <row r="3193" spans="1:45" x14ac:dyDescent="0.35">
      <c r="A3193" t="s">
        <v>45</v>
      </c>
      <c r="B3193" t="s">
        <v>7279</v>
      </c>
      <c r="C3193" t="s">
        <v>139</v>
      </c>
      <c r="D3193" t="s">
        <v>7351</v>
      </c>
      <c r="E3193" t="s">
        <v>7352</v>
      </c>
      <c r="F3193" t="s">
        <v>49</v>
      </c>
      <c r="G3193" t="s">
        <v>7353</v>
      </c>
      <c r="H3193" t="s">
        <v>7354</v>
      </c>
      <c r="J3193" t="str">
        <f>HYPERLINK("https://twitter.com/Gyanend73789303/status/1754790026079248873","https://twitter.com/Gyanend73789303/status/1754790026079248873")</f>
        <v>https://twitter.com/Gyanend73789303/status/1754790026079248873</v>
      </c>
      <c r="K3193" t="s">
        <v>145</v>
      </c>
      <c r="O3193">
        <v>0</v>
      </c>
      <c r="P3193">
        <v>0</v>
      </c>
      <c r="Q3193">
        <v>48</v>
      </c>
      <c r="R3193" t="s">
        <v>1247</v>
      </c>
      <c r="S3193">
        <v>0</v>
      </c>
      <c r="T3193">
        <v>0</v>
      </c>
      <c r="U3193">
        <v>0</v>
      </c>
      <c r="W3193" t="s">
        <v>552</v>
      </c>
    </row>
    <row r="3194" spans="1:45" x14ac:dyDescent="0.35">
      <c r="A3194" t="s">
        <v>45</v>
      </c>
      <c r="B3194" t="s">
        <v>7279</v>
      </c>
      <c r="C3194" t="s">
        <v>47</v>
      </c>
      <c r="D3194" t="s">
        <v>7355</v>
      </c>
      <c r="E3194" t="s">
        <v>7355</v>
      </c>
      <c r="F3194" t="s">
        <v>49</v>
      </c>
      <c r="G3194" t="s">
        <v>56</v>
      </c>
      <c r="H3194" t="s">
        <v>7356</v>
      </c>
      <c r="J3194" t="str">
        <f>HYPERLINK("https://www.facebook.com/357267201017935/inbox/7007285719349350/","https://www.facebook.com/357267201017935/inbox/7007285719349350/")</f>
        <v>https://www.facebook.com/357267201017935/inbox/7007285719349350/</v>
      </c>
      <c r="O3194">
        <v>0</v>
      </c>
      <c r="P3194">
        <v>0</v>
      </c>
      <c r="Q3194">
        <v>0</v>
      </c>
      <c r="S3194">
        <v>0</v>
      </c>
      <c r="T3194">
        <v>0</v>
      </c>
      <c r="U3194">
        <v>0</v>
      </c>
      <c r="W3194" t="s">
        <v>52</v>
      </c>
      <c r="AS3194" t="s">
        <v>375</v>
      </c>
    </row>
    <row r="3195" spans="1:45" x14ac:dyDescent="0.35">
      <c r="A3195" t="s">
        <v>45</v>
      </c>
      <c r="B3195" t="s">
        <v>7279</v>
      </c>
      <c r="C3195" t="s">
        <v>139</v>
      </c>
      <c r="D3195" t="s">
        <v>7357</v>
      </c>
      <c r="E3195" t="s">
        <v>7358</v>
      </c>
      <c r="F3195" t="s">
        <v>49</v>
      </c>
      <c r="G3195" t="s">
        <v>7359</v>
      </c>
      <c r="H3195" t="s">
        <v>7360</v>
      </c>
      <c r="J3195" t="str">
        <f>HYPERLINK("https://twitter.com/rathwa_kartik/status/1754765861745832344","https://twitter.com/rathwa_kartik/status/1754765861745832344")</f>
        <v>https://twitter.com/rathwa_kartik/status/1754765861745832344</v>
      </c>
      <c r="K3195" t="s">
        <v>145</v>
      </c>
      <c r="O3195">
        <v>0</v>
      </c>
      <c r="P3195">
        <v>0</v>
      </c>
      <c r="Q3195">
        <v>7</v>
      </c>
      <c r="R3195" t="s">
        <v>4304</v>
      </c>
      <c r="S3195">
        <v>0</v>
      </c>
      <c r="T3195">
        <v>0</v>
      </c>
      <c r="U3195">
        <v>0</v>
      </c>
      <c r="W3195" t="s">
        <v>146</v>
      </c>
    </row>
    <row r="3196" spans="1:45" x14ac:dyDescent="0.35">
      <c r="A3196" t="s">
        <v>45</v>
      </c>
      <c r="B3196" t="s">
        <v>7279</v>
      </c>
      <c r="C3196" t="s">
        <v>47</v>
      </c>
      <c r="D3196" t="s">
        <v>7361</v>
      </c>
      <c r="E3196" t="s">
        <v>7361</v>
      </c>
      <c r="F3196" t="s">
        <v>49</v>
      </c>
      <c r="G3196" t="s">
        <v>7362</v>
      </c>
      <c r="H3196" t="s">
        <v>7363</v>
      </c>
      <c r="J3196" t="str">
        <f>HYPERLINK("https://www.facebook.com/454965103328545/posts/763871475771238?comment_id=1333279217414342&amp;reply_comment_id=1792208811299546","https://www.facebook.com/454965103328545/posts/763871475771238?comment_id=1333279217414342&amp;reply_comment_id=1792208811299546")</f>
        <v>https://www.facebook.com/454965103328545/posts/763871475771238?comment_id=1333279217414342&amp;reply_comment_id=1792208811299546</v>
      </c>
      <c r="O3196">
        <v>0</v>
      </c>
      <c r="P3196">
        <v>0</v>
      </c>
      <c r="Q3196">
        <v>0</v>
      </c>
      <c r="S3196">
        <v>0</v>
      </c>
      <c r="T3196">
        <v>0</v>
      </c>
      <c r="U3196">
        <v>0</v>
      </c>
      <c r="W3196" t="s">
        <v>62</v>
      </c>
    </row>
    <row r="3197" spans="1:45" x14ac:dyDescent="0.35">
      <c r="A3197" t="s">
        <v>45</v>
      </c>
      <c r="B3197" t="s">
        <v>7279</v>
      </c>
      <c r="C3197" t="s">
        <v>139</v>
      </c>
      <c r="D3197" t="s">
        <v>7364</v>
      </c>
      <c r="E3197" t="s">
        <v>7365</v>
      </c>
      <c r="F3197" t="s">
        <v>49</v>
      </c>
      <c r="G3197" t="s">
        <v>7366</v>
      </c>
      <c r="H3197" t="s">
        <v>7367</v>
      </c>
      <c r="J3197" t="str">
        <f>HYPERLINK("https://twitter.com/mannarajam/status/1754738855713067282","https://twitter.com/mannarajam/status/1754738855713067282")</f>
        <v>https://twitter.com/mannarajam/status/1754738855713067282</v>
      </c>
      <c r="O3197">
        <v>0</v>
      </c>
      <c r="P3197">
        <v>0</v>
      </c>
      <c r="Q3197">
        <v>25</v>
      </c>
      <c r="S3197">
        <v>0</v>
      </c>
      <c r="T3197">
        <v>0</v>
      </c>
      <c r="U3197">
        <v>0</v>
      </c>
      <c r="W3197" t="s">
        <v>146</v>
      </c>
    </row>
    <row r="3198" spans="1:45" x14ac:dyDescent="0.35">
      <c r="A3198" t="s">
        <v>45</v>
      </c>
      <c r="B3198" t="s">
        <v>7279</v>
      </c>
      <c r="C3198" t="s">
        <v>139</v>
      </c>
      <c r="D3198" t="s">
        <v>7368</v>
      </c>
      <c r="E3198" t="s">
        <v>7369</v>
      </c>
      <c r="F3198" t="s">
        <v>49</v>
      </c>
      <c r="G3198" t="s">
        <v>7370</v>
      </c>
      <c r="H3198" t="s">
        <v>7371</v>
      </c>
      <c r="J3198" t="str">
        <f>HYPERLINK("https://twitter.com/karnasinghbisht/status/1754736086637752561","https://twitter.com/karnasinghbisht/status/1754736086637752561")</f>
        <v>https://twitter.com/karnasinghbisht/status/1754736086637752561</v>
      </c>
      <c r="K3198" t="s">
        <v>145</v>
      </c>
      <c r="O3198">
        <v>0</v>
      </c>
      <c r="P3198">
        <v>0</v>
      </c>
      <c r="Q3198">
        <v>0</v>
      </c>
      <c r="R3198" t="s">
        <v>7372</v>
      </c>
      <c r="S3198">
        <v>0</v>
      </c>
      <c r="T3198">
        <v>0</v>
      </c>
      <c r="U3198">
        <v>0</v>
      </c>
      <c r="W3198" t="s">
        <v>146</v>
      </c>
      <c r="AO3198" t="s">
        <v>67</v>
      </c>
    </row>
    <row r="3199" spans="1:45" x14ac:dyDescent="0.35">
      <c r="A3199" t="s">
        <v>45</v>
      </c>
      <c r="B3199" t="s">
        <v>7279</v>
      </c>
      <c r="C3199" t="s">
        <v>139</v>
      </c>
      <c r="D3199" t="s">
        <v>7373</v>
      </c>
      <c r="E3199" t="s">
        <v>7374</v>
      </c>
      <c r="F3199" t="s">
        <v>142</v>
      </c>
      <c r="G3199" t="s">
        <v>7375</v>
      </c>
      <c r="H3199" t="s">
        <v>7376</v>
      </c>
      <c r="J3199" t="str">
        <f>HYPERLINK("https://twitter.com/Hanamant2008/status/1754734767847973215","https://twitter.com/Hanamant2008/status/1754734767847973215")</f>
        <v>https://twitter.com/Hanamant2008/status/1754734767847973215</v>
      </c>
      <c r="K3199" t="s">
        <v>145</v>
      </c>
      <c r="O3199">
        <v>0</v>
      </c>
      <c r="P3199">
        <v>0</v>
      </c>
      <c r="Q3199">
        <v>0</v>
      </c>
      <c r="S3199">
        <v>0</v>
      </c>
      <c r="T3199">
        <v>0</v>
      </c>
      <c r="U3199">
        <v>0</v>
      </c>
      <c r="W3199" t="s">
        <v>146</v>
      </c>
      <c r="AP3199" t="s">
        <v>147</v>
      </c>
    </row>
    <row r="3200" spans="1:45" x14ac:dyDescent="0.35">
      <c r="A3200" t="s">
        <v>45</v>
      </c>
      <c r="B3200" t="s">
        <v>7279</v>
      </c>
      <c r="C3200" t="s">
        <v>47</v>
      </c>
      <c r="D3200" t="s">
        <v>7377</v>
      </c>
      <c r="E3200" t="s">
        <v>7377</v>
      </c>
      <c r="F3200" t="s">
        <v>49</v>
      </c>
      <c r="G3200" t="s">
        <v>3430</v>
      </c>
      <c r="H3200" t="s">
        <v>7378</v>
      </c>
      <c r="J3200" t="str">
        <f>HYPERLINK("https://www.facebook.com/357267201017935/inbox/7005167809561141/","https://www.facebook.com/357267201017935/inbox/7005167809561141/")</f>
        <v>https://www.facebook.com/357267201017935/inbox/7005167809561141/</v>
      </c>
      <c r="O3200">
        <v>0</v>
      </c>
      <c r="P3200">
        <v>0</v>
      </c>
      <c r="Q3200">
        <v>0</v>
      </c>
      <c r="S3200">
        <v>0</v>
      </c>
      <c r="T3200">
        <v>0</v>
      </c>
      <c r="U3200">
        <v>0</v>
      </c>
      <c r="W3200" t="s">
        <v>52</v>
      </c>
    </row>
    <row r="3201" spans="1:45" x14ac:dyDescent="0.35">
      <c r="A3201" t="s">
        <v>45</v>
      </c>
      <c r="B3201" t="s">
        <v>7279</v>
      </c>
      <c r="C3201" t="s">
        <v>3127</v>
      </c>
      <c r="D3201" t="s">
        <v>3128</v>
      </c>
      <c r="E3201" t="s">
        <v>3128</v>
      </c>
      <c r="F3201" t="s">
        <v>76</v>
      </c>
      <c r="G3201" t="s">
        <v>7379</v>
      </c>
      <c r="H3201" t="s">
        <v>7380</v>
      </c>
      <c r="J3201" t="str">
        <f>HYPERLINK("","")</f>
        <v/>
      </c>
      <c r="O3201">
        <v>0</v>
      </c>
      <c r="P3201">
        <v>0</v>
      </c>
      <c r="Q3201">
        <v>0</v>
      </c>
      <c r="S3201">
        <v>0</v>
      </c>
      <c r="T3201">
        <v>0</v>
      </c>
      <c r="U3201">
        <v>0</v>
      </c>
    </row>
    <row r="3202" spans="1:45" x14ac:dyDescent="0.35">
      <c r="A3202" t="s">
        <v>45</v>
      </c>
      <c r="B3202" t="s">
        <v>7279</v>
      </c>
      <c r="C3202" t="s">
        <v>47</v>
      </c>
      <c r="D3202" t="s">
        <v>7381</v>
      </c>
      <c r="E3202" t="s">
        <v>7381</v>
      </c>
      <c r="F3202" t="s">
        <v>49</v>
      </c>
      <c r="G3202" t="s">
        <v>7382</v>
      </c>
      <c r="H3202" t="s">
        <v>7383</v>
      </c>
      <c r="J3202" t="str">
        <f>HYPERLINK("https://www.facebook.com/454965103328545/posts/763307319160987?comment_id=1062528368332996&amp;reply_comment_id=1976909789416725","https://www.facebook.com/454965103328545/posts/763307319160987?comment_id=1062528368332996&amp;reply_comment_id=1976909789416725")</f>
        <v>https://www.facebook.com/454965103328545/posts/763307319160987?comment_id=1062528368332996&amp;reply_comment_id=1976909789416725</v>
      </c>
      <c r="O3202">
        <v>0</v>
      </c>
      <c r="P3202">
        <v>0</v>
      </c>
      <c r="Q3202">
        <v>0</v>
      </c>
      <c r="S3202">
        <v>0</v>
      </c>
      <c r="T3202">
        <v>0</v>
      </c>
      <c r="U3202">
        <v>0</v>
      </c>
      <c r="W3202" t="s">
        <v>62</v>
      </c>
    </row>
    <row r="3203" spans="1:45" x14ac:dyDescent="0.35">
      <c r="A3203" t="s">
        <v>45</v>
      </c>
      <c r="B3203" t="s">
        <v>7279</v>
      </c>
      <c r="C3203" t="s">
        <v>139</v>
      </c>
      <c r="D3203" t="s">
        <v>4153</v>
      </c>
      <c r="E3203" t="s">
        <v>6255</v>
      </c>
      <c r="F3203" t="s">
        <v>49</v>
      </c>
      <c r="G3203" t="s">
        <v>7384</v>
      </c>
      <c r="H3203" t="s">
        <v>7385</v>
      </c>
      <c r="J3203" t="str">
        <f>HYPERLINK("https://twitter.com/Gr8AdvisorIN/status/1754716880328138753","https://twitter.com/Gr8AdvisorIN/status/1754716880328138753")</f>
        <v>https://twitter.com/Gr8AdvisorIN/status/1754716880328138753</v>
      </c>
      <c r="O3203">
        <v>0</v>
      </c>
      <c r="P3203">
        <v>0</v>
      </c>
      <c r="Q3203">
        <v>51</v>
      </c>
      <c r="S3203">
        <v>0</v>
      </c>
      <c r="T3203">
        <v>0</v>
      </c>
      <c r="U3203">
        <v>0</v>
      </c>
      <c r="W3203" t="s">
        <v>146</v>
      </c>
    </row>
    <row r="3204" spans="1:45" x14ac:dyDescent="0.35">
      <c r="A3204" t="s">
        <v>45</v>
      </c>
      <c r="B3204" t="s">
        <v>7279</v>
      </c>
      <c r="C3204" t="s">
        <v>139</v>
      </c>
      <c r="D3204" t="s">
        <v>4153</v>
      </c>
      <c r="E3204" t="s">
        <v>6255</v>
      </c>
      <c r="F3204" t="s">
        <v>49</v>
      </c>
      <c r="G3204" t="s">
        <v>7386</v>
      </c>
      <c r="H3204" t="s">
        <v>7387</v>
      </c>
      <c r="J3204" t="str">
        <f>HYPERLINK("https://twitter.com/Gr8AdvisorIN/status/1754716781770346541","https://twitter.com/Gr8AdvisorIN/status/1754716781770346541")</f>
        <v>https://twitter.com/Gr8AdvisorIN/status/1754716781770346541</v>
      </c>
      <c r="O3204">
        <v>0</v>
      </c>
      <c r="P3204">
        <v>0</v>
      </c>
      <c r="Q3204">
        <v>51</v>
      </c>
      <c r="S3204">
        <v>0</v>
      </c>
      <c r="T3204">
        <v>0</v>
      </c>
      <c r="U3204">
        <v>0</v>
      </c>
      <c r="W3204" t="s">
        <v>146</v>
      </c>
    </row>
    <row r="3205" spans="1:45" x14ac:dyDescent="0.35">
      <c r="A3205" t="s">
        <v>45</v>
      </c>
      <c r="B3205" t="s">
        <v>7279</v>
      </c>
      <c r="C3205" t="s">
        <v>47</v>
      </c>
      <c r="D3205" t="s">
        <v>7388</v>
      </c>
      <c r="E3205" t="s">
        <v>7388</v>
      </c>
      <c r="F3205" t="s">
        <v>76</v>
      </c>
      <c r="G3205" t="s">
        <v>3858</v>
      </c>
      <c r="H3205" t="s">
        <v>7389</v>
      </c>
      <c r="J3205" t="str">
        <f>HYPERLINK("https://www.facebook.com/454965103328545/videos/3697954183759550?comment_id=741253671439218","https://www.facebook.com/454965103328545/videos/3697954183759550?comment_id=741253671439218")</f>
        <v>https://www.facebook.com/454965103328545/videos/3697954183759550?comment_id=741253671439218</v>
      </c>
      <c r="O3205">
        <v>0</v>
      </c>
      <c r="P3205">
        <v>0</v>
      </c>
      <c r="Q3205">
        <v>0</v>
      </c>
      <c r="S3205">
        <v>0</v>
      </c>
      <c r="T3205">
        <v>0</v>
      </c>
      <c r="U3205">
        <v>0</v>
      </c>
      <c r="W3205" t="s">
        <v>62</v>
      </c>
    </row>
    <row r="3206" spans="1:45" x14ac:dyDescent="0.35">
      <c r="A3206" t="s">
        <v>45</v>
      </c>
      <c r="B3206" t="s">
        <v>7279</v>
      </c>
      <c r="C3206" t="s">
        <v>47</v>
      </c>
      <c r="D3206" t="s">
        <v>7390</v>
      </c>
      <c r="E3206" t="s">
        <v>7390</v>
      </c>
      <c r="F3206" t="s">
        <v>49</v>
      </c>
      <c r="G3206" t="s">
        <v>3893</v>
      </c>
      <c r="H3206" t="s">
        <v>7391</v>
      </c>
      <c r="J3206" t="str">
        <f>HYPERLINK("https://www.facebook.com/357267201017935/inbox/7006414562769799/","https://www.facebook.com/357267201017935/inbox/7006414562769799/")</f>
        <v>https://www.facebook.com/357267201017935/inbox/7006414562769799/</v>
      </c>
      <c r="O3206">
        <v>0</v>
      </c>
      <c r="P3206">
        <v>0</v>
      </c>
      <c r="Q3206">
        <v>0</v>
      </c>
      <c r="S3206">
        <v>0</v>
      </c>
      <c r="T3206">
        <v>0</v>
      </c>
      <c r="U3206">
        <v>0</v>
      </c>
      <c r="W3206" t="s">
        <v>52</v>
      </c>
    </row>
    <row r="3207" spans="1:45" x14ac:dyDescent="0.35">
      <c r="A3207" t="s">
        <v>45</v>
      </c>
      <c r="B3207" t="s">
        <v>7279</v>
      </c>
      <c r="C3207" t="s">
        <v>47</v>
      </c>
      <c r="D3207" t="s">
        <v>7392</v>
      </c>
      <c r="E3207" t="s">
        <v>7392</v>
      </c>
      <c r="F3207" t="s">
        <v>49</v>
      </c>
      <c r="G3207" t="s">
        <v>459</v>
      </c>
      <c r="H3207" t="s">
        <v>7393</v>
      </c>
      <c r="J3207" t="str">
        <f>HYPERLINK("https://www.facebook.com/454965103328545/videos/557669445682957?comment_id=276418585278580","https://www.facebook.com/454965103328545/videos/557669445682957?comment_id=276418585278580")</f>
        <v>https://www.facebook.com/454965103328545/videos/557669445682957?comment_id=276418585278580</v>
      </c>
      <c r="O3207">
        <v>0</v>
      </c>
      <c r="P3207">
        <v>0</v>
      </c>
      <c r="Q3207">
        <v>0</v>
      </c>
      <c r="S3207">
        <v>0</v>
      </c>
      <c r="T3207">
        <v>0</v>
      </c>
      <c r="U3207">
        <v>0</v>
      </c>
      <c r="W3207" t="s">
        <v>62</v>
      </c>
    </row>
    <row r="3208" spans="1:45" x14ac:dyDescent="0.35">
      <c r="A3208" t="s">
        <v>45</v>
      </c>
      <c r="B3208" t="s">
        <v>7279</v>
      </c>
      <c r="C3208" t="s">
        <v>47</v>
      </c>
      <c r="D3208" t="s">
        <v>45</v>
      </c>
      <c r="E3208" t="s">
        <v>45</v>
      </c>
      <c r="F3208" t="s">
        <v>49</v>
      </c>
      <c r="H3208" t="s">
        <v>7394</v>
      </c>
      <c r="J3208" t="str">
        <f>HYPERLINK("https://www.facebook.com/357267201017935_766551312169921","https://www.facebook.com/357267201017935_766551312169921")</f>
        <v>https://www.facebook.com/357267201017935_766551312169921</v>
      </c>
      <c r="O3208">
        <v>0</v>
      </c>
      <c r="P3208">
        <v>0</v>
      </c>
      <c r="Q3208">
        <v>0</v>
      </c>
      <c r="S3208">
        <v>0</v>
      </c>
      <c r="T3208">
        <v>0</v>
      </c>
      <c r="U3208">
        <v>0</v>
      </c>
      <c r="W3208" t="s">
        <v>106</v>
      </c>
      <c r="AS3208" t="s">
        <v>115</v>
      </c>
    </row>
    <row r="3209" spans="1:45" x14ac:dyDescent="0.35">
      <c r="A3209" t="s">
        <v>45</v>
      </c>
      <c r="B3209" t="s">
        <v>7279</v>
      </c>
      <c r="C3209" t="s">
        <v>47</v>
      </c>
      <c r="D3209" t="s">
        <v>45</v>
      </c>
      <c r="E3209" t="s">
        <v>45</v>
      </c>
      <c r="F3209" t="s">
        <v>49</v>
      </c>
      <c r="H3209" t="s">
        <v>7394</v>
      </c>
      <c r="J3209" t="str">
        <f>HYPERLINK("https://www.facebook.com/357267201017935_766551315503254","https://www.facebook.com/357267201017935_766551315503254")</f>
        <v>https://www.facebook.com/357267201017935_766551315503254</v>
      </c>
      <c r="O3209">
        <v>0</v>
      </c>
      <c r="P3209">
        <v>0</v>
      </c>
      <c r="Q3209">
        <v>0</v>
      </c>
      <c r="S3209">
        <v>0</v>
      </c>
      <c r="T3209">
        <v>0</v>
      </c>
      <c r="U3209">
        <v>0</v>
      </c>
      <c r="W3209" t="s">
        <v>106</v>
      </c>
      <c r="AS3209" t="s">
        <v>115</v>
      </c>
    </row>
    <row r="3210" spans="1:45" x14ac:dyDescent="0.35">
      <c r="A3210" t="s">
        <v>45</v>
      </c>
      <c r="B3210" t="s">
        <v>7279</v>
      </c>
      <c r="C3210" t="s">
        <v>47</v>
      </c>
      <c r="D3210" t="s">
        <v>45</v>
      </c>
      <c r="E3210" t="s">
        <v>45</v>
      </c>
      <c r="F3210" t="s">
        <v>49</v>
      </c>
      <c r="G3210" t="s">
        <v>469</v>
      </c>
      <c r="H3210" t="s">
        <v>7394</v>
      </c>
      <c r="J3210" t="str">
        <f>HYPERLINK("https://www.facebook.com/357267201017935_766551318836587","https://www.facebook.com/357267201017935_766551318836587")</f>
        <v>https://www.facebook.com/357267201017935_766551318836587</v>
      </c>
      <c r="O3210">
        <v>0</v>
      </c>
      <c r="P3210">
        <v>0</v>
      </c>
      <c r="Q3210">
        <v>0</v>
      </c>
      <c r="S3210">
        <v>0</v>
      </c>
      <c r="T3210">
        <v>0</v>
      </c>
      <c r="U3210">
        <v>0</v>
      </c>
      <c r="W3210" t="s">
        <v>106</v>
      </c>
      <c r="AS3210" t="s">
        <v>115</v>
      </c>
    </row>
    <row r="3211" spans="1:45" x14ac:dyDescent="0.35">
      <c r="A3211" t="s">
        <v>45</v>
      </c>
      <c r="B3211" t="s">
        <v>7279</v>
      </c>
      <c r="C3211" t="s">
        <v>47</v>
      </c>
      <c r="D3211" t="s">
        <v>45</v>
      </c>
      <c r="E3211" t="s">
        <v>45</v>
      </c>
      <c r="F3211" t="s">
        <v>49</v>
      </c>
      <c r="G3211" t="s">
        <v>197</v>
      </c>
      <c r="H3211" t="s">
        <v>7394</v>
      </c>
      <c r="J3211" t="str">
        <f>HYPERLINK("https://www.facebook.com/357267201017935_766551308836588","https://www.facebook.com/357267201017935_766551308836588")</f>
        <v>https://www.facebook.com/357267201017935_766551308836588</v>
      </c>
      <c r="O3211">
        <v>0</v>
      </c>
      <c r="P3211">
        <v>0</v>
      </c>
      <c r="Q3211">
        <v>0</v>
      </c>
      <c r="S3211">
        <v>0</v>
      </c>
      <c r="T3211">
        <v>0</v>
      </c>
      <c r="U3211">
        <v>0</v>
      </c>
      <c r="W3211" t="s">
        <v>106</v>
      </c>
      <c r="AS3211" t="s">
        <v>115</v>
      </c>
    </row>
    <row r="3212" spans="1:45" x14ac:dyDescent="0.35">
      <c r="A3212" t="s">
        <v>45</v>
      </c>
      <c r="B3212" t="s">
        <v>7279</v>
      </c>
      <c r="C3212" t="s">
        <v>47</v>
      </c>
      <c r="D3212" t="s">
        <v>7377</v>
      </c>
      <c r="E3212" t="s">
        <v>7377</v>
      </c>
      <c r="F3212" t="s">
        <v>49</v>
      </c>
      <c r="G3212" t="s">
        <v>3430</v>
      </c>
      <c r="H3212" t="s">
        <v>7395</v>
      </c>
      <c r="J3212" t="str">
        <f>HYPERLINK("https://www.facebook.com/357267201017935/inbox/7005167809561141/","https://www.facebook.com/357267201017935/inbox/7005167809561141/")</f>
        <v>https://www.facebook.com/357267201017935/inbox/7005167809561141/</v>
      </c>
      <c r="O3212">
        <v>0</v>
      </c>
      <c r="P3212">
        <v>0</v>
      </c>
      <c r="Q3212">
        <v>0</v>
      </c>
      <c r="S3212">
        <v>0</v>
      </c>
      <c r="T3212">
        <v>0</v>
      </c>
      <c r="U3212">
        <v>0</v>
      </c>
      <c r="W3212" t="s">
        <v>52</v>
      </c>
    </row>
    <row r="3213" spans="1:45" x14ac:dyDescent="0.35">
      <c r="A3213" t="s">
        <v>45</v>
      </c>
      <c r="B3213" t="s">
        <v>7279</v>
      </c>
      <c r="C3213" t="s">
        <v>102</v>
      </c>
      <c r="D3213" t="s">
        <v>7396</v>
      </c>
      <c r="E3213" t="s">
        <v>7396</v>
      </c>
      <c r="F3213" t="s">
        <v>76</v>
      </c>
      <c r="G3213" t="s">
        <v>7397</v>
      </c>
      <c r="H3213" t="s">
        <v>7398</v>
      </c>
      <c r="J3213" t="str">
        <f>HYPERLINK("https://www.linkedin.com/feed/update/urn:li:share:7159179277924544514/?commentUrn=urn:li:comment:(urn:li:activity:7159179278708793344,7160347309392748544)","https://www.linkedin.com/feed/update/urn:li:share:7159179277924544514/?commentUrn=urn:li:comment:(urn:li:activity:7159179278708793344,7160347309392748544)")</f>
        <v>https://www.linkedin.com/feed/update/urn:li:share:7159179277924544514/?commentUrn=urn:li:comment:(urn:li:activity:7159179278708793344,7160347309392748544)</v>
      </c>
      <c r="K3213" t="s">
        <v>1769</v>
      </c>
      <c r="O3213">
        <v>0</v>
      </c>
      <c r="P3213">
        <v>0</v>
      </c>
      <c r="Q3213">
        <v>0</v>
      </c>
      <c r="S3213">
        <v>0</v>
      </c>
      <c r="T3213">
        <v>0</v>
      </c>
      <c r="U3213">
        <v>0</v>
      </c>
      <c r="W3213" t="s">
        <v>62</v>
      </c>
    </row>
    <row r="3214" spans="1:45" x14ac:dyDescent="0.35">
      <c r="A3214" t="s">
        <v>45</v>
      </c>
      <c r="B3214" t="s">
        <v>7399</v>
      </c>
      <c r="C3214" t="s">
        <v>47</v>
      </c>
      <c r="D3214" t="s">
        <v>7400</v>
      </c>
      <c r="E3214" t="s">
        <v>7400</v>
      </c>
      <c r="F3214" t="s">
        <v>49</v>
      </c>
      <c r="G3214" t="s">
        <v>7401</v>
      </c>
      <c r="H3214" t="s">
        <v>7402</v>
      </c>
      <c r="J3214" t="str">
        <f>HYPERLINK("https://www.facebook.com/357267201017935/posts/1942138352530804/?comment_id=1945163242228315&amp;reply_comment_id=370949582339478","https://www.facebook.com/357267201017935/posts/1942138352530804/?comment_id=1945163242228315&amp;reply_comment_id=370949582339478")</f>
        <v>https://www.facebook.com/357267201017935/posts/1942138352530804/?comment_id=1945163242228315&amp;reply_comment_id=370949582339478</v>
      </c>
      <c r="O3214">
        <v>0</v>
      </c>
      <c r="P3214">
        <v>0</v>
      </c>
      <c r="Q3214">
        <v>0</v>
      </c>
      <c r="S3214">
        <v>0</v>
      </c>
      <c r="T3214">
        <v>0</v>
      </c>
      <c r="U3214">
        <v>0</v>
      </c>
      <c r="W3214" t="s">
        <v>62</v>
      </c>
    </row>
    <row r="3215" spans="1:45" x14ac:dyDescent="0.35">
      <c r="A3215" t="s">
        <v>45</v>
      </c>
      <c r="B3215" t="s">
        <v>7399</v>
      </c>
      <c r="C3215" t="s">
        <v>47</v>
      </c>
      <c r="D3215" t="s">
        <v>7400</v>
      </c>
      <c r="E3215" t="s">
        <v>7400</v>
      </c>
      <c r="F3215" t="s">
        <v>49</v>
      </c>
      <c r="G3215" t="s">
        <v>761</v>
      </c>
      <c r="H3215" t="s">
        <v>7403</v>
      </c>
      <c r="J3215" t="str">
        <f>HYPERLINK("https://www.facebook.com/357267201017935/posts/1942138352530804/?comment_id=145194061690054&amp;reply_comment_id=406067692086975","https://www.facebook.com/357267201017935/posts/1942138352530804/?comment_id=145194061690054&amp;reply_comment_id=406067692086975")</f>
        <v>https://www.facebook.com/357267201017935/posts/1942138352530804/?comment_id=145194061690054&amp;reply_comment_id=406067692086975</v>
      </c>
      <c r="O3215">
        <v>0</v>
      </c>
      <c r="P3215">
        <v>0</v>
      </c>
      <c r="Q3215">
        <v>0</v>
      </c>
      <c r="S3215">
        <v>0</v>
      </c>
      <c r="T3215">
        <v>0</v>
      </c>
      <c r="U3215">
        <v>0</v>
      </c>
      <c r="W3215" t="s">
        <v>62</v>
      </c>
    </row>
    <row r="3216" spans="1:45" x14ac:dyDescent="0.35">
      <c r="A3216" t="s">
        <v>45</v>
      </c>
      <c r="B3216" t="s">
        <v>7399</v>
      </c>
      <c r="C3216" t="s">
        <v>47</v>
      </c>
      <c r="D3216" t="s">
        <v>7400</v>
      </c>
      <c r="E3216" t="s">
        <v>7400</v>
      </c>
      <c r="F3216" t="s">
        <v>49</v>
      </c>
      <c r="G3216" t="s">
        <v>7401</v>
      </c>
      <c r="H3216" t="s">
        <v>7404</v>
      </c>
      <c r="J3216" t="str">
        <f>HYPERLINK("https://www.facebook.com/357267201017935/posts/1942138352530804/?comment_id=917447536134143&amp;reply_comment_id=3568468573394015","https://www.facebook.com/357267201017935/posts/1942138352530804/?comment_id=917447536134143&amp;reply_comment_id=3568468573394015")</f>
        <v>https://www.facebook.com/357267201017935/posts/1942138352530804/?comment_id=917447536134143&amp;reply_comment_id=3568468573394015</v>
      </c>
      <c r="O3216">
        <v>0</v>
      </c>
      <c r="P3216">
        <v>0</v>
      </c>
      <c r="Q3216">
        <v>0</v>
      </c>
      <c r="S3216">
        <v>0</v>
      </c>
      <c r="T3216">
        <v>0</v>
      </c>
      <c r="U3216">
        <v>0</v>
      </c>
      <c r="W3216" t="s">
        <v>62</v>
      </c>
    </row>
    <row r="3217" spans="1:42" x14ac:dyDescent="0.35">
      <c r="A3217" t="s">
        <v>45</v>
      </c>
      <c r="B3217" t="s">
        <v>7399</v>
      </c>
      <c r="C3217" t="s">
        <v>47</v>
      </c>
      <c r="D3217" t="s">
        <v>7400</v>
      </c>
      <c r="E3217" t="s">
        <v>7400</v>
      </c>
      <c r="F3217" t="s">
        <v>49</v>
      </c>
      <c r="G3217" t="s">
        <v>7401</v>
      </c>
      <c r="H3217" t="s">
        <v>7405</v>
      </c>
      <c r="J3217" t="str">
        <f>HYPERLINK("https://www.facebook.com/357267201017935/posts/1942138352530804/?comment_id=145194061690054&amp;reply_comment_id=5933835630074343","https://www.facebook.com/357267201017935/posts/1942138352530804/?comment_id=145194061690054&amp;reply_comment_id=5933835630074343")</f>
        <v>https://www.facebook.com/357267201017935/posts/1942138352530804/?comment_id=145194061690054&amp;reply_comment_id=5933835630074343</v>
      </c>
      <c r="O3217">
        <v>0</v>
      </c>
      <c r="P3217">
        <v>0</v>
      </c>
      <c r="Q3217">
        <v>0</v>
      </c>
      <c r="S3217">
        <v>0</v>
      </c>
      <c r="T3217">
        <v>0</v>
      </c>
      <c r="U3217">
        <v>0</v>
      </c>
      <c r="W3217" t="s">
        <v>62</v>
      </c>
    </row>
    <row r="3218" spans="1:42" x14ac:dyDescent="0.35">
      <c r="A3218" t="s">
        <v>45</v>
      </c>
      <c r="B3218" t="s">
        <v>7399</v>
      </c>
      <c r="C3218" t="s">
        <v>139</v>
      </c>
      <c r="D3218" t="s">
        <v>7406</v>
      </c>
      <c r="E3218" t="s">
        <v>7407</v>
      </c>
      <c r="F3218" t="s">
        <v>49</v>
      </c>
      <c r="G3218" t="s">
        <v>7408</v>
      </c>
      <c r="H3218" t="s">
        <v>7409</v>
      </c>
      <c r="J3218" t="str">
        <f>HYPERLINK("https://twitter.com/VijayKu40815403/status/1754565782284226989","https://twitter.com/VijayKu40815403/status/1754565782284226989")</f>
        <v>https://twitter.com/VijayKu40815403/status/1754565782284226989</v>
      </c>
      <c r="O3218">
        <v>0</v>
      </c>
      <c r="P3218">
        <v>0</v>
      </c>
      <c r="Q3218">
        <v>337</v>
      </c>
      <c r="R3218" t="s">
        <v>7410</v>
      </c>
      <c r="S3218">
        <v>0</v>
      </c>
      <c r="T3218">
        <v>0</v>
      </c>
      <c r="U3218">
        <v>0</v>
      </c>
      <c r="W3218" t="s">
        <v>552</v>
      </c>
    </row>
    <row r="3219" spans="1:42" x14ac:dyDescent="0.35">
      <c r="A3219" t="s">
        <v>45</v>
      </c>
      <c r="B3219" t="s">
        <v>7399</v>
      </c>
      <c r="C3219" t="s">
        <v>47</v>
      </c>
      <c r="D3219" t="s">
        <v>7411</v>
      </c>
      <c r="E3219" t="s">
        <v>7411</v>
      </c>
      <c r="F3219" t="s">
        <v>49</v>
      </c>
      <c r="G3219" t="s">
        <v>7412</v>
      </c>
      <c r="H3219" t="s">
        <v>7413</v>
      </c>
      <c r="J3219" t="str">
        <f>HYPERLINK("https://www.facebook.com/454965103328545/posts/763715162453536?comment_id=2630901843732142","https://www.facebook.com/454965103328545/posts/763715162453536?comment_id=2630901843732142")</f>
        <v>https://www.facebook.com/454965103328545/posts/763715162453536?comment_id=2630901843732142</v>
      </c>
      <c r="O3219">
        <v>0</v>
      </c>
      <c r="P3219">
        <v>0</v>
      </c>
      <c r="Q3219">
        <v>0</v>
      </c>
      <c r="S3219">
        <v>0</v>
      </c>
      <c r="T3219">
        <v>0</v>
      </c>
      <c r="U3219">
        <v>0</v>
      </c>
      <c r="W3219" t="s">
        <v>62</v>
      </c>
    </row>
    <row r="3220" spans="1:42" x14ac:dyDescent="0.35">
      <c r="A3220" t="s">
        <v>45</v>
      </c>
      <c r="B3220" t="s">
        <v>7399</v>
      </c>
      <c r="C3220" t="s">
        <v>58</v>
      </c>
      <c r="D3220" t="s">
        <v>7414</v>
      </c>
      <c r="E3220" t="s">
        <v>7414</v>
      </c>
      <c r="F3220" t="s">
        <v>76</v>
      </c>
      <c r="G3220" t="s">
        <v>7415</v>
      </c>
      <c r="H3220" t="s">
        <v>7416</v>
      </c>
      <c r="J3220" t="str">
        <f>HYPERLINK("https://www.youtube.com/watch?v=EDpDj_DNmv0","https://www.youtube.com/watch?v=EDpDj_DNmv0")</f>
        <v>https://www.youtube.com/watch?v=EDpDj_DNmv0</v>
      </c>
      <c r="O3220">
        <v>0</v>
      </c>
      <c r="P3220">
        <v>0</v>
      </c>
      <c r="Q3220">
        <v>0</v>
      </c>
      <c r="S3220">
        <v>0</v>
      </c>
      <c r="T3220">
        <v>0</v>
      </c>
      <c r="U3220">
        <v>0</v>
      </c>
      <c r="W3220" t="s">
        <v>106</v>
      </c>
    </row>
    <row r="3221" spans="1:42" x14ac:dyDescent="0.35">
      <c r="A3221" t="s">
        <v>45</v>
      </c>
      <c r="B3221" t="s">
        <v>7399</v>
      </c>
      <c r="C3221" t="s">
        <v>139</v>
      </c>
      <c r="D3221" t="s">
        <v>7417</v>
      </c>
      <c r="E3221" t="s">
        <v>7418</v>
      </c>
      <c r="F3221" t="s">
        <v>49</v>
      </c>
      <c r="G3221" t="s">
        <v>7353</v>
      </c>
      <c r="H3221" t="s">
        <v>7419</v>
      </c>
      <c r="J3221" t="str">
        <f>HYPERLINK("https://twitter.com/Rahul_dnr/status/1754548737333244224","https://twitter.com/Rahul_dnr/status/1754548737333244224")</f>
        <v>https://twitter.com/Rahul_dnr/status/1754548737333244224</v>
      </c>
      <c r="K3221" t="s">
        <v>145</v>
      </c>
      <c r="O3221">
        <v>0</v>
      </c>
      <c r="P3221">
        <v>0</v>
      </c>
      <c r="Q3221">
        <v>216</v>
      </c>
      <c r="R3221" t="s">
        <v>7420</v>
      </c>
      <c r="S3221">
        <v>0</v>
      </c>
      <c r="T3221">
        <v>0</v>
      </c>
      <c r="U3221">
        <v>0</v>
      </c>
      <c r="W3221" t="s">
        <v>552</v>
      </c>
    </row>
    <row r="3222" spans="1:42" x14ac:dyDescent="0.35">
      <c r="A3222" t="s">
        <v>45</v>
      </c>
      <c r="B3222" t="s">
        <v>7399</v>
      </c>
      <c r="C3222" t="s">
        <v>139</v>
      </c>
      <c r="D3222" t="s">
        <v>4153</v>
      </c>
      <c r="E3222" t="s">
        <v>6255</v>
      </c>
      <c r="F3222" t="s">
        <v>49</v>
      </c>
      <c r="G3222" t="s">
        <v>7421</v>
      </c>
      <c r="H3222" t="s">
        <v>7422</v>
      </c>
      <c r="J3222" t="str">
        <f>HYPERLINK("https://twitter.com/Gr8AdvisorIN/status/1754544528303026276","https://twitter.com/Gr8AdvisorIN/status/1754544528303026276")</f>
        <v>https://twitter.com/Gr8AdvisorIN/status/1754544528303026276</v>
      </c>
      <c r="O3222">
        <v>0</v>
      </c>
      <c r="P3222">
        <v>0</v>
      </c>
      <c r="Q3222">
        <v>51</v>
      </c>
      <c r="S3222">
        <v>0</v>
      </c>
      <c r="T3222">
        <v>0</v>
      </c>
      <c r="U3222">
        <v>0</v>
      </c>
      <c r="W3222" t="s">
        <v>146</v>
      </c>
    </row>
    <row r="3223" spans="1:42" x14ac:dyDescent="0.35">
      <c r="A3223" t="s">
        <v>45</v>
      </c>
      <c r="B3223" t="s">
        <v>7399</v>
      </c>
      <c r="C3223" t="s">
        <v>139</v>
      </c>
      <c r="D3223" t="s">
        <v>4153</v>
      </c>
      <c r="E3223" t="s">
        <v>6255</v>
      </c>
      <c r="F3223" t="s">
        <v>49</v>
      </c>
      <c r="G3223" t="s">
        <v>7423</v>
      </c>
      <c r="H3223" t="s">
        <v>7424</v>
      </c>
      <c r="J3223" t="str">
        <f>HYPERLINK("https://twitter.com/Gr8AdvisorIN/status/1754544486959771650","https://twitter.com/Gr8AdvisorIN/status/1754544486959771650")</f>
        <v>https://twitter.com/Gr8AdvisorIN/status/1754544486959771650</v>
      </c>
      <c r="O3223">
        <v>0</v>
      </c>
      <c r="P3223">
        <v>0</v>
      </c>
      <c r="Q3223">
        <v>51</v>
      </c>
      <c r="S3223">
        <v>0</v>
      </c>
      <c r="T3223">
        <v>0</v>
      </c>
      <c r="U3223">
        <v>0</v>
      </c>
      <c r="W3223" t="s">
        <v>146</v>
      </c>
    </row>
    <row r="3224" spans="1:42" x14ac:dyDescent="0.35">
      <c r="A3224" t="s">
        <v>45</v>
      </c>
      <c r="B3224" t="s">
        <v>7399</v>
      </c>
      <c r="C3224" t="s">
        <v>47</v>
      </c>
      <c r="D3224" t="s">
        <v>7425</v>
      </c>
      <c r="E3224" t="s">
        <v>7425</v>
      </c>
      <c r="F3224" t="s">
        <v>49</v>
      </c>
      <c r="G3224" t="s">
        <v>7426</v>
      </c>
      <c r="H3224" t="s">
        <v>7427</v>
      </c>
      <c r="J3224" t="str">
        <f>HYPERLINK("https://www.facebook.com/357267201017935/inbox/7004620639615858/","https://www.facebook.com/357267201017935/inbox/7004620639615858/")</f>
        <v>https://www.facebook.com/357267201017935/inbox/7004620639615858/</v>
      </c>
      <c r="O3224">
        <v>0</v>
      </c>
      <c r="P3224">
        <v>0</v>
      </c>
      <c r="Q3224">
        <v>0</v>
      </c>
      <c r="S3224">
        <v>0</v>
      </c>
      <c r="T3224">
        <v>0</v>
      </c>
      <c r="U3224">
        <v>0</v>
      </c>
      <c r="W3224" t="s">
        <v>52</v>
      </c>
    </row>
    <row r="3225" spans="1:42" x14ac:dyDescent="0.35">
      <c r="A3225" t="s">
        <v>45</v>
      </c>
      <c r="B3225" t="s">
        <v>7399</v>
      </c>
      <c r="C3225" t="s">
        <v>47</v>
      </c>
      <c r="F3225" t="s">
        <v>49</v>
      </c>
      <c r="G3225" t="s">
        <v>7428</v>
      </c>
      <c r="H3225" t="s">
        <v>7429</v>
      </c>
      <c r="J3225" t="str">
        <f>HYPERLINK("https://www.facebook.com/7390606164388868_5971892409602529","https://www.facebook.com/7390606164388868_5971892409602529")</f>
        <v>https://www.facebook.com/7390606164388868_5971892409602529</v>
      </c>
      <c r="O3225">
        <v>0</v>
      </c>
      <c r="P3225">
        <v>0</v>
      </c>
      <c r="Q3225">
        <v>0</v>
      </c>
      <c r="S3225">
        <v>0</v>
      </c>
      <c r="T3225">
        <v>0</v>
      </c>
      <c r="U3225">
        <v>0</v>
      </c>
      <c r="W3225" t="s">
        <v>106</v>
      </c>
    </row>
    <row r="3226" spans="1:42" x14ac:dyDescent="0.35">
      <c r="A3226" t="s">
        <v>45</v>
      </c>
      <c r="B3226" t="s">
        <v>7399</v>
      </c>
      <c r="C3226" t="s">
        <v>139</v>
      </c>
      <c r="D3226" t="s">
        <v>4153</v>
      </c>
      <c r="E3226" t="s">
        <v>6255</v>
      </c>
      <c r="F3226" t="s">
        <v>49</v>
      </c>
      <c r="G3226" t="s">
        <v>7430</v>
      </c>
      <c r="H3226" t="s">
        <v>7431</v>
      </c>
      <c r="J3226" t="str">
        <f>HYPERLINK("https://twitter.com/Gr8AdvisorIN/status/1754539328435618270","https://twitter.com/Gr8AdvisorIN/status/1754539328435618270")</f>
        <v>https://twitter.com/Gr8AdvisorIN/status/1754539328435618270</v>
      </c>
      <c r="O3226">
        <v>0</v>
      </c>
      <c r="P3226">
        <v>0</v>
      </c>
      <c r="Q3226">
        <v>51</v>
      </c>
      <c r="S3226">
        <v>0</v>
      </c>
      <c r="T3226">
        <v>0</v>
      </c>
      <c r="U3226">
        <v>0</v>
      </c>
      <c r="W3226" t="s">
        <v>146</v>
      </c>
    </row>
    <row r="3227" spans="1:42" x14ac:dyDescent="0.35">
      <c r="A3227" t="s">
        <v>45</v>
      </c>
      <c r="B3227" t="s">
        <v>7399</v>
      </c>
      <c r="C3227" t="s">
        <v>139</v>
      </c>
      <c r="D3227" t="s">
        <v>4153</v>
      </c>
      <c r="E3227" t="s">
        <v>6255</v>
      </c>
      <c r="F3227" t="s">
        <v>49</v>
      </c>
      <c r="G3227" t="s">
        <v>7432</v>
      </c>
      <c r="H3227" t="s">
        <v>7433</v>
      </c>
      <c r="J3227" t="str">
        <f>HYPERLINK("https://twitter.com/Gr8AdvisorIN/status/1754539258667557143","https://twitter.com/Gr8AdvisorIN/status/1754539258667557143")</f>
        <v>https://twitter.com/Gr8AdvisorIN/status/1754539258667557143</v>
      </c>
      <c r="O3227">
        <v>0</v>
      </c>
      <c r="P3227">
        <v>0</v>
      </c>
      <c r="Q3227">
        <v>51</v>
      </c>
      <c r="S3227">
        <v>0</v>
      </c>
      <c r="T3227">
        <v>0</v>
      </c>
      <c r="U3227">
        <v>0</v>
      </c>
      <c r="W3227" t="s">
        <v>146</v>
      </c>
    </row>
    <row r="3228" spans="1:42" x14ac:dyDescent="0.35">
      <c r="A3228" t="s">
        <v>45</v>
      </c>
      <c r="B3228" t="s">
        <v>7399</v>
      </c>
      <c r="C3228" t="s">
        <v>139</v>
      </c>
      <c r="D3228" t="s">
        <v>4153</v>
      </c>
      <c r="E3228" t="s">
        <v>6255</v>
      </c>
      <c r="F3228" t="s">
        <v>49</v>
      </c>
      <c r="G3228" t="s">
        <v>7434</v>
      </c>
      <c r="H3228" t="s">
        <v>7435</v>
      </c>
      <c r="J3228" t="str">
        <f>HYPERLINK("https://twitter.com/Gr8AdvisorIN/status/1754539151654002893","https://twitter.com/Gr8AdvisorIN/status/1754539151654002893")</f>
        <v>https://twitter.com/Gr8AdvisorIN/status/1754539151654002893</v>
      </c>
      <c r="O3228">
        <v>0</v>
      </c>
      <c r="P3228">
        <v>0</v>
      </c>
      <c r="Q3228">
        <v>51</v>
      </c>
      <c r="S3228">
        <v>0</v>
      </c>
      <c r="T3228">
        <v>0</v>
      </c>
      <c r="U3228">
        <v>0</v>
      </c>
      <c r="W3228" t="s">
        <v>146</v>
      </c>
    </row>
    <row r="3229" spans="1:42" x14ac:dyDescent="0.35">
      <c r="A3229" t="s">
        <v>45</v>
      </c>
      <c r="B3229" t="s">
        <v>7399</v>
      </c>
      <c r="C3229" t="s">
        <v>139</v>
      </c>
      <c r="D3229" t="s">
        <v>4153</v>
      </c>
      <c r="E3229" t="s">
        <v>6255</v>
      </c>
      <c r="F3229" t="s">
        <v>49</v>
      </c>
      <c r="G3229" t="s">
        <v>7436</v>
      </c>
      <c r="H3229" t="s">
        <v>7437</v>
      </c>
      <c r="J3229" t="str">
        <f>HYPERLINK("https://twitter.com/Gr8AdvisorIN/status/1754539036461690952","https://twitter.com/Gr8AdvisorIN/status/1754539036461690952")</f>
        <v>https://twitter.com/Gr8AdvisorIN/status/1754539036461690952</v>
      </c>
      <c r="O3229">
        <v>0</v>
      </c>
      <c r="P3229">
        <v>0</v>
      </c>
      <c r="Q3229">
        <v>51</v>
      </c>
      <c r="S3229">
        <v>0</v>
      </c>
      <c r="T3229">
        <v>0</v>
      </c>
      <c r="U3229">
        <v>0</v>
      </c>
      <c r="W3229" t="s">
        <v>146</v>
      </c>
    </row>
    <row r="3230" spans="1:42" x14ac:dyDescent="0.35">
      <c r="A3230" t="s">
        <v>45</v>
      </c>
      <c r="B3230" t="s">
        <v>7399</v>
      </c>
      <c r="C3230" t="s">
        <v>139</v>
      </c>
      <c r="D3230" t="s">
        <v>7438</v>
      </c>
      <c r="E3230" t="s">
        <v>7439</v>
      </c>
      <c r="F3230" t="s">
        <v>76</v>
      </c>
      <c r="G3230" t="s">
        <v>7440</v>
      </c>
      <c r="H3230" t="s">
        <v>7441</v>
      </c>
      <c r="J3230" t="str">
        <f>HYPERLINK("https://twitter.com/kapilsainikks/status/1754538081619767803","https://twitter.com/kapilsainikks/status/1754538081619767803")</f>
        <v>https://twitter.com/kapilsainikks/status/1754538081619767803</v>
      </c>
      <c r="K3230" t="s">
        <v>145</v>
      </c>
      <c r="O3230">
        <v>0</v>
      </c>
      <c r="P3230">
        <v>0</v>
      </c>
      <c r="Q3230">
        <v>23</v>
      </c>
      <c r="R3230" t="s">
        <v>7442</v>
      </c>
      <c r="S3230">
        <v>0</v>
      </c>
      <c r="T3230">
        <v>0</v>
      </c>
      <c r="U3230">
        <v>0</v>
      </c>
      <c r="W3230" t="s">
        <v>146</v>
      </c>
    </row>
    <row r="3231" spans="1:42" x14ac:dyDescent="0.35">
      <c r="A3231" t="s">
        <v>45</v>
      </c>
      <c r="B3231" t="s">
        <v>7399</v>
      </c>
      <c r="C3231" t="s">
        <v>58</v>
      </c>
      <c r="D3231" t="s">
        <v>6931</v>
      </c>
      <c r="E3231" t="s">
        <v>6931</v>
      </c>
      <c r="F3231" t="s">
        <v>49</v>
      </c>
      <c r="G3231" t="s">
        <v>7443</v>
      </c>
      <c r="H3231" t="s">
        <v>7444</v>
      </c>
      <c r="J3231" t="str">
        <f>HYPERLINK("https://www.youtube.com/watch?v=eDzD5Q1KMPY","https://www.youtube.com/watch?v=eDzD5Q1KMPY")</f>
        <v>https://www.youtube.com/watch?v=eDzD5Q1KMPY</v>
      </c>
      <c r="O3231">
        <v>0</v>
      </c>
      <c r="P3231">
        <v>0</v>
      </c>
      <c r="Q3231">
        <v>0</v>
      </c>
      <c r="S3231">
        <v>0</v>
      </c>
      <c r="T3231">
        <v>0</v>
      </c>
      <c r="U3231">
        <v>0</v>
      </c>
      <c r="W3231" t="s">
        <v>106</v>
      </c>
    </row>
    <row r="3232" spans="1:42" x14ac:dyDescent="0.35">
      <c r="A3232" t="s">
        <v>45</v>
      </c>
      <c r="B3232" t="s">
        <v>7399</v>
      </c>
      <c r="C3232" t="s">
        <v>47</v>
      </c>
      <c r="D3232" t="s">
        <v>7445</v>
      </c>
      <c r="E3232" t="s">
        <v>7445</v>
      </c>
      <c r="F3232" t="s">
        <v>49</v>
      </c>
      <c r="G3232" t="s">
        <v>7446</v>
      </c>
      <c r="H3232" t="s">
        <v>7447</v>
      </c>
      <c r="J3232" t="str">
        <f>HYPERLINK("https://www.facebook.com/454965103328545/videos/3697954183759550?comment_id=403389355533317","https://www.facebook.com/454965103328545/videos/3697954183759550?comment_id=403389355533317")</f>
        <v>https://www.facebook.com/454965103328545/videos/3697954183759550?comment_id=403389355533317</v>
      </c>
      <c r="O3232">
        <v>0</v>
      </c>
      <c r="P3232">
        <v>0</v>
      </c>
      <c r="Q3232">
        <v>0</v>
      </c>
      <c r="S3232">
        <v>0</v>
      </c>
      <c r="T3232">
        <v>0</v>
      </c>
      <c r="U3232">
        <v>0</v>
      </c>
      <c r="W3232" t="s">
        <v>62</v>
      </c>
      <c r="AP3232" t="s">
        <v>101</v>
      </c>
    </row>
    <row r="3233" spans="1:42" x14ac:dyDescent="0.35">
      <c r="A3233" t="s">
        <v>45</v>
      </c>
      <c r="B3233" t="s">
        <v>7399</v>
      </c>
      <c r="C3233" t="s">
        <v>139</v>
      </c>
      <c r="D3233" t="s">
        <v>7448</v>
      </c>
      <c r="E3233" t="s">
        <v>7449</v>
      </c>
      <c r="F3233" t="s">
        <v>142</v>
      </c>
      <c r="G3233" t="s">
        <v>7450</v>
      </c>
      <c r="H3233" t="s">
        <v>7451</v>
      </c>
      <c r="J3233" t="str">
        <f>HYPERLINK("https://twitter.com/Nil8560/status/1754533400730579342","https://twitter.com/Nil8560/status/1754533400730579342")</f>
        <v>https://twitter.com/Nil8560/status/1754533400730579342</v>
      </c>
      <c r="K3233" t="s">
        <v>145</v>
      </c>
      <c r="O3233">
        <v>0</v>
      </c>
      <c r="P3233">
        <v>0</v>
      </c>
      <c r="Q3233">
        <v>1</v>
      </c>
      <c r="S3233">
        <v>0</v>
      </c>
      <c r="T3233">
        <v>0</v>
      </c>
      <c r="U3233">
        <v>0</v>
      </c>
      <c r="W3233" t="s">
        <v>146</v>
      </c>
      <c r="AP3233" t="s">
        <v>147</v>
      </c>
    </row>
    <row r="3234" spans="1:42" x14ac:dyDescent="0.35">
      <c r="A3234" t="s">
        <v>45</v>
      </c>
      <c r="B3234" t="s">
        <v>7399</v>
      </c>
      <c r="C3234" t="s">
        <v>139</v>
      </c>
      <c r="D3234" t="s">
        <v>4153</v>
      </c>
      <c r="E3234" t="s">
        <v>6255</v>
      </c>
      <c r="F3234" t="s">
        <v>49</v>
      </c>
      <c r="G3234" t="s">
        <v>7452</v>
      </c>
      <c r="H3234" t="s">
        <v>7453</v>
      </c>
      <c r="J3234" t="str">
        <f>HYPERLINK("https://twitter.com/Gr8AdvisorIN/status/1754531884623958400","https://twitter.com/Gr8AdvisorIN/status/1754531884623958400")</f>
        <v>https://twitter.com/Gr8AdvisorIN/status/1754531884623958400</v>
      </c>
      <c r="O3234">
        <v>0</v>
      </c>
      <c r="P3234">
        <v>0</v>
      </c>
      <c r="Q3234">
        <v>51</v>
      </c>
      <c r="S3234">
        <v>0</v>
      </c>
      <c r="T3234">
        <v>0</v>
      </c>
      <c r="U3234">
        <v>0</v>
      </c>
      <c r="W3234" t="s">
        <v>146</v>
      </c>
    </row>
    <row r="3235" spans="1:42" x14ac:dyDescent="0.35">
      <c r="A3235" t="s">
        <v>45</v>
      </c>
      <c r="B3235" t="s">
        <v>7399</v>
      </c>
      <c r="C3235" t="s">
        <v>47</v>
      </c>
      <c r="D3235" t="s">
        <v>7454</v>
      </c>
      <c r="E3235" t="s">
        <v>7454</v>
      </c>
      <c r="F3235" t="s">
        <v>49</v>
      </c>
      <c r="G3235" t="s">
        <v>988</v>
      </c>
      <c r="H3235" t="s">
        <v>7455</v>
      </c>
      <c r="J3235" t="str">
        <f>HYPERLINK("https://www.facebook.com/357267201017935/inbox/6996688000409122/","https://www.facebook.com/357267201017935/inbox/6996688000409122/")</f>
        <v>https://www.facebook.com/357267201017935/inbox/6996688000409122/</v>
      </c>
      <c r="O3235">
        <v>0</v>
      </c>
      <c r="P3235">
        <v>0</v>
      </c>
      <c r="Q3235">
        <v>0</v>
      </c>
      <c r="S3235">
        <v>0</v>
      </c>
      <c r="T3235">
        <v>0</v>
      </c>
      <c r="U3235">
        <v>0</v>
      </c>
      <c r="W3235" t="s">
        <v>52</v>
      </c>
    </row>
    <row r="3236" spans="1:42" x14ac:dyDescent="0.35">
      <c r="A3236" t="s">
        <v>45</v>
      </c>
      <c r="B3236" t="s">
        <v>7399</v>
      </c>
      <c r="C3236" t="s">
        <v>47</v>
      </c>
      <c r="D3236" t="s">
        <v>7456</v>
      </c>
      <c r="E3236" t="s">
        <v>7456</v>
      </c>
      <c r="F3236" t="s">
        <v>49</v>
      </c>
      <c r="G3236" t="s">
        <v>56</v>
      </c>
      <c r="H3236" t="s">
        <v>7457</v>
      </c>
      <c r="J3236" t="str">
        <f>HYPERLINK("https://www.facebook.com/357267201017935/inbox/7004403952970860/","https://www.facebook.com/357267201017935/inbox/7004403952970860/")</f>
        <v>https://www.facebook.com/357267201017935/inbox/7004403952970860/</v>
      </c>
      <c r="O3236">
        <v>0</v>
      </c>
      <c r="P3236">
        <v>0</v>
      </c>
      <c r="Q3236">
        <v>0</v>
      </c>
      <c r="S3236">
        <v>0</v>
      </c>
      <c r="T3236">
        <v>0</v>
      </c>
      <c r="U3236">
        <v>0</v>
      </c>
      <c r="W3236" t="s">
        <v>52</v>
      </c>
    </row>
    <row r="3237" spans="1:42" x14ac:dyDescent="0.35">
      <c r="A3237" t="s">
        <v>45</v>
      </c>
      <c r="B3237" t="s">
        <v>7399</v>
      </c>
      <c r="C3237" t="s">
        <v>58</v>
      </c>
      <c r="D3237" t="s">
        <v>7458</v>
      </c>
      <c r="E3237" t="s">
        <v>7458</v>
      </c>
      <c r="F3237" t="s">
        <v>49</v>
      </c>
      <c r="G3237" t="s">
        <v>7459</v>
      </c>
      <c r="H3237" t="s">
        <v>7460</v>
      </c>
      <c r="J3237" t="str">
        <f>HYPERLINK("https://www.youtube.com/watch?v=B5d82vCwW7U","https://www.youtube.com/watch?v=B5d82vCwW7U")</f>
        <v>https://www.youtube.com/watch?v=B5d82vCwW7U</v>
      </c>
      <c r="O3237">
        <v>0</v>
      </c>
      <c r="P3237">
        <v>0</v>
      </c>
      <c r="Q3237">
        <v>0</v>
      </c>
      <c r="S3237">
        <v>0</v>
      </c>
      <c r="T3237">
        <v>0</v>
      </c>
      <c r="U3237">
        <v>0</v>
      </c>
      <c r="W3237" t="s">
        <v>106</v>
      </c>
    </row>
    <row r="3238" spans="1:42" x14ac:dyDescent="0.35">
      <c r="A3238" t="s">
        <v>45</v>
      </c>
      <c r="B3238" t="s">
        <v>7399</v>
      </c>
      <c r="C3238" t="s">
        <v>47</v>
      </c>
      <c r="D3238" t="s">
        <v>7461</v>
      </c>
      <c r="E3238" t="s">
        <v>7461</v>
      </c>
      <c r="F3238" t="s">
        <v>49</v>
      </c>
      <c r="G3238" t="s">
        <v>7462</v>
      </c>
      <c r="H3238" t="s">
        <v>7463</v>
      </c>
      <c r="J3238" t="str">
        <f>HYPERLINK("https://www.facebook.com/454965103328545/posts/750007137157672?comment_id=711362007826845","https://www.facebook.com/454965103328545/posts/750007137157672?comment_id=711362007826845")</f>
        <v>https://www.facebook.com/454965103328545/posts/750007137157672?comment_id=711362007826845</v>
      </c>
      <c r="O3238">
        <v>0</v>
      </c>
      <c r="P3238">
        <v>0</v>
      </c>
      <c r="Q3238">
        <v>0</v>
      </c>
      <c r="S3238">
        <v>0</v>
      </c>
      <c r="T3238">
        <v>0</v>
      </c>
      <c r="U3238">
        <v>0</v>
      </c>
      <c r="W3238" t="s">
        <v>62</v>
      </c>
    </row>
    <row r="3239" spans="1:42" x14ac:dyDescent="0.35">
      <c r="A3239" t="s">
        <v>45</v>
      </c>
      <c r="B3239" t="s">
        <v>7399</v>
      </c>
      <c r="C3239" t="s">
        <v>47</v>
      </c>
      <c r="D3239" t="s">
        <v>7464</v>
      </c>
      <c r="E3239" t="s">
        <v>7464</v>
      </c>
      <c r="F3239" t="s">
        <v>49</v>
      </c>
      <c r="G3239" t="s">
        <v>7465</v>
      </c>
      <c r="H3239" t="s">
        <v>7466</v>
      </c>
      <c r="J3239" t="str">
        <f>HYPERLINK("https://www.facebook.com/454965103328545/videos/3697954183759550?comment_id=766418291532838&amp;reply_comment_id=1048531316452608","https://www.facebook.com/454965103328545/videos/3697954183759550?comment_id=766418291532838&amp;reply_comment_id=1048531316452608")</f>
        <v>https://www.facebook.com/454965103328545/videos/3697954183759550?comment_id=766418291532838&amp;reply_comment_id=1048531316452608</v>
      </c>
      <c r="O3239">
        <v>0</v>
      </c>
      <c r="P3239">
        <v>0</v>
      </c>
      <c r="Q3239">
        <v>0</v>
      </c>
      <c r="S3239">
        <v>0</v>
      </c>
      <c r="T3239">
        <v>0</v>
      </c>
      <c r="U3239">
        <v>0</v>
      </c>
      <c r="W3239" t="s">
        <v>62</v>
      </c>
    </row>
    <row r="3240" spans="1:42" x14ac:dyDescent="0.35">
      <c r="A3240" t="s">
        <v>45</v>
      </c>
      <c r="B3240" t="s">
        <v>7399</v>
      </c>
      <c r="C3240" t="s">
        <v>47</v>
      </c>
      <c r="D3240" t="s">
        <v>3899</v>
      </c>
      <c r="E3240" t="s">
        <v>3899</v>
      </c>
      <c r="F3240" t="s">
        <v>76</v>
      </c>
      <c r="G3240" t="s">
        <v>7467</v>
      </c>
      <c r="H3240" t="s">
        <v>7468</v>
      </c>
      <c r="J3240" t="str">
        <f>HYPERLINK("https://www.facebook.com/454965103328545/videos/3697954183759550?comment_id=766418291532838","https://www.facebook.com/454965103328545/videos/3697954183759550?comment_id=766418291532838")</f>
        <v>https://www.facebook.com/454965103328545/videos/3697954183759550?comment_id=766418291532838</v>
      </c>
      <c r="O3240">
        <v>0</v>
      </c>
      <c r="P3240">
        <v>0</v>
      </c>
      <c r="Q3240">
        <v>0</v>
      </c>
      <c r="S3240">
        <v>0</v>
      </c>
      <c r="T3240">
        <v>0</v>
      </c>
      <c r="U3240">
        <v>0</v>
      </c>
      <c r="W3240" t="s">
        <v>62</v>
      </c>
    </row>
    <row r="3241" spans="1:42" x14ac:dyDescent="0.35">
      <c r="A3241" t="s">
        <v>45</v>
      </c>
      <c r="B3241" t="s">
        <v>7399</v>
      </c>
      <c r="C3241" t="s">
        <v>47</v>
      </c>
      <c r="D3241" t="s">
        <v>7469</v>
      </c>
      <c r="E3241" t="s">
        <v>7469</v>
      </c>
      <c r="F3241" t="s">
        <v>49</v>
      </c>
      <c r="G3241" t="s">
        <v>7470</v>
      </c>
      <c r="H3241" t="s">
        <v>7471</v>
      </c>
      <c r="J3241" t="str">
        <f>HYPERLINK("https://www.facebook.com/454965103328545/posts/763233329168386?comment_id=1599646130839205","https://www.facebook.com/454965103328545/posts/763233329168386?comment_id=1599646130839205")</f>
        <v>https://www.facebook.com/454965103328545/posts/763233329168386?comment_id=1599646130839205</v>
      </c>
      <c r="O3241">
        <v>0</v>
      </c>
      <c r="P3241">
        <v>0</v>
      </c>
      <c r="Q3241">
        <v>0</v>
      </c>
      <c r="S3241">
        <v>0</v>
      </c>
      <c r="T3241">
        <v>0</v>
      </c>
      <c r="U3241">
        <v>0</v>
      </c>
      <c r="W3241" t="s">
        <v>62</v>
      </c>
      <c r="AP3241" t="s">
        <v>101</v>
      </c>
    </row>
    <row r="3242" spans="1:42" x14ac:dyDescent="0.35">
      <c r="A3242" t="s">
        <v>45</v>
      </c>
      <c r="B3242" t="s">
        <v>7399</v>
      </c>
      <c r="C3242" t="s">
        <v>47</v>
      </c>
      <c r="D3242" t="s">
        <v>7381</v>
      </c>
      <c r="E3242" t="s">
        <v>7381</v>
      </c>
      <c r="F3242" t="s">
        <v>49</v>
      </c>
      <c r="G3242" t="s">
        <v>7382</v>
      </c>
      <c r="H3242" t="s">
        <v>7472</v>
      </c>
      <c r="J3242" t="str">
        <f>HYPERLINK("https://www.facebook.com/454965103328545/posts/763307319160987?comment_id=1062528368332996&amp;reply_comment_id=902498761572547","https://www.facebook.com/454965103328545/posts/763307319160987?comment_id=1062528368332996&amp;reply_comment_id=902498761572547")</f>
        <v>https://www.facebook.com/454965103328545/posts/763307319160987?comment_id=1062528368332996&amp;reply_comment_id=902498761572547</v>
      </c>
      <c r="O3242">
        <v>0</v>
      </c>
      <c r="P3242">
        <v>0</v>
      </c>
      <c r="Q3242">
        <v>0</v>
      </c>
      <c r="S3242">
        <v>0</v>
      </c>
      <c r="T3242">
        <v>0</v>
      </c>
      <c r="U3242">
        <v>0</v>
      </c>
      <c r="W3242" t="s">
        <v>62</v>
      </c>
    </row>
    <row r="3243" spans="1:42" x14ac:dyDescent="0.35">
      <c r="A3243" t="s">
        <v>45</v>
      </c>
      <c r="B3243" t="s">
        <v>7399</v>
      </c>
      <c r="C3243" t="s">
        <v>47</v>
      </c>
      <c r="D3243" t="s">
        <v>7381</v>
      </c>
      <c r="E3243" t="s">
        <v>7381</v>
      </c>
      <c r="F3243" t="s">
        <v>49</v>
      </c>
      <c r="G3243" t="s">
        <v>7382</v>
      </c>
      <c r="H3243" t="s">
        <v>7473</v>
      </c>
      <c r="J3243" t="str">
        <f>HYPERLINK("https://www.facebook.com/454965103328545/posts/763307319160987?comment_id=1062528368332996&amp;reply_comment_id=7503797486331817","https://www.facebook.com/454965103328545/posts/763307319160987?comment_id=1062528368332996&amp;reply_comment_id=7503797486331817")</f>
        <v>https://www.facebook.com/454965103328545/posts/763307319160987?comment_id=1062528368332996&amp;reply_comment_id=7503797486331817</v>
      </c>
      <c r="O3243">
        <v>0</v>
      </c>
      <c r="P3243">
        <v>0</v>
      </c>
      <c r="Q3243">
        <v>0</v>
      </c>
      <c r="S3243">
        <v>0</v>
      </c>
      <c r="T3243">
        <v>0</v>
      </c>
      <c r="U3243">
        <v>0</v>
      </c>
      <c r="W3243" t="s">
        <v>62</v>
      </c>
    </row>
    <row r="3244" spans="1:42" x14ac:dyDescent="0.35">
      <c r="A3244" t="s">
        <v>45</v>
      </c>
      <c r="B3244" t="s">
        <v>7399</v>
      </c>
      <c r="C3244" t="s">
        <v>58</v>
      </c>
      <c r="D3244" t="s">
        <v>7474</v>
      </c>
      <c r="E3244" t="s">
        <v>7474</v>
      </c>
      <c r="F3244" t="s">
        <v>76</v>
      </c>
      <c r="G3244" t="s">
        <v>7475</v>
      </c>
      <c r="H3244" t="s">
        <v>7476</v>
      </c>
      <c r="J3244" t="str">
        <f>HYPERLINK("https://www.youtube.com/watch?v=4Y4ZCQg8p5M","https://www.youtube.com/watch?v=4Y4ZCQg8p5M")</f>
        <v>https://www.youtube.com/watch?v=4Y4ZCQg8p5M</v>
      </c>
      <c r="O3244">
        <v>0</v>
      </c>
      <c r="P3244">
        <v>0</v>
      </c>
      <c r="Q3244">
        <v>0</v>
      </c>
      <c r="S3244">
        <v>0</v>
      </c>
      <c r="T3244">
        <v>0</v>
      </c>
      <c r="U3244">
        <v>0</v>
      </c>
      <c r="W3244" t="s">
        <v>106</v>
      </c>
    </row>
    <row r="3245" spans="1:42" x14ac:dyDescent="0.35">
      <c r="A3245" t="s">
        <v>45</v>
      </c>
      <c r="B3245" t="s">
        <v>7399</v>
      </c>
      <c r="C3245" t="s">
        <v>58</v>
      </c>
      <c r="D3245" t="s">
        <v>7477</v>
      </c>
      <c r="E3245" t="s">
        <v>7477</v>
      </c>
      <c r="F3245" t="s">
        <v>49</v>
      </c>
      <c r="G3245" t="s">
        <v>7478</v>
      </c>
      <c r="H3245" t="s">
        <v>7479</v>
      </c>
      <c r="J3245" t="str">
        <f>HYPERLINK("https://www.youtube.com/watch?v=gb-Y6tMoTYU","https://www.youtube.com/watch?v=gb-Y6tMoTYU")</f>
        <v>https://www.youtube.com/watch?v=gb-Y6tMoTYU</v>
      </c>
      <c r="O3245">
        <v>0</v>
      </c>
      <c r="P3245">
        <v>0</v>
      </c>
      <c r="Q3245">
        <v>0</v>
      </c>
      <c r="S3245">
        <v>0</v>
      </c>
      <c r="T3245">
        <v>0</v>
      </c>
      <c r="U3245">
        <v>0</v>
      </c>
      <c r="W3245" t="s">
        <v>106</v>
      </c>
    </row>
    <row r="3246" spans="1:42" x14ac:dyDescent="0.35">
      <c r="A3246" t="s">
        <v>45</v>
      </c>
      <c r="B3246" t="s">
        <v>7399</v>
      </c>
      <c r="C3246" t="s">
        <v>139</v>
      </c>
      <c r="D3246" t="s">
        <v>7480</v>
      </c>
      <c r="E3246" t="s">
        <v>7481</v>
      </c>
      <c r="F3246" t="s">
        <v>49</v>
      </c>
      <c r="G3246" t="s">
        <v>7353</v>
      </c>
      <c r="H3246" t="s">
        <v>7482</v>
      </c>
      <c r="J3246" t="str">
        <f>HYPERLINK("https://twitter.com/Gurpree12659466/status/1754496534077653410","https://twitter.com/Gurpree12659466/status/1754496534077653410")</f>
        <v>https://twitter.com/Gurpree12659466/status/1754496534077653410</v>
      </c>
      <c r="K3246" t="s">
        <v>1769</v>
      </c>
      <c r="O3246">
        <v>0</v>
      </c>
      <c r="P3246">
        <v>0</v>
      </c>
      <c r="Q3246">
        <v>697</v>
      </c>
      <c r="R3246" t="s">
        <v>1810</v>
      </c>
      <c r="S3246">
        <v>0</v>
      </c>
      <c r="T3246">
        <v>0</v>
      </c>
      <c r="U3246">
        <v>0</v>
      </c>
      <c r="W3246" t="s">
        <v>552</v>
      </c>
    </row>
    <row r="3247" spans="1:42" x14ac:dyDescent="0.35">
      <c r="A3247" t="s">
        <v>45</v>
      </c>
      <c r="B3247" t="s">
        <v>7399</v>
      </c>
      <c r="C3247" t="s">
        <v>47</v>
      </c>
      <c r="D3247" t="s">
        <v>7483</v>
      </c>
      <c r="E3247" t="s">
        <v>7483</v>
      </c>
      <c r="F3247" t="s">
        <v>49</v>
      </c>
      <c r="G3247" t="s">
        <v>373</v>
      </c>
      <c r="H3247" t="s">
        <v>7484</v>
      </c>
      <c r="J3247" t="str">
        <f>HYPERLINK("https://www.facebook.com/357267201017935/inbox/7003798416364747/","https://www.facebook.com/357267201017935/inbox/7003798416364747/")</f>
        <v>https://www.facebook.com/357267201017935/inbox/7003798416364747/</v>
      </c>
      <c r="O3247">
        <v>0</v>
      </c>
      <c r="P3247">
        <v>0</v>
      </c>
      <c r="Q3247">
        <v>0</v>
      </c>
      <c r="S3247">
        <v>0</v>
      </c>
      <c r="T3247">
        <v>0</v>
      </c>
      <c r="U3247">
        <v>0</v>
      </c>
      <c r="W3247" t="s">
        <v>52</v>
      </c>
    </row>
    <row r="3248" spans="1:42" x14ac:dyDescent="0.35">
      <c r="A3248" t="s">
        <v>45</v>
      </c>
      <c r="B3248" t="s">
        <v>7399</v>
      </c>
      <c r="C3248" t="s">
        <v>58</v>
      </c>
      <c r="D3248" t="s">
        <v>7485</v>
      </c>
      <c r="E3248" t="s">
        <v>7485</v>
      </c>
      <c r="F3248" t="s">
        <v>76</v>
      </c>
      <c r="G3248" t="s">
        <v>7415</v>
      </c>
      <c r="H3248" t="s">
        <v>7486</v>
      </c>
      <c r="J3248" t="str">
        <f>HYPERLINK("https://www.youtube.com/watch?v=k4mSFFPOBM0","https://www.youtube.com/watch?v=k4mSFFPOBM0")</f>
        <v>https://www.youtube.com/watch?v=k4mSFFPOBM0</v>
      </c>
      <c r="O3248">
        <v>0</v>
      </c>
      <c r="P3248">
        <v>0</v>
      </c>
      <c r="Q3248">
        <v>0</v>
      </c>
      <c r="S3248">
        <v>0</v>
      </c>
      <c r="T3248">
        <v>0</v>
      </c>
      <c r="U3248">
        <v>0</v>
      </c>
      <c r="W3248" t="s">
        <v>106</v>
      </c>
    </row>
    <row r="3249" spans="1:42" x14ac:dyDescent="0.35">
      <c r="A3249" t="s">
        <v>45</v>
      </c>
      <c r="B3249" t="s">
        <v>7399</v>
      </c>
      <c r="C3249" t="s">
        <v>58</v>
      </c>
      <c r="D3249" t="s">
        <v>7487</v>
      </c>
      <c r="E3249" t="s">
        <v>7487</v>
      </c>
      <c r="F3249" t="s">
        <v>49</v>
      </c>
      <c r="G3249" t="s">
        <v>7488</v>
      </c>
      <c r="H3249" t="s">
        <v>7489</v>
      </c>
      <c r="J3249" t="str">
        <f>HYPERLINK("https://www.youtube.com/watch?v=7ViSLiBlrO8","https://www.youtube.com/watch?v=7ViSLiBlrO8")</f>
        <v>https://www.youtube.com/watch?v=7ViSLiBlrO8</v>
      </c>
      <c r="O3249">
        <v>0</v>
      </c>
      <c r="P3249">
        <v>0</v>
      </c>
      <c r="Q3249">
        <v>0</v>
      </c>
      <c r="S3249">
        <v>0</v>
      </c>
      <c r="T3249">
        <v>0</v>
      </c>
      <c r="U3249">
        <v>0</v>
      </c>
      <c r="W3249" t="s">
        <v>106</v>
      </c>
    </row>
    <row r="3250" spans="1:42" x14ac:dyDescent="0.35">
      <c r="A3250" t="s">
        <v>45</v>
      </c>
      <c r="B3250" t="s">
        <v>7399</v>
      </c>
      <c r="C3250" t="s">
        <v>139</v>
      </c>
      <c r="D3250" t="s">
        <v>7490</v>
      </c>
      <c r="E3250" t="s">
        <v>1036</v>
      </c>
      <c r="F3250" t="s">
        <v>49</v>
      </c>
      <c r="G3250" t="s">
        <v>7353</v>
      </c>
      <c r="H3250" t="s">
        <v>7491</v>
      </c>
      <c r="J3250" t="str">
        <f>HYPERLINK("https://twitter.com/engskumar/status/1754475001233694749","https://twitter.com/engskumar/status/1754475001233694749")</f>
        <v>https://twitter.com/engskumar/status/1754475001233694749</v>
      </c>
      <c r="K3250" t="s">
        <v>145</v>
      </c>
      <c r="O3250">
        <v>0</v>
      </c>
      <c r="P3250">
        <v>0</v>
      </c>
      <c r="Q3250">
        <v>199</v>
      </c>
      <c r="R3250" t="s">
        <v>1810</v>
      </c>
      <c r="S3250">
        <v>0</v>
      </c>
      <c r="T3250">
        <v>0</v>
      </c>
      <c r="U3250">
        <v>0</v>
      </c>
      <c r="W3250" t="s">
        <v>552</v>
      </c>
    </row>
    <row r="3251" spans="1:42" x14ac:dyDescent="0.35">
      <c r="A3251" t="s">
        <v>45</v>
      </c>
      <c r="B3251" t="s">
        <v>7399</v>
      </c>
      <c r="C3251" t="s">
        <v>58</v>
      </c>
      <c r="D3251" t="s">
        <v>7492</v>
      </c>
      <c r="E3251" t="s">
        <v>7492</v>
      </c>
      <c r="F3251" t="s">
        <v>49</v>
      </c>
      <c r="G3251" t="s">
        <v>7493</v>
      </c>
      <c r="H3251" t="s">
        <v>7494</v>
      </c>
      <c r="J3251" t="str">
        <f>HYPERLINK("https://www.youtube.com/watch?v=qrZ9-VoN_Kw","https://www.youtube.com/watch?v=qrZ9-VoN_Kw")</f>
        <v>https://www.youtube.com/watch?v=qrZ9-VoN_Kw</v>
      </c>
      <c r="O3251">
        <v>0</v>
      </c>
      <c r="P3251">
        <v>0</v>
      </c>
      <c r="Q3251">
        <v>0</v>
      </c>
      <c r="S3251">
        <v>0</v>
      </c>
      <c r="T3251">
        <v>0</v>
      </c>
      <c r="U3251">
        <v>0</v>
      </c>
      <c r="W3251" t="s">
        <v>106</v>
      </c>
    </row>
    <row r="3252" spans="1:42" x14ac:dyDescent="0.35">
      <c r="A3252" t="s">
        <v>45</v>
      </c>
      <c r="B3252" t="s">
        <v>7399</v>
      </c>
      <c r="C3252" t="s">
        <v>47</v>
      </c>
      <c r="D3252" t="s">
        <v>7495</v>
      </c>
      <c r="E3252" t="s">
        <v>7495</v>
      </c>
      <c r="F3252" t="s">
        <v>49</v>
      </c>
      <c r="G3252" t="s">
        <v>7496</v>
      </c>
      <c r="H3252" t="s">
        <v>7497</v>
      </c>
      <c r="J3252" t="str">
        <f>HYPERLINK("https://www.facebook.com/357267201017935/inbox/7003200856424503/","https://www.facebook.com/357267201017935/inbox/7003200856424503/")</f>
        <v>https://www.facebook.com/357267201017935/inbox/7003200856424503/</v>
      </c>
      <c r="O3252">
        <v>0</v>
      </c>
      <c r="P3252">
        <v>0</v>
      </c>
      <c r="Q3252">
        <v>0</v>
      </c>
      <c r="S3252">
        <v>0</v>
      </c>
      <c r="T3252">
        <v>0</v>
      </c>
      <c r="U3252">
        <v>0</v>
      </c>
      <c r="W3252" t="s">
        <v>52</v>
      </c>
      <c r="AP3252" t="s">
        <v>94</v>
      </c>
    </row>
    <row r="3253" spans="1:42" x14ac:dyDescent="0.35">
      <c r="A3253" t="s">
        <v>45</v>
      </c>
      <c r="B3253" t="s">
        <v>7399</v>
      </c>
      <c r="C3253" t="s">
        <v>47</v>
      </c>
      <c r="D3253" t="s">
        <v>45</v>
      </c>
      <c r="E3253" t="s">
        <v>45</v>
      </c>
      <c r="F3253" t="s">
        <v>49</v>
      </c>
      <c r="G3253" t="s">
        <v>7498</v>
      </c>
      <c r="H3253" t="s">
        <v>7499</v>
      </c>
      <c r="J3253" t="str">
        <f>HYPERLINK("https://www.facebook.com/357267201017935/inbox/7003200856424503/","https://www.facebook.com/357267201017935/inbox/7003200856424503/")</f>
        <v>https://www.facebook.com/357267201017935/inbox/7003200856424503/</v>
      </c>
      <c r="O3253">
        <v>0</v>
      </c>
      <c r="P3253">
        <v>0</v>
      </c>
      <c r="Q3253">
        <v>0</v>
      </c>
      <c r="S3253">
        <v>0</v>
      </c>
      <c r="T3253">
        <v>0</v>
      </c>
      <c r="U3253">
        <v>0</v>
      </c>
      <c r="W3253" t="s">
        <v>52</v>
      </c>
    </row>
    <row r="3254" spans="1:42" x14ac:dyDescent="0.35">
      <c r="A3254" t="s">
        <v>45</v>
      </c>
      <c r="B3254" t="s">
        <v>7399</v>
      </c>
      <c r="C3254" t="s">
        <v>102</v>
      </c>
      <c r="D3254" t="s">
        <v>965</v>
      </c>
      <c r="E3254" t="s">
        <v>965</v>
      </c>
      <c r="F3254" t="s">
        <v>49</v>
      </c>
      <c r="G3254" t="s">
        <v>7500</v>
      </c>
      <c r="H3254" t="s">
        <v>7501</v>
      </c>
      <c r="J3254" t="str">
        <f>HYPERLINK("https://www.linkedin.com/feed/update/urn:li:ugcPost:7160232770802221056","https://www.linkedin.com/feed/update/urn:li:ugcPost:7160232770802221056")</f>
        <v>https://www.linkedin.com/feed/update/urn:li:ugcPost:7160232770802221056</v>
      </c>
      <c r="O3254">
        <v>0</v>
      </c>
      <c r="P3254">
        <v>0</v>
      </c>
      <c r="Q3254">
        <v>0</v>
      </c>
      <c r="S3254">
        <v>1</v>
      </c>
      <c r="T3254">
        <v>50</v>
      </c>
      <c r="U3254">
        <v>0</v>
      </c>
      <c r="W3254" t="s">
        <v>106</v>
      </c>
    </row>
    <row r="3255" spans="1:42" x14ac:dyDescent="0.35">
      <c r="A3255" t="s">
        <v>45</v>
      </c>
      <c r="B3255" t="s">
        <v>7399</v>
      </c>
      <c r="C3255" t="s">
        <v>47</v>
      </c>
      <c r="D3255" t="s">
        <v>7502</v>
      </c>
      <c r="E3255" t="s">
        <v>7502</v>
      </c>
      <c r="F3255" t="s">
        <v>49</v>
      </c>
      <c r="G3255" t="s">
        <v>7503</v>
      </c>
      <c r="H3255" t="s">
        <v>7504</v>
      </c>
      <c r="J3255" t="str">
        <f>HYPERLINK("https://www.facebook.com/454965103328545/posts/763715162453536?comment_id=389354660342647","https://www.facebook.com/454965103328545/posts/763715162453536?comment_id=389354660342647")</f>
        <v>https://www.facebook.com/454965103328545/posts/763715162453536?comment_id=389354660342647</v>
      </c>
      <c r="O3255">
        <v>0</v>
      </c>
      <c r="P3255">
        <v>0</v>
      </c>
      <c r="Q3255">
        <v>0</v>
      </c>
      <c r="S3255">
        <v>0</v>
      </c>
      <c r="T3255">
        <v>0</v>
      </c>
      <c r="U3255">
        <v>0</v>
      </c>
      <c r="W3255" t="s">
        <v>62</v>
      </c>
    </row>
    <row r="3256" spans="1:42" x14ac:dyDescent="0.35">
      <c r="A3256" t="s">
        <v>45</v>
      </c>
      <c r="B3256" t="s">
        <v>7399</v>
      </c>
      <c r="C3256" t="s">
        <v>58</v>
      </c>
      <c r="D3256" t="s">
        <v>7273</v>
      </c>
      <c r="E3256" t="s">
        <v>7273</v>
      </c>
      <c r="F3256" t="s">
        <v>49</v>
      </c>
      <c r="G3256" t="s">
        <v>7505</v>
      </c>
      <c r="H3256" t="s">
        <v>7506</v>
      </c>
      <c r="J3256" t="str">
        <f>HYPERLINK("https://www.youtube.com/watch?v=ZeDuiqioIG8","https://www.youtube.com/watch?v=ZeDuiqioIG8")</f>
        <v>https://www.youtube.com/watch?v=ZeDuiqioIG8</v>
      </c>
      <c r="O3256">
        <v>0</v>
      </c>
      <c r="P3256">
        <v>0</v>
      </c>
      <c r="Q3256">
        <v>0</v>
      </c>
      <c r="S3256">
        <v>0</v>
      </c>
      <c r="T3256">
        <v>0</v>
      </c>
      <c r="U3256">
        <v>0</v>
      </c>
      <c r="W3256" t="s">
        <v>106</v>
      </c>
    </row>
    <row r="3257" spans="1:42" x14ac:dyDescent="0.35">
      <c r="A3257" t="s">
        <v>45</v>
      </c>
      <c r="B3257" t="s">
        <v>7399</v>
      </c>
      <c r="C3257" t="s">
        <v>58</v>
      </c>
      <c r="D3257" t="s">
        <v>7507</v>
      </c>
      <c r="E3257" t="s">
        <v>7507</v>
      </c>
      <c r="F3257" t="s">
        <v>49</v>
      </c>
      <c r="G3257" t="s">
        <v>7508</v>
      </c>
      <c r="H3257" t="s">
        <v>7509</v>
      </c>
      <c r="J3257" t="str">
        <f>HYPERLINK("https://www.youtube.com/watch?v=fzv0tdpIBtw","https://www.youtube.com/watch?v=fzv0tdpIBtw")</f>
        <v>https://www.youtube.com/watch?v=fzv0tdpIBtw</v>
      </c>
      <c r="O3257">
        <v>0</v>
      </c>
      <c r="P3257">
        <v>0</v>
      </c>
      <c r="Q3257">
        <v>0</v>
      </c>
      <c r="S3257">
        <v>0</v>
      </c>
      <c r="T3257">
        <v>0</v>
      </c>
      <c r="U3257">
        <v>0</v>
      </c>
      <c r="W3257" t="s">
        <v>106</v>
      </c>
    </row>
    <row r="3258" spans="1:42" x14ac:dyDescent="0.35">
      <c r="A3258" t="s">
        <v>45</v>
      </c>
      <c r="B3258" t="s">
        <v>7399</v>
      </c>
      <c r="C3258" t="s">
        <v>58</v>
      </c>
      <c r="D3258" t="s">
        <v>7510</v>
      </c>
      <c r="E3258" t="s">
        <v>7510</v>
      </c>
      <c r="F3258" t="s">
        <v>49</v>
      </c>
      <c r="G3258" t="s">
        <v>7511</v>
      </c>
      <c r="H3258" t="s">
        <v>7512</v>
      </c>
      <c r="J3258" t="str">
        <f>HYPERLINK("https://www.youtube.com/watch?v=8C0lePPk07o","https://www.youtube.com/watch?v=8C0lePPk07o")</f>
        <v>https://www.youtube.com/watch?v=8C0lePPk07o</v>
      </c>
      <c r="O3258">
        <v>0</v>
      </c>
      <c r="P3258">
        <v>0</v>
      </c>
      <c r="Q3258">
        <v>0</v>
      </c>
      <c r="S3258">
        <v>0</v>
      </c>
      <c r="T3258">
        <v>0</v>
      </c>
      <c r="U3258">
        <v>0</v>
      </c>
      <c r="W3258" t="s">
        <v>106</v>
      </c>
    </row>
    <row r="3259" spans="1:42" x14ac:dyDescent="0.35">
      <c r="A3259" t="s">
        <v>45</v>
      </c>
      <c r="B3259" t="s">
        <v>7399</v>
      </c>
      <c r="C3259" t="s">
        <v>47</v>
      </c>
      <c r="D3259" t="s">
        <v>7513</v>
      </c>
      <c r="E3259" t="s">
        <v>7513</v>
      </c>
      <c r="F3259" t="s">
        <v>49</v>
      </c>
      <c r="G3259" t="s">
        <v>7514</v>
      </c>
      <c r="H3259" t="s">
        <v>7515</v>
      </c>
      <c r="J3259" t="str">
        <f>HYPERLINK("https://www.facebook.com/454965103328545/posts/763233329168386?comment_id=1424166121803485","https://www.facebook.com/454965103328545/posts/763233329168386?comment_id=1424166121803485")</f>
        <v>https://www.facebook.com/454965103328545/posts/763233329168386?comment_id=1424166121803485</v>
      </c>
      <c r="O3259">
        <v>0</v>
      </c>
      <c r="P3259">
        <v>0</v>
      </c>
      <c r="Q3259">
        <v>0</v>
      </c>
      <c r="S3259">
        <v>0</v>
      </c>
      <c r="T3259">
        <v>0</v>
      </c>
      <c r="U3259">
        <v>0</v>
      </c>
      <c r="W3259" t="s">
        <v>62</v>
      </c>
    </row>
    <row r="3260" spans="1:42" x14ac:dyDescent="0.35">
      <c r="A3260" t="s">
        <v>45</v>
      </c>
      <c r="B3260" t="s">
        <v>7399</v>
      </c>
      <c r="C3260" t="s">
        <v>139</v>
      </c>
      <c r="D3260" t="s">
        <v>6597</v>
      </c>
      <c r="E3260" t="s">
        <v>6598</v>
      </c>
      <c r="F3260" t="s">
        <v>49</v>
      </c>
      <c r="G3260" t="s">
        <v>7353</v>
      </c>
      <c r="H3260" t="s">
        <v>7516</v>
      </c>
      <c r="J3260" t="str">
        <f>HYPERLINK("https://twitter.com/sharmabhu/status/1754446946226606544","https://twitter.com/sharmabhu/status/1754446946226606544")</f>
        <v>https://twitter.com/sharmabhu/status/1754446946226606544</v>
      </c>
      <c r="K3260" t="s">
        <v>145</v>
      </c>
      <c r="O3260">
        <v>0</v>
      </c>
      <c r="P3260">
        <v>0</v>
      </c>
      <c r="Q3260">
        <v>1325</v>
      </c>
      <c r="R3260" t="s">
        <v>6600</v>
      </c>
      <c r="S3260">
        <v>0</v>
      </c>
      <c r="T3260">
        <v>0</v>
      </c>
      <c r="U3260">
        <v>0</v>
      </c>
      <c r="W3260" t="s">
        <v>552</v>
      </c>
    </row>
    <row r="3261" spans="1:42" x14ac:dyDescent="0.35">
      <c r="A3261" t="s">
        <v>45</v>
      </c>
      <c r="B3261" t="s">
        <v>7399</v>
      </c>
      <c r="C3261" t="s">
        <v>58</v>
      </c>
      <c r="D3261" t="s">
        <v>7517</v>
      </c>
      <c r="E3261" t="s">
        <v>7517</v>
      </c>
      <c r="F3261" t="s">
        <v>49</v>
      </c>
      <c r="G3261" t="s">
        <v>7518</v>
      </c>
      <c r="H3261" t="s">
        <v>7519</v>
      </c>
      <c r="J3261" t="str">
        <f>HYPERLINK("https://www.youtube.com/watch?v=KhEh9s84lKg","https://www.youtube.com/watch?v=KhEh9s84lKg")</f>
        <v>https://www.youtube.com/watch?v=KhEh9s84lKg</v>
      </c>
      <c r="O3261">
        <v>0</v>
      </c>
      <c r="P3261">
        <v>0</v>
      </c>
      <c r="Q3261">
        <v>0</v>
      </c>
      <c r="S3261">
        <v>0</v>
      </c>
      <c r="T3261">
        <v>0</v>
      </c>
      <c r="U3261">
        <v>0</v>
      </c>
      <c r="W3261" t="s">
        <v>106</v>
      </c>
    </row>
    <row r="3262" spans="1:42" x14ac:dyDescent="0.35">
      <c r="A3262" t="s">
        <v>45</v>
      </c>
      <c r="B3262" t="s">
        <v>7399</v>
      </c>
      <c r="C3262" t="s">
        <v>58</v>
      </c>
      <c r="D3262" t="s">
        <v>7520</v>
      </c>
      <c r="E3262" t="s">
        <v>7520</v>
      </c>
      <c r="F3262" t="s">
        <v>76</v>
      </c>
      <c r="G3262" t="s">
        <v>7521</v>
      </c>
      <c r="H3262" t="s">
        <v>7522</v>
      </c>
      <c r="J3262" t="str">
        <f>HYPERLINK("https://www.youtube.com/watch?v=1ZhYDtMSc2o","https://www.youtube.com/watch?v=1ZhYDtMSc2o")</f>
        <v>https://www.youtube.com/watch?v=1ZhYDtMSc2o</v>
      </c>
      <c r="O3262">
        <v>0</v>
      </c>
      <c r="P3262">
        <v>0</v>
      </c>
      <c r="Q3262">
        <v>0</v>
      </c>
      <c r="S3262">
        <v>0</v>
      </c>
      <c r="T3262">
        <v>0</v>
      </c>
      <c r="U3262">
        <v>0</v>
      </c>
      <c r="W3262" t="s">
        <v>106</v>
      </c>
    </row>
    <row r="3263" spans="1:42" x14ac:dyDescent="0.35">
      <c r="A3263" t="s">
        <v>45</v>
      </c>
      <c r="B3263" t="s">
        <v>7399</v>
      </c>
      <c r="C3263" t="s">
        <v>47</v>
      </c>
      <c r="D3263" t="s">
        <v>7523</v>
      </c>
      <c r="E3263" t="s">
        <v>7523</v>
      </c>
      <c r="F3263" t="s">
        <v>49</v>
      </c>
      <c r="H3263" t="s">
        <v>7524</v>
      </c>
      <c r="J3263" t="str">
        <f>HYPERLINK("https://www.facebook.com/454965103328545/posts/763902162434836?comment_id=429657759399904","https://www.facebook.com/454965103328545/posts/763902162434836?comment_id=429657759399904")</f>
        <v>https://www.facebook.com/454965103328545/posts/763902162434836?comment_id=429657759399904</v>
      </c>
      <c r="O3263">
        <v>0</v>
      </c>
      <c r="P3263">
        <v>0</v>
      </c>
      <c r="Q3263">
        <v>0</v>
      </c>
      <c r="S3263">
        <v>0</v>
      </c>
      <c r="T3263">
        <v>0</v>
      </c>
      <c r="U3263">
        <v>0</v>
      </c>
      <c r="W3263" t="s">
        <v>62</v>
      </c>
    </row>
    <row r="3264" spans="1:42" x14ac:dyDescent="0.35">
      <c r="A3264" t="s">
        <v>45</v>
      </c>
      <c r="B3264" t="s">
        <v>7399</v>
      </c>
      <c r="C3264" t="s">
        <v>47</v>
      </c>
      <c r="D3264" t="s">
        <v>7523</v>
      </c>
      <c r="E3264" t="s">
        <v>7523</v>
      </c>
      <c r="F3264" t="s">
        <v>49</v>
      </c>
      <c r="H3264" t="s">
        <v>7525</v>
      </c>
      <c r="J3264" t="str">
        <f>HYPERLINK("https://www.facebook.com/454965103328545/posts/764462805712105?comment_id=7059380330804855","https://www.facebook.com/454965103328545/posts/764462805712105?comment_id=7059380330804855")</f>
        <v>https://www.facebook.com/454965103328545/posts/764462805712105?comment_id=7059380330804855</v>
      </c>
      <c r="O3264">
        <v>0</v>
      </c>
      <c r="P3264">
        <v>0</v>
      </c>
      <c r="Q3264">
        <v>0</v>
      </c>
      <c r="S3264">
        <v>0</v>
      </c>
      <c r="T3264">
        <v>0</v>
      </c>
      <c r="U3264">
        <v>0</v>
      </c>
      <c r="W3264" t="s">
        <v>62</v>
      </c>
    </row>
    <row r="3265" spans="1:45" x14ac:dyDescent="0.35">
      <c r="A3265" t="s">
        <v>45</v>
      </c>
      <c r="B3265" t="s">
        <v>7399</v>
      </c>
      <c r="C3265" t="s">
        <v>47</v>
      </c>
      <c r="D3265" t="s">
        <v>7523</v>
      </c>
      <c r="E3265" t="s">
        <v>7523</v>
      </c>
      <c r="F3265" t="s">
        <v>49</v>
      </c>
      <c r="H3265" t="s">
        <v>7526</v>
      </c>
      <c r="J3265" t="str">
        <f>HYPERLINK("https://www.facebook.com/454965103328545/posts/763715162453536?comment_id=1105448287574422","https://www.facebook.com/454965103328545/posts/763715162453536?comment_id=1105448287574422")</f>
        <v>https://www.facebook.com/454965103328545/posts/763715162453536?comment_id=1105448287574422</v>
      </c>
      <c r="O3265">
        <v>0</v>
      </c>
      <c r="P3265">
        <v>0</v>
      </c>
      <c r="Q3265">
        <v>0</v>
      </c>
      <c r="S3265">
        <v>0</v>
      </c>
      <c r="T3265">
        <v>0</v>
      </c>
      <c r="U3265">
        <v>0</v>
      </c>
      <c r="W3265" t="s">
        <v>62</v>
      </c>
    </row>
    <row r="3266" spans="1:45" x14ac:dyDescent="0.35">
      <c r="A3266" t="s">
        <v>45</v>
      </c>
      <c r="B3266" t="s">
        <v>7399</v>
      </c>
      <c r="C3266" t="s">
        <v>139</v>
      </c>
      <c r="D3266" t="s">
        <v>7527</v>
      </c>
      <c r="E3266" t="s">
        <v>7528</v>
      </c>
      <c r="F3266" t="s">
        <v>49</v>
      </c>
      <c r="G3266" t="s">
        <v>7529</v>
      </c>
      <c r="H3266" t="s">
        <v>7530</v>
      </c>
      <c r="J3266" t="str">
        <f>HYPERLINK("https://twitter.com/Geetu_Moza/status/1754429712615796752","https://twitter.com/Geetu_Moza/status/1754429712615796752")</f>
        <v>https://twitter.com/Geetu_Moza/status/1754429712615796752</v>
      </c>
      <c r="K3266" t="s">
        <v>1769</v>
      </c>
      <c r="O3266">
        <v>0</v>
      </c>
      <c r="P3266">
        <v>0</v>
      </c>
      <c r="Q3266">
        <v>32059</v>
      </c>
      <c r="R3266" t="s">
        <v>4792</v>
      </c>
      <c r="S3266">
        <v>0</v>
      </c>
      <c r="T3266">
        <v>0</v>
      </c>
      <c r="U3266">
        <v>0</v>
      </c>
      <c r="V3266" t="s">
        <v>642</v>
      </c>
      <c r="W3266" t="s">
        <v>146</v>
      </c>
    </row>
    <row r="3267" spans="1:45" x14ac:dyDescent="0.35">
      <c r="A3267" t="s">
        <v>45</v>
      </c>
      <c r="B3267" t="s">
        <v>7399</v>
      </c>
      <c r="C3267" t="s">
        <v>139</v>
      </c>
      <c r="D3267" t="s">
        <v>7527</v>
      </c>
      <c r="E3267" t="s">
        <v>7528</v>
      </c>
      <c r="F3267" t="s">
        <v>49</v>
      </c>
      <c r="G3267" t="s">
        <v>7531</v>
      </c>
      <c r="H3267" t="s">
        <v>7532</v>
      </c>
      <c r="J3267" t="str">
        <f>HYPERLINK("https://twitter.com/Geetu_Moza/status/1754429327780012225","https://twitter.com/Geetu_Moza/status/1754429327780012225")</f>
        <v>https://twitter.com/Geetu_Moza/status/1754429327780012225</v>
      </c>
      <c r="K3267" t="s">
        <v>1769</v>
      </c>
      <c r="O3267">
        <v>0</v>
      </c>
      <c r="P3267">
        <v>0</v>
      </c>
      <c r="Q3267">
        <v>32059</v>
      </c>
      <c r="R3267" t="s">
        <v>4792</v>
      </c>
      <c r="S3267">
        <v>0</v>
      </c>
      <c r="T3267">
        <v>0</v>
      </c>
      <c r="U3267">
        <v>0</v>
      </c>
      <c r="V3267" t="s">
        <v>642</v>
      </c>
      <c r="W3267" t="s">
        <v>146</v>
      </c>
    </row>
    <row r="3268" spans="1:45" x14ac:dyDescent="0.35">
      <c r="A3268" t="s">
        <v>45</v>
      </c>
      <c r="B3268" t="s">
        <v>7399</v>
      </c>
      <c r="C3268" t="s">
        <v>139</v>
      </c>
      <c r="D3268" t="s">
        <v>7527</v>
      </c>
      <c r="E3268" t="s">
        <v>7528</v>
      </c>
      <c r="F3268" t="s">
        <v>49</v>
      </c>
      <c r="G3268" t="s">
        <v>7533</v>
      </c>
      <c r="H3268" t="s">
        <v>7534</v>
      </c>
      <c r="J3268" t="str">
        <f>HYPERLINK("https://twitter.com/Geetu_Moza/status/1754429041661382810","https://twitter.com/Geetu_Moza/status/1754429041661382810")</f>
        <v>https://twitter.com/Geetu_Moza/status/1754429041661382810</v>
      </c>
      <c r="K3268" t="s">
        <v>1769</v>
      </c>
      <c r="O3268">
        <v>0</v>
      </c>
      <c r="P3268">
        <v>0</v>
      </c>
      <c r="Q3268">
        <v>32059</v>
      </c>
      <c r="R3268" t="s">
        <v>4792</v>
      </c>
      <c r="S3268">
        <v>0</v>
      </c>
      <c r="T3268">
        <v>0</v>
      </c>
      <c r="U3268">
        <v>0</v>
      </c>
      <c r="V3268" t="s">
        <v>642</v>
      </c>
      <c r="W3268" t="s">
        <v>552</v>
      </c>
    </row>
    <row r="3269" spans="1:45" x14ac:dyDescent="0.35">
      <c r="A3269" t="s">
        <v>45</v>
      </c>
      <c r="B3269" t="s">
        <v>7399</v>
      </c>
      <c r="C3269" t="s">
        <v>47</v>
      </c>
      <c r="D3269" t="s">
        <v>7495</v>
      </c>
      <c r="E3269" t="s">
        <v>7495</v>
      </c>
      <c r="F3269" t="s">
        <v>49</v>
      </c>
      <c r="G3269" t="s">
        <v>7535</v>
      </c>
      <c r="H3269" t="s">
        <v>7536</v>
      </c>
      <c r="J3269" t="str">
        <f>HYPERLINK("https://www.facebook.com/357267201017935/inbox/7003200856424503/","https://www.facebook.com/357267201017935/inbox/7003200856424503/")</f>
        <v>https://www.facebook.com/357267201017935/inbox/7003200856424503/</v>
      </c>
      <c r="O3269">
        <v>0</v>
      </c>
      <c r="P3269">
        <v>0</v>
      </c>
      <c r="Q3269">
        <v>0</v>
      </c>
      <c r="S3269">
        <v>0</v>
      </c>
      <c r="T3269">
        <v>0</v>
      </c>
      <c r="U3269">
        <v>0</v>
      </c>
      <c r="W3269" t="s">
        <v>52</v>
      </c>
      <c r="AO3269" t="s">
        <v>119</v>
      </c>
      <c r="AP3269" t="s">
        <v>101</v>
      </c>
      <c r="AS3269" t="s">
        <v>375</v>
      </c>
    </row>
    <row r="3270" spans="1:45" x14ac:dyDescent="0.35">
      <c r="A3270" t="s">
        <v>45</v>
      </c>
      <c r="B3270" t="s">
        <v>7399</v>
      </c>
      <c r="C3270" t="s">
        <v>47</v>
      </c>
      <c r="D3270" t="s">
        <v>7495</v>
      </c>
      <c r="E3270" t="s">
        <v>7495</v>
      </c>
      <c r="F3270" t="s">
        <v>49</v>
      </c>
      <c r="G3270" t="s">
        <v>4321</v>
      </c>
      <c r="H3270" t="s">
        <v>7537</v>
      </c>
      <c r="J3270" t="str">
        <f>HYPERLINK("https://www.facebook.com/357267201017935/inbox/7003200856424503/","https://www.facebook.com/357267201017935/inbox/7003200856424503/")</f>
        <v>https://www.facebook.com/357267201017935/inbox/7003200856424503/</v>
      </c>
      <c r="O3270">
        <v>0</v>
      </c>
      <c r="P3270">
        <v>0</v>
      </c>
      <c r="Q3270">
        <v>0</v>
      </c>
      <c r="S3270">
        <v>0</v>
      </c>
      <c r="T3270">
        <v>0</v>
      </c>
      <c r="U3270">
        <v>0</v>
      </c>
      <c r="W3270" t="s">
        <v>52</v>
      </c>
    </row>
    <row r="3271" spans="1:45" x14ac:dyDescent="0.35">
      <c r="A3271" t="s">
        <v>45</v>
      </c>
      <c r="B3271" t="s">
        <v>7399</v>
      </c>
      <c r="C3271" t="s">
        <v>139</v>
      </c>
      <c r="D3271" t="s">
        <v>6953</v>
      </c>
      <c r="E3271" t="s">
        <v>6954</v>
      </c>
      <c r="F3271" t="s">
        <v>142</v>
      </c>
      <c r="G3271" t="s">
        <v>7538</v>
      </c>
      <c r="H3271" t="s">
        <v>7539</v>
      </c>
      <c r="J3271" t="str">
        <f>HYPERLINK("https://twitter.com/PanderePuja/status/1754410511805071866","https://twitter.com/PanderePuja/status/1754410511805071866")</f>
        <v>https://twitter.com/PanderePuja/status/1754410511805071866</v>
      </c>
      <c r="K3271" t="s">
        <v>1769</v>
      </c>
      <c r="O3271">
        <v>0</v>
      </c>
      <c r="P3271">
        <v>0</v>
      </c>
      <c r="Q3271">
        <v>5</v>
      </c>
      <c r="S3271">
        <v>0</v>
      </c>
      <c r="T3271">
        <v>0</v>
      </c>
      <c r="U3271">
        <v>0</v>
      </c>
      <c r="W3271" t="s">
        <v>146</v>
      </c>
      <c r="AP3271" t="s">
        <v>147</v>
      </c>
    </row>
    <row r="3272" spans="1:45" x14ac:dyDescent="0.35">
      <c r="A3272" t="s">
        <v>45</v>
      </c>
      <c r="B3272" t="s">
        <v>7399</v>
      </c>
      <c r="C3272" t="s">
        <v>139</v>
      </c>
      <c r="D3272" t="s">
        <v>7540</v>
      </c>
      <c r="E3272" t="s">
        <v>7541</v>
      </c>
      <c r="F3272" t="s">
        <v>49</v>
      </c>
      <c r="G3272" t="s">
        <v>7542</v>
      </c>
      <c r="H3272" t="s">
        <v>7543</v>
      </c>
      <c r="J3272" t="str">
        <f>HYPERLINK("https://twitter.com/safiranand/status/1754405756215193681","https://twitter.com/safiranand/status/1754405756215193681")</f>
        <v>https://twitter.com/safiranand/status/1754405756215193681</v>
      </c>
      <c r="K3272" t="s">
        <v>145</v>
      </c>
      <c r="O3272">
        <v>0</v>
      </c>
      <c r="P3272">
        <v>0</v>
      </c>
      <c r="Q3272">
        <v>214643</v>
      </c>
      <c r="R3272" t="s">
        <v>7544</v>
      </c>
      <c r="S3272">
        <v>0</v>
      </c>
      <c r="T3272">
        <v>0</v>
      </c>
      <c r="U3272">
        <v>0</v>
      </c>
      <c r="V3272" t="s">
        <v>642</v>
      </c>
      <c r="W3272" t="s">
        <v>146</v>
      </c>
    </row>
    <row r="3273" spans="1:45" x14ac:dyDescent="0.35">
      <c r="A3273" t="s">
        <v>45</v>
      </c>
      <c r="B3273" t="s">
        <v>7399</v>
      </c>
      <c r="C3273" t="s">
        <v>139</v>
      </c>
      <c r="D3273" t="s">
        <v>7545</v>
      </c>
      <c r="E3273" t="s">
        <v>7546</v>
      </c>
      <c r="F3273" t="s">
        <v>49</v>
      </c>
      <c r="G3273" t="s">
        <v>7533</v>
      </c>
      <c r="H3273" t="s">
        <v>7547</v>
      </c>
      <c r="J3273" t="str">
        <f>HYPERLINK("https://twitter.com/JagranBizNews/status/1754401425747009920","https://twitter.com/JagranBizNews/status/1754401425747009920")</f>
        <v>https://twitter.com/JagranBizNews/status/1754401425747009920</v>
      </c>
      <c r="O3273">
        <v>0</v>
      </c>
      <c r="P3273">
        <v>0</v>
      </c>
      <c r="Q3273">
        <v>1347</v>
      </c>
      <c r="S3273">
        <v>0</v>
      </c>
      <c r="T3273">
        <v>0</v>
      </c>
      <c r="U3273">
        <v>0</v>
      </c>
      <c r="W3273" t="s">
        <v>552</v>
      </c>
    </row>
    <row r="3274" spans="1:45" x14ac:dyDescent="0.35">
      <c r="A3274" t="s">
        <v>45</v>
      </c>
      <c r="B3274" t="s">
        <v>7399</v>
      </c>
      <c r="C3274" t="s">
        <v>102</v>
      </c>
      <c r="D3274" t="s">
        <v>7548</v>
      </c>
      <c r="E3274" t="s">
        <v>7548</v>
      </c>
      <c r="F3274" t="s">
        <v>49</v>
      </c>
      <c r="G3274" t="s">
        <v>7549</v>
      </c>
      <c r="H3274" t="s">
        <v>7550</v>
      </c>
      <c r="J3274" t="str">
        <f>HYPERLINK("https://www.linkedin.com/feed/update/urn:li:share:7159179277924544514/?commentUrn=urn:li:comment:(urn:li:activity:7159179278708793344,7160164761614094336)","https://www.linkedin.com/feed/update/urn:li:share:7159179277924544514/?commentUrn=urn:li:comment:(urn:li:activity:7159179278708793344,7160164761614094336)")</f>
        <v>https://www.linkedin.com/feed/update/urn:li:share:7159179277924544514/?commentUrn=urn:li:comment:(urn:li:activity:7159179278708793344,7160164761614094336)</v>
      </c>
      <c r="K3274" t="s">
        <v>145</v>
      </c>
      <c r="O3274">
        <v>0</v>
      </c>
      <c r="P3274">
        <v>0</v>
      </c>
      <c r="Q3274">
        <v>0</v>
      </c>
      <c r="S3274">
        <v>0</v>
      </c>
      <c r="T3274">
        <v>0</v>
      </c>
      <c r="U3274">
        <v>0</v>
      </c>
      <c r="W3274" t="s">
        <v>62</v>
      </c>
    </row>
    <row r="3275" spans="1:45" x14ac:dyDescent="0.35">
      <c r="A3275" t="s">
        <v>45</v>
      </c>
      <c r="B3275" t="s">
        <v>7399</v>
      </c>
      <c r="C3275" t="s">
        <v>139</v>
      </c>
      <c r="D3275" t="s">
        <v>1765</v>
      </c>
      <c r="E3275" t="s">
        <v>1766</v>
      </c>
      <c r="F3275" t="s">
        <v>49</v>
      </c>
      <c r="G3275" t="s">
        <v>7551</v>
      </c>
      <c r="H3275" t="s">
        <v>7552</v>
      </c>
      <c r="J3275" t="str">
        <f>HYPERLINK("https://twitter.com/PrincyG39657148/status/1754394216351076822","https://twitter.com/PrincyG39657148/status/1754394216351076822")</f>
        <v>https://twitter.com/PrincyG39657148/status/1754394216351076822</v>
      </c>
      <c r="K3275" t="s">
        <v>1769</v>
      </c>
      <c r="O3275">
        <v>0</v>
      </c>
      <c r="P3275">
        <v>0</v>
      </c>
      <c r="Q3275">
        <v>0</v>
      </c>
      <c r="S3275">
        <v>0</v>
      </c>
      <c r="T3275">
        <v>0</v>
      </c>
      <c r="U3275">
        <v>0</v>
      </c>
      <c r="W3275" t="s">
        <v>146</v>
      </c>
    </row>
    <row r="3276" spans="1:45" x14ac:dyDescent="0.35">
      <c r="A3276" t="s">
        <v>45</v>
      </c>
      <c r="B3276" t="s">
        <v>7399</v>
      </c>
      <c r="C3276" t="s">
        <v>139</v>
      </c>
      <c r="D3276" t="s">
        <v>1765</v>
      </c>
      <c r="E3276" t="s">
        <v>1766</v>
      </c>
      <c r="F3276" t="s">
        <v>142</v>
      </c>
      <c r="G3276" t="s">
        <v>7553</v>
      </c>
      <c r="H3276" t="s">
        <v>7554</v>
      </c>
      <c r="J3276" t="str">
        <f>HYPERLINK("https://twitter.com/PrincyG39657148/status/1754393101505060946","https://twitter.com/PrincyG39657148/status/1754393101505060946")</f>
        <v>https://twitter.com/PrincyG39657148/status/1754393101505060946</v>
      </c>
      <c r="K3276" t="s">
        <v>1769</v>
      </c>
      <c r="O3276">
        <v>0</v>
      </c>
      <c r="P3276">
        <v>0</v>
      </c>
      <c r="Q3276">
        <v>0</v>
      </c>
      <c r="S3276">
        <v>0</v>
      </c>
      <c r="T3276">
        <v>0</v>
      </c>
      <c r="U3276">
        <v>0</v>
      </c>
      <c r="W3276" t="s">
        <v>146</v>
      </c>
    </row>
    <row r="3277" spans="1:45" x14ac:dyDescent="0.35">
      <c r="A3277" t="s">
        <v>45</v>
      </c>
      <c r="B3277" t="s">
        <v>7399</v>
      </c>
      <c r="C3277" t="s">
        <v>47</v>
      </c>
      <c r="D3277" t="s">
        <v>461</v>
      </c>
      <c r="E3277" t="s">
        <v>461</v>
      </c>
      <c r="F3277" t="s">
        <v>76</v>
      </c>
      <c r="G3277" t="s">
        <v>7555</v>
      </c>
      <c r="H3277" t="s">
        <v>7556</v>
      </c>
      <c r="J3277" t="str">
        <f>HYPERLINK("https://www.facebook.com/454965103328545/posts/755939476564438?comment_id=2107499396303310","https://www.facebook.com/454965103328545/posts/755939476564438?comment_id=2107499396303310")</f>
        <v>https://www.facebook.com/454965103328545/posts/755939476564438?comment_id=2107499396303310</v>
      </c>
      <c r="O3277">
        <v>0</v>
      </c>
      <c r="P3277">
        <v>0</v>
      </c>
      <c r="Q3277">
        <v>0</v>
      </c>
      <c r="S3277">
        <v>0</v>
      </c>
      <c r="T3277">
        <v>0</v>
      </c>
      <c r="U3277">
        <v>0</v>
      </c>
      <c r="W3277" t="s">
        <v>62</v>
      </c>
    </row>
    <row r="3278" spans="1:45" x14ac:dyDescent="0.35">
      <c r="A3278" t="s">
        <v>45</v>
      </c>
      <c r="B3278" t="s">
        <v>7399</v>
      </c>
      <c r="C3278" t="s">
        <v>139</v>
      </c>
      <c r="D3278" t="s">
        <v>7527</v>
      </c>
      <c r="E3278" t="s">
        <v>7528</v>
      </c>
      <c r="F3278" t="s">
        <v>49</v>
      </c>
      <c r="G3278" t="s">
        <v>7533</v>
      </c>
      <c r="H3278" t="s">
        <v>7557</v>
      </c>
      <c r="J3278" t="str">
        <f>HYPERLINK("https://twitter.com/Geetu_Moza/status/1754374645560803779","https://twitter.com/Geetu_Moza/status/1754374645560803779")</f>
        <v>https://twitter.com/Geetu_Moza/status/1754374645560803779</v>
      </c>
      <c r="K3278" t="s">
        <v>1769</v>
      </c>
      <c r="O3278">
        <v>0</v>
      </c>
      <c r="P3278">
        <v>0</v>
      </c>
      <c r="Q3278">
        <v>32056</v>
      </c>
      <c r="R3278" t="s">
        <v>4792</v>
      </c>
      <c r="S3278">
        <v>0</v>
      </c>
      <c r="T3278">
        <v>0</v>
      </c>
      <c r="U3278">
        <v>0</v>
      </c>
      <c r="V3278" t="s">
        <v>642</v>
      </c>
      <c r="W3278" t="s">
        <v>146</v>
      </c>
    </row>
    <row r="3279" spans="1:45" x14ac:dyDescent="0.35">
      <c r="A3279" t="s">
        <v>45</v>
      </c>
      <c r="B3279" t="s">
        <v>7399</v>
      </c>
      <c r="C3279" t="s">
        <v>47</v>
      </c>
      <c r="D3279" t="s">
        <v>45</v>
      </c>
      <c r="E3279" t="s">
        <v>45</v>
      </c>
      <c r="F3279" t="s">
        <v>49</v>
      </c>
      <c r="H3279" t="s">
        <v>7558</v>
      </c>
      <c r="J3279" t="str">
        <f>HYPERLINK("https://www.facebook.com/357267201017935_626747869592021","https://www.facebook.com/357267201017935_626747869592021")</f>
        <v>https://www.facebook.com/357267201017935_626747869592021</v>
      </c>
      <c r="O3279">
        <v>0</v>
      </c>
      <c r="P3279">
        <v>0</v>
      </c>
      <c r="Q3279">
        <v>0</v>
      </c>
      <c r="S3279">
        <v>0</v>
      </c>
      <c r="T3279">
        <v>0</v>
      </c>
      <c r="U3279">
        <v>0</v>
      </c>
      <c r="W3279" t="s">
        <v>106</v>
      </c>
      <c r="AS3279" t="s">
        <v>115</v>
      </c>
    </row>
    <row r="3280" spans="1:45" x14ac:dyDescent="0.35">
      <c r="A3280" t="s">
        <v>45</v>
      </c>
      <c r="B3280" t="s">
        <v>7399</v>
      </c>
      <c r="C3280" t="s">
        <v>47</v>
      </c>
      <c r="D3280" t="s">
        <v>45</v>
      </c>
      <c r="E3280" t="s">
        <v>45</v>
      </c>
      <c r="F3280" t="s">
        <v>49</v>
      </c>
      <c r="H3280" t="s">
        <v>7559</v>
      </c>
      <c r="J3280" t="str">
        <f>HYPERLINK("https://www.facebook.com/357267201017935_1163615614812488","https://www.facebook.com/357267201017935_1163615614812488")</f>
        <v>https://www.facebook.com/357267201017935_1163615614812488</v>
      </c>
      <c r="O3280">
        <v>0</v>
      </c>
      <c r="P3280">
        <v>0</v>
      </c>
      <c r="Q3280">
        <v>0</v>
      </c>
      <c r="S3280">
        <v>0</v>
      </c>
      <c r="T3280">
        <v>0</v>
      </c>
      <c r="U3280">
        <v>0</v>
      </c>
      <c r="W3280" t="s">
        <v>106</v>
      </c>
      <c r="AS3280" t="s">
        <v>115</v>
      </c>
    </row>
    <row r="3281" spans="1:45" x14ac:dyDescent="0.35">
      <c r="A3281" t="s">
        <v>45</v>
      </c>
      <c r="B3281" t="s">
        <v>7399</v>
      </c>
      <c r="C3281" t="s">
        <v>47</v>
      </c>
      <c r="D3281" t="s">
        <v>45</v>
      </c>
      <c r="E3281" t="s">
        <v>45</v>
      </c>
      <c r="F3281" t="s">
        <v>49</v>
      </c>
      <c r="H3281" t="s">
        <v>7560</v>
      </c>
      <c r="J3281" t="str">
        <f>HYPERLINK("https://www.facebook.com/357267201017935_829645389177419","https://www.facebook.com/357267201017935_829645389177419")</f>
        <v>https://www.facebook.com/357267201017935_829645389177419</v>
      </c>
      <c r="O3281">
        <v>0</v>
      </c>
      <c r="P3281">
        <v>0</v>
      </c>
      <c r="Q3281">
        <v>0</v>
      </c>
      <c r="S3281">
        <v>0</v>
      </c>
      <c r="T3281">
        <v>0</v>
      </c>
      <c r="U3281">
        <v>0</v>
      </c>
      <c r="W3281" t="s">
        <v>106</v>
      </c>
      <c r="AS3281" t="s">
        <v>115</v>
      </c>
    </row>
    <row r="3282" spans="1:45" x14ac:dyDescent="0.35">
      <c r="A3282" t="s">
        <v>45</v>
      </c>
      <c r="B3282" t="s">
        <v>7399</v>
      </c>
      <c r="C3282" t="s">
        <v>47</v>
      </c>
      <c r="D3282" t="s">
        <v>7561</v>
      </c>
      <c r="E3282" t="s">
        <v>7561</v>
      </c>
      <c r="F3282" t="s">
        <v>49</v>
      </c>
      <c r="G3282" t="s">
        <v>131</v>
      </c>
      <c r="H3282" t="s">
        <v>7562</v>
      </c>
      <c r="J3282" t="str">
        <f>HYPERLINK("https://www.facebook.com/454965103328545/videos/3697954183759550?comment_id=853571276817700","https://www.facebook.com/454965103328545/videos/3697954183759550?comment_id=853571276817700")</f>
        <v>https://www.facebook.com/454965103328545/videos/3697954183759550?comment_id=853571276817700</v>
      </c>
      <c r="O3282">
        <v>0</v>
      </c>
      <c r="P3282">
        <v>0</v>
      </c>
      <c r="Q3282">
        <v>0</v>
      </c>
      <c r="S3282">
        <v>0</v>
      </c>
      <c r="T3282">
        <v>0</v>
      </c>
      <c r="U3282">
        <v>0</v>
      </c>
      <c r="W3282" t="s">
        <v>62</v>
      </c>
    </row>
    <row r="3283" spans="1:45" x14ac:dyDescent="0.35">
      <c r="A3283" t="s">
        <v>45</v>
      </c>
      <c r="B3283" t="s">
        <v>7399</v>
      </c>
      <c r="C3283" t="s">
        <v>47</v>
      </c>
      <c r="D3283" t="s">
        <v>7561</v>
      </c>
      <c r="E3283" t="s">
        <v>7561</v>
      </c>
      <c r="F3283" t="s">
        <v>49</v>
      </c>
      <c r="G3283" t="s">
        <v>7563</v>
      </c>
      <c r="H3283" t="s">
        <v>7562</v>
      </c>
      <c r="J3283" t="str">
        <f>HYPERLINK("https://www.facebook.com/454965103328545/videos/3697954183759550?comment_id=1520458155238570","https://www.facebook.com/454965103328545/videos/3697954183759550?comment_id=1520458155238570")</f>
        <v>https://www.facebook.com/454965103328545/videos/3697954183759550?comment_id=1520458155238570</v>
      </c>
      <c r="O3283">
        <v>0</v>
      </c>
      <c r="P3283">
        <v>0</v>
      </c>
      <c r="Q3283">
        <v>0</v>
      </c>
      <c r="S3283">
        <v>0</v>
      </c>
      <c r="T3283">
        <v>0</v>
      </c>
      <c r="U3283">
        <v>0</v>
      </c>
      <c r="W3283" t="s">
        <v>62</v>
      </c>
    </row>
    <row r="3284" spans="1:45" x14ac:dyDescent="0.35">
      <c r="A3284" t="s">
        <v>45</v>
      </c>
      <c r="B3284" t="s">
        <v>7399</v>
      </c>
      <c r="C3284" t="s">
        <v>47</v>
      </c>
      <c r="D3284" t="s">
        <v>7564</v>
      </c>
      <c r="E3284" t="s">
        <v>7564</v>
      </c>
      <c r="F3284" t="s">
        <v>49</v>
      </c>
      <c r="G3284" t="s">
        <v>7565</v>
      </c>
      <c r="H3284" t="s">
        <v>7566</v>
      </c>
      <c r="J3284" t="str">
        <f>HYPERLINK("https://www.facebook.com/454965103328545/posts/755939476564438?comment_id=2293332417724596","https://www.facebook.com/454965103328545/posts/755939476564438?comment_id=2293332417724596")</f>
        <v>https://www.facebook.com/454965103328545/posts/755939476564438?comment_id=2293332417724596</v>
      </c>
      <c r="O3284">
        <v>0</v>
      </c>
      <c r="P3284">
        <v>0</v>
      </c>
      <c r="Q3284">
        <v>0</v>
      </c>
      <c r="S3284">
        <v>0</v>
      </c>
      <c r="T3284">
        <v>0</v>
      </c>
      <c r="U3284">
        <v>0</v>
      </c>
      <c r="W3284" t="s">
        <v>62</v>
      </c>
    </row>
    <row r="3285" spans="1:45" x14ac:dyDescent="0.35">
      <c r="A3285" t="s">
        <v>45</v>
      </c>
      <c r="B3285" t="s">
        <v>7399</v>
      </c>
      <c r="C3285" t="s">
        <v>47</v>
      </c>
      <c r="D3285" t="s">
        <v>7567</v>
      </c>
      <c r="E3285" t="s">
        <v>7567</v>
      </c>
      <c r="F3285" t="s">
        <v>49</v>
      </c>
      <c r="G3285" t="s">
        <v>7568</v>
      </c>
      <c r="H3285" t="s">
        <v>7569</v>
      </c>
      <c r="J3285" t="str">
        <f>HYPERLINK("https://www.facebook.com/454965103328545/posts/763715162453536?comment_id=1060793088510748","https://www.facebook.com/454965103328545/posts/763715162453536?comment_id=1060793088510748")</f>
        <v>https://www.facebook.com/454965103328545/posts/763715162453536?comment_id=1060793088510748</v>
      </c>
      <c r="O3285">
        <v>0</v>
      </c>
      <c r="P3285">
        <v>0</v>
      </c>
      <c r="Q3285">
        <v>0</v>
      </c>
      <c r="S3285">
        <v>0</v>
      </c>
      <c r="T3285">
        <v>0</v>
      </c>
      <c r="U3285">
        <v>0</v>
      </c>
      <c r="W3285" t="s">
        <v>62</v>
      </c>
      <c r="AP3285" t="s">
        <v>94</v>
      </c>
    </row>
    <row r="3286" spans="1:45" x14ac:dyDescent="0.35">
      <c r="A3286" t="s">
        <v>45</v>
      </c>
      <c r="B3286" t="s">
        <v>7399</v>
      </c>
      <c r="C3286" t="s">
        <v>58</v>
      </c>
      <c r="D3286" t="s">
        <v>2862</v>
      </c>
      <c r="E3286" t="s">
        <v>2862</v>
      </c>
      <c r="F3286" t="s">
        <v>49</v>
      </c>
      <c r="G3286" t="s">
        <v>7570</v>
      </c>
      <c r="H3286" t="s">
        <v>7571</v>
      </c>
      <c r="J3286" t="str">
        <f>HYPERLINK("https://www.youtube.com/watch?v=36F8oxUIp7M","https://www.youtube.com/watch?v=36F8oxUIp7M")</f>
        <v>https://www.youtube.com/watch?v=36F8oxUIp7M</v>
      </c>
      <c r="O3286">
        <v>0</v>
      </c>
      <c r="P3286">
        <v>0</v>
      </c>
      <c r="Q3286">
        <v>0</v>
      </c>
      <c r="S3286">
        <v>0</v>
      </c>
      <c r="T3286">
        <v>0</v>
      </c>
      <c r="U3286">
        <v>0</v>
      </c>
      <c r="W3286" t="s">
        <v>106</v>
      </c>
    </row>
    <row r="3287" spans="1:45" x14ac:dyDescent="0.35">
      <c r="A3287" t="s">
        <v>45</v>
      </c>
      <c r="B3287" t="s">
        <v>7399</v>
      </c>
      <c r="C3287" t="s">
        <v>58</v>
      </c>
      <c r="D3287" t="s">
        <v>7572</v>
      </c>
      <c r="E3287" t="s">
        <v>7572</v>
      </c>
      <c r="F3287" t="s">
        <v>49</v>
      </c>
      <c r="G3287" t="s">
        <v>7573</v>
      </c>
      <c r="H3287" t="s">
        <v>7574</v>
      </c>
      <c r="J3287" t="str">
        <f>HYPERLINK("https://www.youtube.com/watch?v=t1Ord-ljJOQ","https://www.youtube.com/watch?v=t1Ord-ljJOQ")</f>
        <v>https://www.youtube.com/watch?v=t1Ord-ljJOQ</v>
      </c>
      <c r="O3287">
        <v>0</v>
      </c>
      <c r="P3287">
        <v>0</v>
      </c>
      <c r="Q3287">
        <v>0</v>
      </c>
      <c r="S3287">
        <v>0</v>
      </c>
      <c r="T3287">
        <v>0</v>
      </c>
      <c r="U3287">
        <v>0</v>
      </c>
      <c r="W3287" t="s">
        <v>106</v>
      </c>
    </row>
    <row r="3288" spans="1:45" x14ac:dyDescent="0.35">
      <c r="A3288" t="s">
        <v>45</v>
      </c>
      <c r="B3288" t="s">
        <v>7399</v>
      </c>
      <c r="C3288" t="s">
        <v>47</v>
      </c>
      <c r="D3288" t="s">
        <v>7575</v>
      </c>
      <c r="E3288" t="s">
        <v>7575</v>
      </c>
      <c r="F3288" t="s">
        <v>49</v>
      </c>
      <c r="G3288" t="s">
        <v>7576</v>
      </c>
      <c r="H3288" t="s">
        <v>7577</v>
      </c>
      <c r="J3288" t="str">
        <f>HYPERLINK("https://www.facebook.com/454965103328545/videos/3697954183759550?comment_id=382839131016024","https://www.facebook.com/454965103328545/videos/3697954183759550?comment_id=382839131016024")</f>
        <v>https://www.facebook.com/454965103328545/videos/3697954183759550?comment_id=382839131016024</v>
      </c>
      <c r="O3288">
        <v>0</v>
      </c>
      <c r="P3288">
        <v>0</v>
      </c>
      <c r="Q3288">
        <v>0</v>
      </c>
      <c r="S3288">
        <v>0</v>
      </c>
      <c r="T3288">
        <v>0</v>
      </c>
      <c r="U3288">
        <v>0</v>
      </c>
      <c r="W3288" t="s">
        <v>62</v>
      </c>
    </row>
    <row r="3289" spans="1:45" x14ac:dyDescent="0.35">
      <c r="A3289" t="s">
        <v>45</v>
      </c>
      <c r="B3289" t="s">
        <v>7399</v>
      </c>
      <c r="C3289" t="s">
        <v>47</v>
      </c>
      <c r="D3289" t="s">
        <v>7575</v>
      </c>
      <c r="E3289" t="s">
        <v>7575</v>
      </c>
      <c r="F3289" t="s">
        <v>49</v>
      </c>
      <c r="G3289" t="s">
        <v>7578</v>
      </c>
      <c r="H3289" t="s">
        <v>7579</v>
      </c>
      <c r="J3289" t="str">
        <f>HYPERLINK("https://www.facebook.com/454965103328545/videos/3697954183759550?comment_id=1056083662362981","https://www.facebook.com/454965103328545/videos/3697954183759550?comment_id=1056083662362981")</f>
        <v>https://www.facebook.com/454965103328545/videos/3697954183759550?comment_id=1056083662362981</v>
      </c>
      <c r="O3289">
        <v>0</v>
      </c>
      <c r="P3289">
        <v>0</v>
      </c>
      <c r="Q3289">
        <v>0</v>
      </c>
      <c r="S3289">
        <v>0</v>
      </c>
      <c r="T3289">
        <v>0</v>
      </c>
      <c r="U3289">
        <v>0</v>
      </c>
      <c r="W3289" t="s">
        <v>62</v>
      </c>
    </row>
    <row r="3290" spans="1:45" x14ac:dyDescent="0.35">
      <c r="A3290" t="s">
        <v>45</v>
      </c>
      <c r="B3290" t="s">
        <v>7399</v>
      </c>
      <c r="C3290" t="s">
        <v>47</v>
      </c>
      <c r="D3290" t="s">
        <v>7580</v>
      </c>
      <c r="E3290" t="s">
        <v>7580</v>
      </c>
      <c r="F3290" t="s">
        <v>49</v>
      </c>
      <c r="G3290" t="s">
        <v>7581</v>
      </c>
      <c r="H3290" t="s">
        <v>7582</v>
      </c>
      <c r="J3290" t="str">
        <f>HYPERLINK("https://www.facebook.com/357267201017935/inbox/6999009510176971/","https://www.facebook.com/357267201017935/inbox/6999009510176971/")</f>
        <v>https://www.facebook.com/357267201017935/inbox/6999009510176971/</v>
      </c>
      <c r="O3290">
        <v>0</v>
      </c>
      <c r="P3290">
        <v>0</v>
      </c>
      <c r="Q3290">
        <v>0</v>
      </c>
      <c r="S3290">
        <v>0</v>
      </c>
      <c r="T3290">
        <v>0</v>
      </c>
      <c r="U3290">
        <v>0</v>
      </c>
      <c r="W3290" t="s">
        <v>52</v>
      </c>
      <c r="AP3290" t="s">
        <v>94</v>
      </c>
    </row>
    <row r="3291" spans="1:45" x14ac:dyDescent="0.35">
      <c r="A3291" t="s">
        <v>45</v>
      </c>
      <c r="B3291" t="s">
        <v>7399</v>
      </c>
      <c r="C3291" t="s">
        <v>58</v>
      </c>
      <c r="D3291" t="s">
        <v>7583</v>
      </c>
      <c r="E3291" t="s">
        <v>7583</v>
      </c>
      <c r="F3291" t="s">
        <v>142</v>
      </c>
      <c r="G3291" t="s">
        <v>7584</v>
      </c>
      <c r="H3291" t="s">
        <v>7585</v>
      </c>
      <c r="J3291" t="str">
        <f>HYPERLINK("https://www.youtube.com/watch?v=4zQT3HeXyMk","https://www.youtube.com/watch?v=4zQT3HeXyMk")</f>
        <v>https://www.youtube.com/watch?v=4zQT3HeXyMk</v>
      </c>
      <c r="O3291">
        <v>0</v>
      </c>
      <c r="P3291">
        <v>0</v>
      </c>
      <c r="Q3291">
        <v>0</v>
      </c>
      <c r="S3291">
        <v>0</v>
      </c>
      <c r="T3291">
        <v>0</v>
      </c>
      <c r="U3291">
        <v>0</v>
      </c>
      <c r="W3291" t="s">
        <v>106</v>
      </c>
      <c r="AP3291" t="s">
        <v>147</v>
      </c>
    </row>
    <row r="3292" spans="1:45" x14ac:dyDescent="0.35">
      <c r="A3292" t="s">
        <v>45</v>
      </c>
      <c r="B3292" t="s">
        <v>7399</v>
      </c>
      <c r="C3292" t="s">
        <v>47</v>
      </c>
      <c r="D3292" t="s">
        <v>7586</v>
      </c>
      <c r="E3292" t="s">
        <v>7586</v>
      </c>
      <c r="F3292" t="s">
        <v>49</v>
      </c>
      <c r="G3292" t="s">
        <v>7587</v>
      </c>
      <c r="H3292" t="s">
        <v>7588</v>
      </c>
      <c r="J3292" t="str">
        <f>HYPERLINK("https://www.facebook.com/454965103328545/posts/763233329168386?comment_id=1742307686290860","https://www.facebook.com/454965103328545/posts/763233329168386?comment_id=1742307686290860")</f>
        <v>https://www.facebook.com/454965103328545/posts/763233329168386?comment_id=1742307686290860</v>
      </c>
      <c r="O3292">
        <v>0</v>
      </c>
      <c r="P3292">
        <v>0</v>
      </c>
      <c r="Q3292">
        <v>0</v>
      </c>
      <c r="S3292">
        <v>0</v>
      </c>
      <c r="T3292">
        <v>0</v>
      </c>
      <c r="U3292">
        <v>0</v>
      </c>
      <c r="W3292" t="s">
        <v>62</v>
      </c>
    </row>
    <row r="3293" spans="1:45" x14ac:dyDescent="0.35">
      <c r="A3293" t="s">
        <v>45</v>
      </c>
      <c r="B3293" t="s">
        <v>7399</v>
      </c>
      <c r="C3293" t="s">
        <v>47</v>
      </c>
      <c r="D3293" t="s">
        <v>7589</v>
      </c>
      <c r="E3293" t="s">
        <v>7589</v>
      </c>
      <c r="F3293" t="s">
        <v>49</v>
      </c>
      <c r="G3293" t="s">
        <v>7590</v>
      </c>
      <c r="H3293" t="s">
        <v>7591</v>
      </c>
      <c r="J3293" t="str">
        <f>HYPERLINK("https://www.facebook.com/454965103328545/posts/763871475771238?comment_id=911116640411601","https://www.facebook.com/454965103328545/posts/763871475771238?comment_id=911116640411601")</f>
        <v>https://www.facebook.com/454965103328545/posts/763871475771238?comment_id=911116640411601</v>
      </c>
      <c r="O3293">
        <v>0</v>
      </c>
      <c r="P3293">
        <v>0</v>
      </c>
      <c r="Q3293">
        <v>0</v>
      </c>
      <c r="S3293">
        <v>0</v>
      </c>
      <c r="T3293">
        <v>0</v>
      </c>
      <c r="U3293">
        <v>0</v>
      </c>
      <c r="W3293" t="s">
        <v>62</v>
      </c>
    </row>
    <row r="3294" spans="1:45" x14ac:dyDescent="0.35">
      <c r="A3294" t="s">
        <v>45</v>
      </c>
      <c r="B3294" t="s">
        <v>7399</v>
      </c>
      <c r="C3294" t="s">
        <v>47</v>
      </c>
      <c r="D3294" t="s">
        <v>45</v>
      </c>
      <c r="E3294" t="s">
        <v>45</v>
      </c>
      <c r="F3294" t="s">
        <v>49</v>
      </c>
      <c r="G3294" t="s">
        <v>7592</v>
      </c>
      <c r="H3294" t="s">
        <v>7593</v>
      </c>
      <c r="J3294" t="str">
        <f>HYPERLINK("https://www.facebook.com/357267201017935/inbox/6999009510176971/","https://www.facebook.com/357267201017935/inbox/6999009510176971/")</f>
        <v>https://www.facebook.com/357267201017935/inbox/6999009510176971/</v>
      </c>
      <c r="O3294">
        <v>0</v>
      </c>
      <c r="P3294">
        <v>0</v>
      </c>
      <c r="Q3294">
        <v>0</v>
      </c>
      <c r="S3294">
        <v>0</v>
      </c>
      <c r="T3294">
        <v>0</v>
      </c>
      <c r="U3294">
        <v>0</v>
      </c>
      <c r="W3294" t="s">
        <v>52</v>
      </c>
    </row>
    <row r="3295" spans="1:45" x14ac:dyDescent="0.35">
      <c r="A3295" t="s">
        <v>45</v>
      </c>
      <c r="B3295" t="s">
        <v>7399</v>
      </c>
      <c r="C3295" t="s">
        <v>139</v>
      </c>
      <c r="D3295" t="s">
        <v>190</v>
      </c>
      <c r="E3295" t="s">
        <v>45</v>
      </c>
      <c r="F3295" t="s">
        <v>49</v>
      </c>
      <c r="G3295" t="s">
        <v>7594</v>
      </c>
      <c r="H3295" t="s">
        <v>7595</v>
      </c>
      <c r="J3295" t="str">
        <f>HYPERLINK("https://twitter.com/FinoPaymntsBank/status/1754330010780082647","https://twitter.com/FinoPaymntsBank/status/1754330010780082647")</f>
        <v>https://twitter.com/FinoPaymntsBank/status/1754330010780082647</v>
      </c>
      <c r="K3295" t="s">
        <v>145</v>
      </c>
      <c r="O3295">
        <v>0</v>
      </c>
      <c r="P3295">
        <v>0</v>
      </c>
      <c r="Q3295">
        <v>8361</v>
      </c>
      <c r="R3295" t="s">
        <v>193</v>
      </c>
      <c r="S3295">
        <v>0</v>
      </c>
      <c r="T3295">
        <v>0</v>
      </c>
      <c r="U3295">
        <v>0</v>
      </c>
      <c r="W3295" t="s">
        <v>146</v>
      </c>
    </row>
    <row r="3296" spans="1:45" x14ac:dyDescent="0.35">
      <c r="A3296" t="s">
        <v>45</v>
      </c>
      <c r="B3296" t="s">
        <v>7399</v>
      </c>
      <c r="C3296" t="s">
        <v>47</v>
      </c>
      <c r="D3296" t="s">
        <v>7596</v>
      </c>
      <c r="E3296" t="s">
        <v>7596</v>
      </c>
      <c r="F3296" t="s">
        <v>49</v>
      </c>
      <c r="G3296" t="s">
        <v>7597</v>
      </c>
      <c r="H3296" t="s">
        <v>7598</v>
      </c>
      <c r="J3296" t="str">
        <f>HYPERLINK("https://www.facebook.com/454965103328545/posts/763285952496457?comment_id=3583865528597266&amp;reply_comment_id=1521774331767625","https://www.facebook.com/454965103328545/posts/763285952496457?comment_id=3583865528597266&amp;reply_comment_id=1521774331767625")</f>
        <v>https://www.facebook.com/454965103328545/posts/763285952496457?comment_id=3583865528597266&amp;reply_comment_id=1521774331767625</v>
      </c>
      <c r="O3296">
        <v>0</v>
      </c>
      <c r="P3296">
        <v>0</v>
      </c>
      <c r="Q3296">
        <v>0</v>
      </c>
      <c r="S3296">
        <v>0</v>
      </c>
      <c r="T3296">
        <v>0</v>
      </c>
      <c r="U3296">
        <v>0</v>
      </c>
      <c r="W3296" t="s">
        <v>62</v>
      </c>
    </row>
    <row r="3297" spans="1:23" x14ac:dyDescent="0.35">
      <c r="A3297" t="s">
        <v>45</v>
      </c>
      <c r="B3297" t="s">
        <v>7399</v>
      </c>
      <c r="C3297" t="s">
        <v>47</v>
      </c>
      <c r="D3297" t="s">
        <v>45</v>
      </c>
      <c r="E3297" t="s">
        <v>45</v>
      </c>
      <c r="F3297" t="s">
        <v>49</v>
      </c>
      <c r="G3297" t="s">
        <v>7599</v>
      </c>
      <c r="H3297" t="s">
        <v>7600</v>
      </c>
      <c r="J3297" t="str">
        <f>HYPERLINK("https://www.facebook.com/357267201017935/inbox/6995895420488380/","https://www.facebook.com/357267201017935/inbox/6995895420488380/")</f>
        <v>https://www.facebook.com/357267201017935/inbox/6995895420488380/</v>
      </c>
      <c r="O3297">
        <v>0</v>
      </c>
      <c r="P3297">
        <v>0</v>
      </c>
      <c r="Q3297">
        <v>0</v>
      </c>
      <c r="S3297">
        <v>0</v>
      </c>
      <c r="T3297">
        <v>0</v>
      </c>
      <c r="U3297">
        <v>0</v>
      </c>
      <c r="W3297" t="s">
        <v>52</v>
      </c>
    </row>
    <row r="3298" spans="1:23" x14ac:dyDescent="0.35">
      <c r="A3298" t="s">
        <v>45</v>
      </c>
      <c r="B3298" t="s">
        <v>7399</v>
      </c>
      <c r="C3298" t="s">
        <v>47</v>
      </c>
      <c r="D3298" t="s">
        <v>7601</v>
      </c>
      <c r="E3298" t="s">
        <v>7601</v>
      </c>
      <c r="F3298" t="s">
        <v>49</v>
      </c>
      <c r="G3298" t="s">
        <v>7602</v>
      </c>
      <c r="H3298" t="s">
        <v>7603</v>
      </c>
      <c r="J3298" t="str">
        <f>HYPERLINK("https://www.facebook.com/454965103328545/videos/3697954183759550?comment_id=1381732646043074&amp;reply_comment_id=1889853208139667","https://www.facebook.com/454965103328545/videos/3697954183759550?comment_id=1381732646043074&amp;reply_comment_id=1889853208139667")</f>
        <v>https://www.facebook.com/454965103328545/videos/3697954183759550?comment_id=1381732646043074&amp;reply_comment_id=1889853208139667</v>
      </c>
      <c r="O3298">
        <v>0</v>
      </c>
      <c r="P3298">
        <v>0</v>
      </c>
      <c r="Q3298">
        <v>0</v>
      </c>
      <c r="S3298">
        <v>0</v>
      </c>
      <c r="T3298">
        <v>0</v>
      </c>
      <c r="U3298">
        <v>0</v>
      </c>
      <c r="W3298" t="s">
        <v>62</v>
      </c>
    </row>
    <row r="3299" spans="1:23" x14ac:dyDescent="0.35">
      <c r="A3299" t="s">
        <v>45</v>
      </c>
      <c r="B3299" t="s">
        <v>7399</v>
      </c>
      <c r="C3299" t="s">
        <v>47</v>
      </c>
      <c r="D3299" t="s">
        <v>45</v>
      </c>
      <c r="E3299" t="s">
        <v>45</v>
      </c>
      <c r="F3299" t="s">
        <v>49</v>
      </c>
      <c r="G3299" t="s">
        <v>7604</v>
      </c>
      <c r="H3299" t="s">
        <v>7605</v>
      </c>
      <c r="J3299" t="str">
        <f>HYPERLINK("https://www.facebook.com/454965103328545/videos/3697954183759550?comment_id=942114690767395&amp;reply_comment_id=422169686833799","https://www.facebook.com/454965103328545/videos/3697954183759550?comment_id=942114690767395&amp;reply_comment_id=422169686833799")</f>
        <v>https://www.facebook.com/454965103328545/videos/3697954183759550?comment_id=942114690767395&amp;reply_comment_id=422169686833799</v>
      </c>
      <c r="O3299">
        <v>0</v>
      </c>
      <c r="P3299">
        <v>0</v>
      </c>
      <c r="Q3299">
        <v>0</v>
      </c>
      <c r="S3299">
        <v>0</v>
      </c>
      <c r="T3299">
        <v>0</v>
      </c>
      <c r="U3299">
        <v>0</v>
      </c>
      <c r="W3299" t="s">
        <v>62</v>
      </c>
    </row>
    <row r="3300" spans="1:23" x14ac:dyDescent="0.35">
      <c r="A3300" t="s">
        <v>45</v>
      </c>
      <c r="B3300" t="s">
        <v>7399</v>
      </c>
      <c r="C3300" t="s">
        <v>139</v>
      </c>
      <c r="D3300" t="s">
        <v>190</v>
      </c>
      <c r="E3300" t="s">
        <v>45</v>
      </c>
      <c r="F3300" t="s">
        <v>49</v>
      </c>
      <c r="G3300" t="s">
        <v>7606</v>
      </c>
      <c r="H3300" t="s">
        <v>7607</v>
      </c>
      <c r="J3300" t="str">
        <f>HYPERLINK("https://twitter.com/FinoPaymntsBank/status/1754328469457305959","https://twitter.com/FinoPaymntsBank/status/1754328469457305959")</f>
        <v>https://twitter.com/FinoPaymntsBank/status/1754328469457305959</v>
      </c>
      <c r="K3300" t="s">
        <v>145</v>
      </c>
      <c r="O3300">
        <v>0</v>
      </c>
      <c r="P3300">
        <v>0</v>
      </c>
      <c r="Q3300">
        <v>8361</v>
      </c>
      <c r="R3300" t="s">
        <v>193</v>
      </c>
      <c r="S3300">
        <v>0</v>
      </c>
      <c r="T3300">
        <v>0</v>
      </c>
      <c r="U3300">
        <v>0</v>
      </c>
      <c r="W3300" t="s">
        <v>146</v>
      </c>
    </row>
    <row r="3301" spans="1:23" x14ac:dyDescent="0.35">
      <c r="A3301" t="s">
        <v>45</v>
      </c>
      <c r="B3301" t="s">
        <v>7399</v>
      </c>
      <c r="C3301" t="s">
        <v>47</v>
      </c>
      <c r="D3301" t="s">
        <v>45</v>
      </c>
      <c r="E3301" t="s">
        <v>45</v>
      </c>
      <c r="F3301" t="s">
        <v>49</v>
      </c>
      <c r="G3301" t="s">
        <v>7608</v>
      </c>
      <c r="H3301" t="s">
        <v>7609</v>
      </c>
      <c r="J3301" t="str">
        <f>HYPERLINK("https://www.facebook.com/454965103328545/videos/3697954183759550?comment_id=3348966492062165&amp;reply_comment_id=379337368120043","https://www.facebook.com/454965103328545/videos/3697954183759550?comment_id=3348966492062165&amp;reply_comment_id=379337368120043")</f>
        <v>https://www.facebook.com/454965103328545/videos/3697954183759550?comment_id=3348966492062165&amp;reply_comment_id=379337368120043</v>
      </c>
      <c r="O3301">
        <v>0</v>
      </c>
      <c r="P3301">
        <v>0</v>
      </c>
      <c r="Q3301">
        <v>0</v>
      </c>
      <c r="S3301">
        <v>0</v>
      </c>
      <c r="T3301">
        <v>0</v>
      </c>
      <c r="U3301">
        <v>0</v>
      </c>
      <c r="W3301" t="s">
        <v>62</v>
      </c>
    </row>
    <row r="3302" spans="1:23" x14ac:dyDescent="0.35">
      <c r="A3302" t="s">
        <v>45</v>
      </c>
      <c r="B3302" t="s">
        <v>7399</v>
      </c>
      <c r="C3302" t="s">
        <v>47</v>
      </c>
      <c r="D3302" t="s">
        <v>45</v>
      </c>
      <c r="E3302" t="s">
        <v>45</v>
      </c>
      <c r="F3302" t="s">
        <v>49</v>
      </c>
      <c r="G3302" t="s">
        <v>7610</v>
      </c>
      <c r="H3302" t="s">
        <v>7611</v>
      </c>
      <c r="J3302" t="str">
        <f>HYPERLINK("https://www.facebook.com/357267201017935/inbox/6995895420488380/","https://www.facebook.com/357267201017935/inbox/6995895420488380/")</f>
        <v>https://www.facebook.com/357267201017935/inbox/6995895420488380/</v>
      </c>
      <c r="O3302">
        <v>0</v>
      </c>
      <c r="P3302">
        <v>0</v>
      </c>
      <c r="Q3302">
        <v>0</v>
      </c>
      <c r="S3302">
        <v>0</v>
      </c>
      <c r="T3302">
        <v>0</v>
      </c>
      <c r="U3302">
        <v>0</v>
      </c>
      <c r="W3302" t="s">
        <v>52</v>
      </c>
    </row>
    <row r="3303" spans="1:23" x14ac:dyDescent="0.35">
      <c r="A3303" t="s">
        <v>45</v>
      </c>
      <c r="B3303" t="s">
        <v>7399</v>
      </c>
      <c r="C3303" t="s">
        <v>47</v>
      </c>
      <c r="D3303" t="s">
        <v>45</v>
      </c>
      <c r="E3303" t="s">
        <v>45</v>
      </c>
      <c r="F3303" t="s">
        <v>49</v>
      </c>
      <c r="G3303" t="s">
        <v>7612</v>
      </c>
      <c r="H3303" t="s">
        <v>7613</v>
      </c>
      <c r="J3303" t="str">
        <f>HYPERLINK("https://www.facebook.com/454965103328545/posts/763871475771238?comment_id=759765885613073&amp;reply_comment_id=687503573597406","https://www.facebook.com/454965103328545/posts/763871475771238?comment_id=759765885613073&amp;reply_comment_id=687503573597406")</f>
        <v>https://www.facebook.com/454965103328545/posts/763871475771238?comment_id=759765885613073&amp;reply_comment_id=687503573597406</v>
      </c>
      <c r="O3303">
        <v>0</v>
      </c>
      <c r="P3303">
        <v>0</v>
      </c>
      <c r="Q3303">
        <v>0</v>
      </c>
      <c r="S3303">
        <v>0</v>
      </c>
      <c r="T3303">
        <v>0</v>
      </c>
      <c r="U3303">
        <v>0</v>
      </c>
      <c r="W3303" t="s">
        <v>62</v>
      </c>
    </row>
    <row r="3304" spans="1:23" x14ac:dyDescent="0.35">
      <c r="A3304" t="s">
        <v>45</v>
      </c>
      <c r="B3304" t="s">
        <v>7399</v>
      </c>
      <c r="C3304" t="s">
        <v>47</v>
      </c>
      <c r="D3304" t="s">
        <v>45</v>
      </c>
      <c r="E3304" t="s">
        <v>45</v>
      </c>
      <c r="F3304" t="s">
        <v>49</v>
      </c>
      <c r="G3304" t="s">
        <v>7614</v>
      </c>
      <c r="H3304" t="s">
        <v>7615</v>
      </c>
      <c r="J3304" t="str">
        <f>HYPERLINK("https://www.facebook.com/454965103328545/videos/3697954183759550?comment_id=1590463551725664&amp;reply_comment_id=2059845867717451","https://www.facebook.com/454965103328545/videos/3697954183759550?comment_id=1590463551725664&amp;reply_comment_id=2059845867717451")</f>
        <v>https://www.facebook.com/454965103328545/videos/3697954183759550?comment_id=1590463551725664&amp;reply_comment_id=2059845867717451</v>
      </c>
      <c r="O3304">
        <v>0</v>
      </c>
      <c r="P3304">
        <v>0</v>
      </c>
      <c r="Q3304">
        <v>0</v>
      </c>
      <c r="S3304">
        <v>0</v>
      </c>
      <c r="T3304">
        <v>0</v>
      </c>
      <c r="U3304">
        <v>0</v>
      </c>
      <c r="W3304" t="s">
        <v>62</v>
      </c>
    </row>
    <row r="3305" spans="1:23" x14ac:dyDescent="0.35">
      <c r="A3305" t="s">
        <v>45</v>
      </c>
      <c r="B3305" t="s">
        <v>7399</v>
      </c>
      <c r="C3305" t="s">
        <v>47</v>
      </c>
      <c r="D3305" t="s">
        <v>45</v>
      </c>
      <c r="E3305" t="s">
        <v>45</v>
      </c>
      <c r="F3305" t="s">
        <v>49</v>
      </c>
      <c r="G3305" t="s">
        <v>7616</v>
      </c>
      <c r="H3305" t="s">
        <v>7617</v>
      </c>
      <c r="J3305" t="str">
        <f>HYPERLINK("https://www.facebook.com/357267201017935/inbox/6996688000409122/","https://www.facebook.com/357267201017935/inbox/6996688000409122/")</f>
        <v>https://www.facebook.com/357267201017935/inbox/6996688000409122/</v>
      </c>
      <c r="O3305">
        <v>0</v>
      </c>
      <c r="P3305">
        <v>0</v>
      </c>
      <c r="Q3305">
        <v>0</v>
      </c>
      <c r="S3305">
        <v>0</v>
      </c>
      <c r="T3305">
        <v>0</v>
      </c>
      <c r="U3305">
        <v>0</v>
      </c>
      <c r="W3305" t="s">
        <v>52</v>
      </c>
    </row>
    <row r="3306" spans="1:23" x14ac:dyDescent="0.35">
      <c r="A3306" t="s">
        <v>45</v>
      </c>
      <c r="B3306" t="s">
        <v>7399</v>
      </c>
      <c r="C3306" t="s">
        <v>47</v>
      </c>
      <c r="D3306" t="s">
        <v>45</v>
      </c>
      <c r="E3306" t="s">
        <v>45</v>
      </c>
      <c r="F3306" t="s">
        <v>49</v>
      </c>
      <c r="G3306" t="s">
        <v>7618</v>
      </c>
      <c r="H3306" t="s">
        <v>7619</v>
      </c>
      <c r="J3306" t="str">
        <f>HYPERLINK("https://www.facebook.com/454965103328545/videos/3697954183759550?comment_id=1105214893952061&amp;reply_comment_id=295466793178182","https://www.facebook.com/454965103328545/videos/3697954183759550?comment_id=1105214893952061&amp;reply_comment_id=295466793178182")</f>
        <v>https://www.facebook.com/454965103328545/videos/3697954183759550?comment_id=1105214893952061&amp;reply_comment_id=295466793178182</v>
      </c>
      <c r="O3306">
        <v>0</v>
      </c>
      <c r="P3306">
        <v>0</v>
      </c>
      <c r="Q3306">
        <v>0</v>
      </c>
      <c r="S3306">
        <v>0</v>
      </c>
      <c r="T3306">
        <v>0</v>
      </c>
      <c r="U3306">
        <v>0</v>
      </c>
      <c r="W3306" t="s">
        <v>62</v>
      </c>
    </row>
    <row r="3307" spans="1:23" x14ac:dyDescent="0.35">
      <c r="A3307" t="s">
        <v>45</v>
      </c>
      <c r="B3307" t="s">
        <v>7399</v>
      </c>
      <c r="C3307" t="s">
        <v>47</v>
      </c>
      <c r="D3307" t="s">
        <v>45</v>
      </c>
      <c r="E3307" t="s">
        <v>45</v>
      </c>
      <c r="F3307" t="s">
        <v>49</v>
      </c>
      <c r="G3307" t="s">
        <v>7620</v>
      </c>
      <c r="H3307" t="s">
        <v>7621</v>
      </c>
      <c r="J3307" t="str">
        <f>HYPERLINK("https://www.facebook.com/454965103328545/videos/3697954183759550?comment_id=1857303111371878&amp;reply_comment_id=1106462460483769","https://www.facebook.com/454965103328545/videos/3697954183759550?comment_id=1857303111371878&amp;reply_comment_id=1106462460483769")</f>
        <v>https://www.facebook.com/454965103328545/videos/3697954183759550?comment_id=1857303111371878&amp;reply_comment_id=1106462460483769</v>
      </c>
      <c r="O3307">
        <v>0</v>
      </c>
      <c r="P3307">
        <v>0</v>
      </c>
      <c r="Q3307">
        <v>0</v>
      </c>
      <c r="S3307">
        <v>0</v>
      </c>
      <c r="T3307">
        <v>0</v>
      </c>
      <c r="U3307">
        <v>0</v>
      </c>
      <c r="W3307" t="s">
        <v>62</v>
      </c>
    </row>
    <row r="3308" spans="1:23" x14ac:dyDescent="0.35">
      <c r="A3308" t="s">
        <v>45</v>
      </c>
      <c r="B3308" t="s">
        <v>7399</v>
      </c>
      <c r="C3308" t="s">
        <v>139</v>
      </c>
      <c r="D3308" t="s">
        <v>190</v>
      </c>
      <c r="E3308" t="s">
        <v>45</v>
      </c>
      <c r="F3308" t="s">
        <v>49</v>
      </c>
      <c r="G3308" t="s">
        <v>7622</v>
      </c>
      <c r="H3308" t="s">
        <v>7623</v>
      </c>
      <c r="J3308" t="str">
        <f>HYPERLINK("https://twitter.com/FinoPaymntsBank/status/1754326315971514860","https://twitter.com/FinoPaymntsBank/status/1754326315971514860")</f>
        <v>https://twitter.com/FinoPaymntsBank/status/1754326315971514860</v>
      </c>
      <c r="K3308" t="s">
        <v>145</v>
      </c>
      <c r="O3308">
        <v>0</v>
      </c>
      <c r="P3308">
        <v>0</v>
      </c>
      <c r="Q3308">
        <v>8361</v>
      </c>
      <c r="R3308" t="s">
        <v>193</v>
      </c>
      <c r="S3308">
        <v>0</v>
      </c>
      <c r="T3308">
        <v>0</v>
      </c>
      <c r="U3308">
        <v>0</v>
      </c>
      <c r="W3308" t="s">
        <v>146</v>
      </c>
    </row>
    <row r="3309" spans="1:23" x14ac:dyDescent="0.35">
      <c r="A3309" t="s">
        <v>45</v>
      </c>
      <c r="B3309" t="s">
        <v>7399</v>
      </c>
      <c r="C3309" t="s">
        <v>47</v>
      </c>
      <c r="D3309" t="s">
        <v>45</v>
      </c>
      <c r="E3309" t="s">
        <v>45</v>
      </c>
      <c r="F3309" t="s">
        <v>49</v>
      </c>
      <c r="G3309" t="s">
        <v>7624</v>
      </c>
      <c r="H3309" t="s">
        <v>7625</v>
      </c>
      <c r="J3309" t="str">
        <f>HYPERLINK("https://www.facebook.com/454965103328545/posts/763307319160987?comment_id=415559827484878&amp;reply_comment_id=1760474141110441","https://www.facebook.com/454965103328545/posts/763307319160987?comment_id=415559827484878&amp;reply_comment_id=1760474141110441")</f>
        <v>https://www.facebook.com/454965103328545/posts/763307319160987?comment_id=415559827484878&amp;reply_comment_id=1760474141110441</v>
      </c>
      <c r="O3309">
        <v>0</v>
      </c>
      <c r="P3309">
        <v>0</v>
      </c>
      <c r="Q3309">
        <v>0</v>
      </c>
      <c r="S3309">
        <v>0</v>
      </c>
      <c r="T3309">
        <v>0</v>
      </c>
      <c r="U3309">
        <v>0</v>
      </c>
      <c r="W3309" t="s">
        <v>62</v>
      </c>
    </row>
    <row r="3310" spans="1:23" x14ac:dyDescent="0.35">
      <c r="A3310" t="s">
        <v>45</v>
      </c>
      <c r="B3310" t="s">
        <v>7399</v>
      </c>
      <c r="C3310" t="s">
        <v>47</v>
      </c>
      <c r="D3310" t="s">
        <v>45</v>
      </c>
      <c r="E3310" t="s">
        <v>45</v>
      </c>
      <c r="F3310" t="s">
        <v>49</v>
      </c>
      <c r="G3310" t="s">
        <v>7626</v>
      </c>
      <c r="H3310" t="s">
        <v>7627</v>
      </c>
      <c r="J3310" t="str">
        <f>HYPERLINK("https://www.facebook.com/454965103328545/posts/763285952496457?comment_id=3583865528597266&amp;reply_comment_id=1438211077071886","https://www.facebook.com/454965103328545/posts/763285952496457?comment_id=3583865528597266&amp;reply_comment_id=1438211077071886")</f>
        <v>https://www.facebook.com/454965103328545/posts/763285952496457?comment_id=3583865528597266&amp;reply_comment_id=1438211077071886</v>
      </c>
      <c r="O3310">
        <v>0</v>
      </c>
      <c r="P3310">
        <v>0</v>
      </c>
      <c r="Q3310">
        <v>0</v>
      </c>
      <c r="S3310">
        <v>0</v>
      </c>
      <c r="T3310">
        <v>0</v>
      </c>
      <c r="U3310">
        <v>0</v>
      </c>
      <c r="W3310" t="s">
        <v>62</v>
      </c>
    </row>
    <row r="3311" spans="1:23" x14ac:dyDescent="0.35">
      <c r="A3311" t="s">
        <v>45</v>
      </c>
      <c r="B3311" t="s">
        <v>7399</v>
      </c>
      <c r="C3311" t="s">
        <v>47</v>
      </c>
      <c r="D3311" t="s">
        <v>45</v>
      </c>
      <c r="E3311" t="s">
        <v>45</v>
      </c>
      <c r="F3311" t="s">
        <v>49</v>
      </c>
      <c r="G3311" t="s">
        <v>7628</v>
      </c>
      <c r="H3311" t="s">
        <v>7629</v>
      </c>
      <c r="J3311" t="str">
        <f>HYPERLINK("https://www.facebook.com/454965103328545/posts/763871475771238?comment_id=309003398369264&amp;reply_comment_id=1082083949508129","https://www.facebook.com/454965103328545/posts/763871475771238?comment_id=309003398369264&amp;reply_comment_id=1082083949508129")</f>
        <v>https://www.facebook.com/454965103328545/posts/763871475771238?comment_id=309003398369264&amp;reply_comment_id=1082083949508129</v>
      </c>
      <c r="O3311">
        <v>0</v>
      </c>
      <c r="P3311">
        <v>0</v>
      </c>
      <c r="Q3311">
        <v>0</v>
      </c>
      <c r="S3311">
        <v>0</v>
      </c>
      <c r="T3311">
        <v>0</v>
      </c>
      <c r="U3311">
        <v>0</v>
      </c>
      <c r="W3311" t="s">
        <v>62</v>
      </c>
    </row>
    <row r="3312" spans="1:23" x14ac:dyDescent="0.35">
      <c r="A3312" t="s">
        <v>45</v>
      </c>
      <c r="B3312" t="s">
        <v>7399</v>
      </c>
      <c r="C3312" t="s">
        <v>47</v>
      </c>
      <c r="D3312" t="s">
        <v>45</v>
      </c>
      <c r="E3312" t="s">
        <v>45</v>
      </c>
      <c r="F3312" t="s">
        <v>49</v>
      </c>
      <c r="G3312" t="s">
        <v>7630</v>
      </c>
      <c r="H3312" t="s">
        <v>7631</v>
      </c>
      <c r="J3312" t="str">
        <f>HYPERLINK("https://www.facebook.com/454965103328545/posts/755944923230560?comment_id=1356254068360776&amp;reply_comment_id=888895159635278","https://www.facebook.com/454965103328545/posts/755944923230560?comment_id=1356254068360776&amp;reply_comment_id=888895159635278")</f>
        <v>https://www.facebook.com/454965103328545/posts/755944923230560?comment_id=1356254068360776&amp;reply_comment_id=888895159635278</v>
      </c>
      <c r="O3312">
        <v>0</v>
      </c>
      <c r="P3312">
        <v>0</v>
      </c>
      <c r="Q3312">
        <v>0</v>
      </c>
      <c r="S3312">
        <v>0</v>
      </c>
      <c r="T3312">
        <v>0</v>
      </c>
      <c r="U3312">
        <v>0</v>
      </c>
      <c r="W3312" t="s">
        <v>62</v>
      </c>
    </row>
    <row r="3313" spans="1:45" x14ac:dyDescent="0.35">
      <c r="A3313" t="s">
        <v>45</v>
      </c>
      <c r="B3313" t="s">
        <v>7399</v>
      </c>
      <c r="C3313" t="s">
        <v>47</v>
      </c>
      <c r="D3313" t="s">
        <v>45</v>
      </c>
      <c r="E3313" t="s">
        <v>45</v>
      </c>
      <c r="F3313" t="s">
        <v>49</v>
      </c>
      <c r="G3313" t="s">
        <v>7632</v>
      </c>
      <c r="H3313" t="s">
        <v>7633</v>
      </c>
      <c r="J3313" t="str">
        <f>HYPERLINK("https://www.facebook.com/454965103328545/videos/3697954183759550?comment_id=1381732646043074&amp;reply_comment_id=923440145659644","https://www.facebook.com/454965103328545/videos/3697954183759550?comment_id=1381732646043074&amp;reply_comment_id=923440145659644")</f>
        <v>https://www.facebook.com/454965103328545/videos/3697954183759550?comment_id=1381732646043074&amp;reply_comment_id=923440145659644</v>
      </c>
      <c r="O3313">
        <v>0</v>
      </c>
      <c r="P3313">
        <v>0</v>
      </c>
      <c r="Q3313">
        <v>0</v>
      </c>
      <c r="S3313">
        <v>0</v>
      </c>
      <c r="T3313">
        <v>0</v>
      </c>
      <c r="U3313">
        <v>0</v>
      </c>
      <c r="W3313" t="s">
        <v>62</v>
      </c>
    </row>
    <row r="3314" spans="1:45" x14ac:dyDescent="0.35">
      <c r="A3314" t="s">
        <v>45</v>
      </c>
      <c r="B3314" t="s">
        <v>7399</v>
      </c>
      <c r="C3314" t="s">
        <v>47</v>
      </c>
      <c r="D3314" t="s">
        <v>7634</v>
      </c>
      <c r="E3314" t="s">
        <v>7634</v>
      </c>
      <c r="F3314" t="s">
        <v>49</v>
      </c>
      <c r="G3314" t="s">
        <v>7635</v>
      </c>
      <c r="H3314" t="s">
        <v>7636</v>
      </c>
      <c r="J3314" t="str">
        <f>HYPERLINK("https://www.facebook.com/357267201017935/inbox/6999143306830258/","https://www.facebook.com/357267201017935/inbox/6999143306830258/")</f>
        <v>https://www.facebook.com/357267201017935/inbox/6999143306830258/</v>
      </c>
      <c r="O3314">
        <v>0</v>
      </c>
      <c r="P3314">
        <v>0</v>
      </c>
      <c r="Q3314">
        <v>0</v>
      </c>
      <c r="S3314">
        <v>0</v>
      </c>
      <c r="T3314">
        <v>0</v>
      </c>
      <c r="U3314">
        <v>0</v>
      </c>
      <c r="W3314" t="s">
        <v>52</v>
      </c>
    </row>
    <row r="3315" spans="1:45" x14ac:dyDescent="0.35">
      <c r="A3315" t="s">
        <v>45</v>
      </c>
      <c r="B3315" t="s">
        <v>7399</v>
      </c>
      <c r="C3315" t="s">
        <v>47</v>
      </c>
      <c r="D3315" t="s">
        <v>7634</v>
      </c>
      <c r="E3315" t="s">
        <v>7634</v>
      </c>
      <c r="F3315" t="s">
        <v>49</v>
      </c>
      <c r="G3315" t="s">
        <v>253</v>
      </c>
      <c r="H3315" t="s">
        <v>7637</v>
      </c>
      <c r="J3315" t="str">
        <f>HYPERLINK("https://www.facebook.com/357267201017935/inbox/6999143306830258/","https://www.facebook.com/357267201017935/inbox/6999143306830258/")</f>
        <v>https://www.facebook.com/357267201017935/inbox/6999143306830258/</v>
      </c>
      <c r="O3315">
        <v>0</v>
      </c>
      <c r="P3315">
        <v>0</v>
      </c>
      <c r="Q3315">
        <v>0</v>
      </c>
      <c r="S3315">
        <v>0</v>
      </c>
      <c r="T3315">
        <v>0</v>
      </c>
      <c r="U3315">
        <v>0</v>
      </c>
      <c r="W3315" t="s">
        <v>52</v>
      </c>
    </row>
    <row r="3316" spans="1:45" x14ac:dyDescent="0.35">
      <c r="A3316" t="s">
        <v>45</v>
      </c>
      <c r="B3316" t="s">
        <v>7399</v>
      </c>
      <c r="C3316" t="s">
        <v>47</v>
      </c>
      <c r="D3316" t="s">
        <v>45</v>
      </c>
      <c r="E3316" t="s">
        <v>45</v>
      </c>
      <c r="F3316" t="s">
        <v>49</v>
      </c>
      <c r="G3316" t="s">
        <v>5984</v>
      </c>
      <c r="H3316" t="s">
        <v>7638</v>
      </c>
      <c r="J3316" t="str">
        <f>HYPERLINK("https://www.facebook.com/454965103328545/posts/763233329168386?comment_id=2626248300867257&amp;reply_comment_id=1507122700136895","https://www.facebook.com/454965103328545/posts/763233329168386?comment_id=2626248300867257&amp;reply_comment_id=1507122700136895")</f>
        <v>https://www.facebook.com/454965103328545/posts/763233329168386?comment_id=2626248300867257&amp;reply_comment_id=1507122700136895</v>
      </c>
      <c r="O3316">
        <v>0</v>
      </c>
      <c r="P3316">
        <v>0</v>
      </c>
      <c r="Q3316">
        <v>0</v>
      </c>
      <c r="S3316">
        <v>0</v>
      </c>
      <c r="T3316">
        <v>0</v>
      </c>
      <c r="U3316">
        <v>0</v>
      </c>
      <c r="W3316" t="s">
        <v>62</v>
      </c>
    </row>
    <row r="3317" spans="1:45" x14ac:dyDescent="0.35">
      <c r="A3317" t="s">
        <v>45</v>
      </c>
      <c r="B3317" t="s">
        <v>7399</v>
      </c>
      <c r="C3317" t="s">
        <v>139</v>
      </c>
      <c r="D3317" t="s">
        <v>190</v>
      </c>
      <c r="E3317" t="s">
        <v>45</v>
      </c>
      <c r="F3317" t="s">
        <v>49</v>
      </c>
      <c r="G3317" t="s">
        <v>7639</v>
      </c>
      <c r="H3317" t="s">
        <v>7640</v>
      </c>
      <c r="J3317" t="str">
        <f>HYPERLINK("https://twitter.com/FinoPaymntsBank/status/1754324405814206807","https://twitter.com/FinoPaymntsBank/status/1754324405814206807")</f>
        <v>https://twitter.com/FinoPaymntsBank/status/1754324405814206807</v>
      </c>
      <c r="K3317" t="s">
        <v>145</v>
      </c>
      <c r="O3317">
        <v>0</v>
      </c>
      <c r="P3317">
        <v>0</v>
      </c>
      <c r="Q3317">
        <v>8361</v>
      </c>
      <c r="R3317" t="s">
        <v>193</v>
      </c>
      <c r="S3317">
        <v>0</v>
      </c>
      <c r="T3317">
        <v>0</v>
      </c>
      <c r="U3317">
        <v>0</v>
      </c>
      <c r="W3317" t="s">
        <v>146</v>
      </c>
    </row>
    <row r="3318" spans="1:45" x14ac:dyDescent="0.35">
      <c r="A3318" t="s">
        <v>45</v>
      </c>
      <c r="B3318" t="s">
        <v>7399</v>
      </c>
      <c r="C3318" t="s">
        <v>47</v>
      </c>
      <c r="D3318" t="s">
        <v>7580</v>
      </c>
      <c r="E3318" t="s">
        <v>7580</v>
      </c>
      <c r="F3318" t="s">
        <v>49</v>
      </c>
      <c r="G3318" t="s">
        <v>7641</v>
      </c>
      <c r="H3318" t="s">
        <v>7642</v>
      </c>
      <c r="J3318" t="str">
        <f>HYPERLINK("https://www.facebook.com/357267201017935/inbox/6999009510176971/","https://www.facebook.com/357267201017935/inbox/6999009510176971/")</f>
        <v>https://www.facebook.com/357267201017935/inbox/6999009510176971/</v>
      </c>
      <c r="O3318">
        <v>0</v>
      </c>
      <c r="P3318">
        <v>0</v>
      </c>
      <c r="Q3318">
        <v>0</v>
      </c>
      <c r="S3318">
        <v>0</v>
      </c>
      <c r="T3318">
        <v>0</v>
      </c>
      <c r="U3318">
        <v>0</v>
      </c>
      <c r="W3318" t="s">
        <v>52</v>
      </c>
      <c r="AP3318" t="s">
        <v>101</v>
      </c>
      <c r="AS3318" t="s">
        <v>375</v>
      </c>
    </row>
    <row r="3319" spans="1:45" x14ac:dyDescent="0.35">
      <c r="A3319" t="s">
        <v>45</v>
      </c>
      <c r="B3319" t="s">
        <v>7399</v>
      </c>
      <c r="C3319" t="s">
        <v>47</v>
      </c>
      <c r="D3319" t="s">
        <v>45</v>
      </c>
      <c r="E3319" t="s">
        <v>45</v>
      </c>
      <c r="F3319" t="s">
        <v>49</v>
      </c>
      <c r="G3319" t="s">
        <v>7643</v>
      </c>
      <c r="H3319" t="s">
        <v>7644</v>
      </c>
      <c r="J3319" t="str">
        <f>HYPERLINK("https://www.facebook.com/454965103328545/videos/3697954183759550?comment_id=1103287344195246&amp;reply_comment_id=600120288971612","https://www.facebook.com/454965103328545/videos/3697954183759550?comment_id=1103287344195246&amp;reply_comment_id=600120288971612")</f>
        <v>https://www.facebook.com/454965103328545/videos/3697954183759550?comment_id=1103287344195246&amp;reply_comment_id=600120288971612</v>
      </c>
      <c r="O3319">
        <v>0</v>
      </c>
      <c r="P3319">
        <v>0</v>
      </c>
      <c r="Q3319">
        <v>0</v>
      </c>
      <c r="S3319">
        <v>0</v>
      </c>
      <c r="T3319">
        <v>0</v>
      </c>
      <c r="U3319">
        <v>0</v>
      </c>
      <c r="W3319" t="s">
        <v>62</v>
      </c>
    </row>
    <row r="3320" spans="1:45" x14ac:dyDescent="0.35">
      <c r="A3320" t="s">
        <v>45</v>
      </c>
      <c r="B3320" t="s">
        <v>7399</v>
      </c>
      <c r="C3320" t="s">
        <v>47</v>
      </c>
      <c r="D3320" t="s">
        <v>7580</v>
      </c>
      <c r="E3320" t="s">
        <v>7580</v>
      </c>
      <c r="F3320" t="s">
        <v>49</v>
      </c>
      <c r="G3320" t="s">
        <v>7645</v>
      </c>
      <c r="H3320" t="s">
        <v>7646</v>
      </c>
      <c r="J3320" t="str">
        <f>HYPERLINK("https://www.facebook.com/357267201017935/inbox/6999009510176971/","https://www.facebook.com/357267201017935/inbox/6999009510176971/")</f>
        <v>https://www.facebook.com/357267201017935/inbox/6999009510176971/</v>
      </c>
      <c r="O3320">
        <v>0</v>
      </c>
      <c r="P3320">
        <v>0</v>
      </c>
      <c r="Q3320">
        <v>0</v>
      </c>
      <c r="S3320">
        <v>0</v>
      </c>
      <c r="T3320">
        <v>0</v>
      </c>
      <c r="U3320">
        <v>0</v>
      </c>
      <c r="W3320" t="s">
        <v>52</v>
      </c>
    </row>
    <row r="3321" spans="1:45" x14ac:dyDescent="0.35">
      <c r="A3321" t="s">
        <v>45</v>
      </c>
      <c r="B3321" t="s">
        <v>7399</v>
      </c>
      <c r="C3321" t="s">
        <v>47</v>
      </c>
      <c r="D3321" t="s">
        <v>45</v>
      </c>
      <c r="E3321" t="s">
        <v>45</v>
      </c>
      <c r="F3321" t="s">
        <v>49</v>
      </c>
      <c r="G3321" t="s">
        <v>7647</v>
      </c>
      <c r="H3321" t="s">
        <v>7648</v>
      </c>
      <c r="J3321" t="str">
        <f>HYPERLINK("https://www.facebook.com/357267201017935/inbox/6999009510176971/","https://www.facebook.com/357267201017935/inbox/6999009510176971/")</f>
        <v>https://www.facebook.com/357267201017935/inbox/6999009510176971/</v>
      </c>
      <c r="O3321">
        <v>0</v>
      </c>
      <c r="P3321">
        <v>0</v>
      </c>
      <c r="Q3321">
        <v>0</v>
      </c>
      <c r="S3321">
        <v>0</v>
      </c>
      <c r="T3321">
        <v>0</v>
      </c>
      <c r="U3321">
        <v>0</v>
      </c>
      <c r="W3321" t="s">
        <v>52</v>
      </c>
    </row>
    <row r="3322" spans="1:45" x14ac:dyDescent="0.35">
      <c r="A3322" t="s">
        <v>45</v>
      </c>
      <c r="B3322" t="s">
        <v>7399</v>
      </c>
      <c r="C3322" t="s">
        <v>47</v>
      </c>
      <c r="D3322" t="s">
        <v>45</v>
      </c>
      <c r="E3322" t="s">
        <v>45</v>
      </c>
      <c r="F3322" t="s">
        <v>49</v>
      </c>
      <c r="G3322" t="s">
        <v>7649</v>
      </c>
      <c r="H3322" t="s">
        <v>7650</v>
      </c>
      <c r="J3322" t="str">
        <f>HYPERLINK("https://www.facebook.com/357267201017935/inbox/6999143306830258/","https://www.facebook.com/357267201017935/inbox/6999143306830258/")</f>
        <v>https://www.facebook.com/357267201017935/inbox/6999143306830258/</v>
      </c>
      <c r="O3322">
        <v>0</v>
      </c>
      <c r="P3322">
        <v>0</v>
      </c>
      <c r="Q3322">
        <v>0</v>
      </c>
      <c r="S3322">
        <v>0</v>
      </c>
      <c r="T3322">
        <v>0</v>
      </c>
      <c r="U3322">
        <v>0</v>
      </c>
      <c r="W3322" t="s">
        <v>52</v>
      </c>
    </row>
    <row r="3323" spans="1:45" x14ac:dyDescent="0.35">
      <c r="A3323" t="s">
        <v>45</v>
      </c>
      <c r="B3323" t="s">
        <v>7399</v>
      </c>
      <c r="C3323" t="s">
        <v>47</v>
      </c>
      <c r="D3323" t="s">
        <v>45</v>
      </c>
      <c r="E3323" t="s">
        <v>45</v>
      </c>
      <c r="F3323" t="s">
        <v>49</v>
      </c>
      <c r="G3323" t="s">
        <v>7651</v>
      </c>
      <c r="H3323" t="s">
        <v>7652</v>
      </c>
      <c r="J3323" t="str">
        <f>HYPERLINK("https://www.facebook.com/454965103328545/posts/763871475771238?comment_id=1106694737195725&amp;reply_comment_id=364675749646484","https://www.facebook.com/454965103328545/posts/763871475771238?comment_id=1106694737195725&amp;reply_comment_id=364675749646484")</f>
        <v>https://www.facebook.com/454965103328545/posts/763871475771238?comment_id=1106694737195725&amp;reply_comment_id=364675749646484</v>
      </c>
      <c r="O3323">
        <v>0</v>
      </c>
      <c r="P3323">
        <v>0</v>
      </c>
      <c r="Q3323">
        <v>0</v>
      </c>
      <c r="S3323">
        <v>0</v>
      </c>
      <c r="T3323">
        <v>0</v>
      </c>
      <c r="U3323">
        <v>0</v>
      </c>
      <c r="W3323" t="s">
        <v>62</v>
      </c>
    </row>
    <row r="3324" spans="1:45" x14ac:dyDescent="0.35">
      <c r="A3324" t="s">
        <v>45</v>
      </c>
      <c r="B3324" t="s">
        <v>7399</v>
      </c>
      <c r="C3324" t="s">
        <v>47</v>
      </c>
      <c r="D3324" t="s">
        <v>45</v>
      </c>
      <c r="E3324" t="s">
        <v>45</v>
      </c>
      <c r="F3324" t="s">
        <v>49</v>
      </c>
      <c r="G3324" t="s">
        <v>7653</v>
      </c>
      <c r="H3324" t="s">
        <v>7654</v>
      </c>
      <c r="J3324" t="str">
        <f>HYPERLINK("https://www.facebook.com/454965103328545/videos/3697954183759550?comment_id=721072066780521&amp;reply_comment_id=1125244161833178","https://www.facebook.com/454965103328545/videos/3697954183759550?comment_id=721072066780521&amp;reply_comment_id=1125244161833178")</f>
        <v>https://www.facebook.com/454965103328545/videos/3697954183759550?comment_id=721072066780521&amp;reply_comment_id=1125244161833178</v>
      </c>
      <c r="O3324">
        <v>0</v>
      </c>
      <c r="P3324">
        <v>0</v>
      </c>
      <c r="Q3324">
        <v>0</v>
      </c>
      <c r="S3324">
        <v>0</v>
      </c>
      <c r="T3324">
        <v>0</v>
      </c>
      <c r="U3324">
        <v>0</v>
      </c>
      <c r="W3324" t="s">
        <v>62</v>
      </c>
    </row>
    <row r="3325" spans="1:45" x14ac:dyDescent="0.35">
      <c r="A3325" t="s">
        <v>45</v>
      </c>
      <c r="B3325" t="s">
        <v>7399</v>
      </c>
      <c r="C3325" t="s">
        <v>47</v>
      </c>
      <c r="D3325" t="s">
        <v>45</v>
      </c>
      <c r="E3325" t="s">
        <v>45</v>
      </c>
      <c r="F3325" t="s">
        <v>49</v>
      </c>
      <c r="G3325" t="s">
        <v>7655</v>
      </c>
      <c r="H3325" t="s">
        <v>7656</v>
      </c>
      <c r="J3325" t="str">
        <f>HYPERLINK("https://www.facebook.com/454965103328545/videos/3697954183759550?comment_id=711281361187863&amp;reply_comment_id=363605216456102","https://www.facebook.com/454965103328545/videos/3697954183759550?comment_id=711281361187863&amp;reply_comment_id=363605216456102")</f>
        <v>https://www.facebook.com/454965103328545/videos/3697954183759550?comment_id=711281361187863&amp;reply_comment_id=363605216456102</v>
      </c>
      <c r="O3325">
        <v>0</v>
      </c>
      <c r="P3325">
        <v>0</v>
      </c>
      <c r="Q3325">
        <v>0</v>
      </c>
      <c r="S3325">
        <v>0</v>
      </c>
      <c r="T3325">
        <v>0</v>
      </c>
      <c r="U3325">
        <v>0</v>
      </c>
      <c r="W3325" t="s">
        <v>62</v>
      </c>
    </row>
    <row r="3326" spans="1:45" x14ac:dyDescent="0.35">
      <c r="A3326" t="s">
        <v>45</v>
      </c>
      <c r="B3326" t="s">
        <v>7399</v>
      </c>
      <c r="C3326" t="s">
        <v>47</v>
      </c>
      <c r="D3326" t="s">
        <v>45</v>
      </c>
      <c r="E3326" t="s">
        <v>45</v>
      </c>
      <c r="F3326" t="s">
        <v>49</v>
      </c>
      <c r="G3326" t="s">
        <v>7657</v>
      </c>
      <c r="H3326" t="s">
        <v>7658</v>
      </c>
      <c r="J3326" t="str">
        <f>HYPERLINK("https://www.facebook.com/454965103328545/videos/3697954183759550?comment_id=394847413093549&amp;reply_comment_id=355949724068325","https://www.facebook.com/454965103328545/videos/3697954183759550?comment_id=394847413093549&amp;reply_comment_id=355949724068325")</f>
        <v>https://www.facebook.com/454965103328545/videos/3697954183759550?comment_id=394847413093549&amp;reply_comment_id=355949724068325</v>
      </c>
      <c r="O3326">
        <v>0</v>
      </c>
      <c r="P3326">
        <v>0</v>
      </c>
      <c r="Q3326">
        <v>0</v>
      </c>
      <c r="S3326">
        <v>0</v>
      </c>
      <c r="T3326">
        <v>0</v>
      </c>
      <c r="U3326">
        <v>0</v>
      </c>
      <c r="W3326" t="s">
        <v>62</v>
      </c>
    </row>
    <row r="3327" spans="1:45" x14ac:dyDescent="0.35">
      <c r="A3327" t="s">
        <v>45</v>
      </c>
      <c r="B3327" t="s">
        <v>7399</v>
      </c>
      <c r="C3327" t="s">
        <v>47</v>
      </c>
      <c r="D3327" t="s">
        <v>45</v>
      </c>
      <c r="E3327" t="s">
        <v>45</v>
      </c>
      <c r="F3327" t="s">
        <v>49</v>
      </c>
      <c r="G3327" t="s">
        <v>7659</v>
      </c>
      <c r="H3327" t="s">
        <v>7660</v>
      </c>
      <c r="J3327" t="str">
        <f>HYPERLINK("https://www.facebook.com/454965103328545/videos/3697954183759550?comment_id=747978690607138&amp;reply_comment_id=7250993418296240","https://www.facebook.com/454965103328545/videos/3697954183759550?comment_id=747978690607138&amp;reply_comment_id=7250993418296240")</f>
        <v>https://www.facebook.com/454965103328545/videos/3697954183759550?comment_id=747978690607138&amp;reply_comment_id=7250993418296240</v>
      </c>
      <c r="O3327">
        <v>0</v>
      </c>
      <c r="P3327">
        <v>0</v>
      </c>
      <c r="Q3327">
        <v>0</v>
      </c>
      <c r="S3327">
        <v>0</v>
      </c>
      <c r="T3327">
        <v>0</v>
      </c>
      <c r="U3327">
        <v>0</v>
      </c>
      <c r="W3327" t="s">
        <v>62</v>
      </c>
    </row>
    <row r="3328" spans="1:45" x14ac:dyDescent="0.35">
      <c r="A3328" t="s">
        <v>45</v>
      </c>
      <c r="B3328" t="s">
        <v>7399</v>
      </c>
      <c r="C3328" t="s">
        <v>47</v>
      </c>
      <c r="D3328" t="s">
        <v>45</v>
      </c>
      <c r="E3328" t="s">
        <v>45</v>
      </c>
      <c r="F3328" t="s">
        <v>49</v>
      </c>
      <c r="G3328" t="s">
        <v>7661</v>
      </c>
      <c r="H3328" t="s">
        <v>7662</v>
      </c>
      <c r="J3328" t="str">
        <f>HYPERLINK("https://www.facebook.com/454965103328545/posts/763715162453536?comment_id=369645655697410&amp;reply_comment_id=1884707315314684","https://www.facebook.com/454965103328545/posts/763715162453536?comment_id=369645655697410&amp;reply_comment_id=1884707315314684")</f>
        <v>https://www.facebook.com/454965103328545/posts/763715162453536?comment_id=369645655697410&amp;reply_comment_id=1884707315314684</v>
      </c>
      <c r="O3328">
        <v>0</v>
      </c>
      <c r="P3328">
        <v>0</v>
      </c>
      <c r="Q3328">
        <v>0</v>
      </c>
      <c r="S3328">
        <v>0</v>
      </c>
      <c r="T3328">
        <v>0</v>
      </c>
      <c r="U3328">
        <v>0</v>
      </c>
      <c r="W3328" t="s">
        <v>62</v>
      </c>
    </row>
    <row r="3329" spans="1:23" x14ac:dyDescent="0.35">
      <c r="A3329" t="s">
        <v>45</v>
      </c>
      <c r="B3329" t="s">
        <v>7399</v>
      </c>
      <c r="C3329" t="s">
        <v>47</v>
      </c>
      <c r="D3329" t="s">
        <v>45</v>
      </c>
      <c r="E3329" t="s">
        <v>45</v>
      </c>
      <c r="F3329" t="s">
        <v>49</v>
      </c>
      <c r="G3329" t="s">
        <v>7663</v>
      </c>
      <c r="H3329" t="s">
        <v>7664</v>
      </c>
      <c r="J3329" t="str">
        <f>HYPERLINK("https://www.facebook.com/357267201017935/inbox/7000486526695936/","https://www.facebook.com/357267201017935/inbox/7000486526695936/")</f>
        <v>https://www.facebook.com/357267201017935/inbox/7000486526695936/</v>
      </c>
      <c r="O3329">
        <v>0</v>
      </c>
      <c r="P3329">
        <v>0</v>
      </c>
      <c r="Q3329">
        <v>0</v>
      </c>
      <c r="S3329">
        <v>0</v>
      </c>
      <c r="T3329">
        <v>0</v>
      </c>
      <c r="U3329">
        <v>0</v>
      </c>
      <c r="W3329" t="s">
        <v>52</v>
      </c>
    </row>
    <row r="3330" spans="1:23" x14ac:dyDescent="0.35">
      <c r="A3330" t="s">
        <v>45</v>
      </c>
      <c r="B3330" t="s">
        <v>7399</v>
      </c>
      <c r="C3330" t="s">
        <v>47</v>
      </c>
      <c r="D3330" t="s">
        <v>7665</v>
      </c>
      <c r="E3330" t="s">
        <v>7665</v>
      </c>
      <c r="F3330" t="s">
        <v>49</v>
      </c>
      <c r="G3330">
        <v>9760741469</v>
      </c>
      <c r="H3330" t="s">
        <v>7666</v>
      </c>
      <c r="J3330" t="str">
        <f>HYPERLINK("https://www.facebook.com/454965103328545/posts/763871475771238?comment_id=919056742800166&amp;reply_comment_id=3663779137202339","https://www.facebook.com/454965103328545/posts/763871475771238?comment_id=919056742800166&amp;reply_comment_id=3663779137202339")</f>
        <v>https://www.facebook.com/454965103328545/posts/763871475771238?comment_id=919056742800166&amp;reply_comment_id=3663779137202339</v>
      </c>
      <c r="O3330">
        <v>0</v>
      </c>
      <c r="P3330">
        <v>0</v>
      </c>
      <c r="Q3330">
        <v>0</v>
      </c>
      <c r="S3330">
        <v>0</v>
      </c>
      <c r="T3330">
        <v>0</v>
      </c>
      <c r="U3330">
        <v>0</v>
      </c>
      <c r="W3330" t="s">
        <v>62</v>
      </c>
    </row>
    <row r="3331" spans="1:23" x14ac:dyDescent="0.35">
      <c r="A3331" t="s">
        <v>45</v>
      </c>
      <c r="B3331" t="s">
        <v>7399</v>
      </c>
      <c r="C3331" t="s">
        <v>139</v>
      </c>
      <c r="D3331" t="s">
        <v>7667</v>
      </c>
      <c r="E3331" t="s">
        <v>7668</v>
      </c>
      <c r="F3331" t="s">
        <v>49</v>
      </c>
      <c r="G3331" t="s">
        <v>7669</v>
      </c>
      <c r="H3331" t="s">
        <v>7670</v>
      </c>
      <c r="J3331" t="str">
        <f>HYPERLINK("https://twitter.com/LokhandeVi98104/status/1754214422896353360","https://twitter.com/LokhandeVi98104/status/1754214422896353360")</f>
        <v>https://twitter.com/LokhandeVi98104/status/1754214422896353360</v>
      </c>
      <c r="K3331" t="s">
        <v>145</v>
      </c>
      <c r="O3331">
        <v>0</v>
      </c>
      <c r="P3331">
        <v>0</v>
      </c>
      <c r="Q3331">
        <v>0</v>
      </c>
      <c r="R3331" t="s">
        <v>7671</v>
      </c>
      <c r="S3331">
        <v>0</v>
      </c>
      <c r="T3331">
        <v>0</v>
      </c>
      <c r="U3331">
        <v>0</v>
      </c>
      <c r="W3331" t="s">
        <v>146</v>
      </c>
    </row>
    <row r="3332" spans="1:23" x14ac:dyDescent="0.35">
      <c r="A3332" t="s">
        <v>45</v>
      </c>
      <c r="B3332" t="s">
        <v>7399</v>
      </c>
      <c r="C3332" t="s">
        <v>47</v>
      </c>
      <c r="D3332" t="s">
        <v>7672</v>
      </c>
      <c r="E3332" t="s">
        <v>7672</v>
      </c>
      <c r="F3332" t="s">
        <v>76</v>
      </c>
      <c r="G3332" t="s">
        <v>7673</v>
      </c>
      <c r="H3332" t="s">
        <v>7674</v>
      </c>
      <c r="J3332" t="str">
        <f>HYPERLINK("https://www.facebook.com/454965103328545/videos/3697954183759550?comment_id=1087603725689780","https://www.facebook.com/454965103328545/videos/3697954183759550?comment_id=1087603725689780")</f>
        <v>https://www.facebook.com/454965103328545/videos/3697954183759550?comment_id=1087603725689780</v>
      </c>
      <c r="O3332">
        <v>0</v>
      </c>
      <c r="P3332">
        <v>0</v>
      </c>
      <c r="Q3332">
        <v>0</v>
      </c>
      <c r="S3332">
        <v>0</v>
      </c>
      <c r="T3332">
        <v>0</v>
      </c>
      <c r="U3332">
        <v>0</v>
      </c>
      <c r="W3332" t="s">
        <v>62</v>
      </c>
    </row>
    <row r="3333" spans="1:23" x14ac:dyDescent="0.35">
      <c r="A3333" t="s">
        <v>45</v>
      </c>
      <c r="B3333" t="s">
        <v>7399</v>
      </c>
      <c r="C3333" t="s">
        <v>47</v>
      </c>
      <c r="D3333" t="s">
        <v>7675</v>
      </c>
      <c r="E3333" t="s">
        <v>7675</v>
      </c>
      <c r="F3333" t="s">
        <v>49</v>
      </c>
      <c r="G3333" t="s">
        <v>4169</v>
      </c>
      <c r="H3333" t="s">
        <v>7676</v>
      </c>
      <c r="J3333" t="str">
        <f>HYPERLINK("https://www.facebook.com/454965103328545/posts/755944923230560?comment_id=1451228562131791","https://www.facebook.com/454965103328545/posts/755944923230560?comment_id=1451228562131791")</f>
        <v>https://www.facebook.com/454965103328545/posts/755944923230560?comment_id=1451228562131791</v>
      </c>
      <c r="O3333">
        <v>0</v>
      </c>
      <c r="P3333">
        <v>0</v>
      </c>
      <c r="Q3333">
        <v>0</v>
      </c>
      <c r="S3333">
        <v>0</v>
      </c>
      <c r="T3333">
        <v>0</v>
      </c>
      <c r="U3333">
        <v>0</v>
      </c>
      <c r="W3333" t="s">
        <v>62</v>
      </c>
    </row>
    <row r="3334" spans="1:23" x14ac:dyDescent="0.35">
      <c r="A3334" t="s">
        <v>45</v>
      </c>
      <c r="B3334" t="s">
        <v>7677</v>
      </c>
      <c r="C3334" t="s">
        <v>47</v>
      </c>
      <c r="D3334" t="s">
        <v>7678</v>
      </c>
      <c r="E3334" t="s">
        <v>7678</v>
      </c>
      <c r="F3334" t="s">
        <v>49</v>
      </c>
      <c r="G3334" t="s">
        <v>7679</v>
      </c>
      <c r="H3334" t="s">
        <v>7680</v>
      </c>
      <c r="J3334" t="str">
        <f>HYPERLINK("https://www.facebook.com/357267201017935/inbox/3116002215144406/","https://www.facebook.com/357267201017935/inbox/3116002215144406/")</f>
        <v>https://www.facebook.com/357267201017935/inbox/3116002215144406/</v>
      </c>
      <c r="O3334">
        <v>0</v>
      </c>
      <c r="P3334">
        <v>0</v>
      </c>
      <c r="Q3334">
        <v>0</v>
      </c>
      <c r="S3334">
        <v>0</v>
      </c>
      <c r="T3334">
        <v>0</v>
      </c>
      <c r="U3334">
        <v>0</v>
      </c>
      <c r="W3334" t="s">
        <v>52</v>
      </c>
    </row>
    <row r="3335" spans="1:23" x14ac:dyDescent="0.35">
      <c r="A3335" t="s">
        <v>45</v>
      </c>
      <c r="B3335" t="s">
        <v>7677</v>
      </c>
      <c r="C3335" t="s">
        <v>47</v>
      </c>
      <c r="D3335" t="s">
        <v>7678</v>
      </c>
      <c r="E3335" t="s">
        <v>7678</v>
      </c>
      <c r="F3335" t="s">
        <v>49</v>
      </c>
      <c r="G3335" t="s">
        <v>5468</v>
      </c>
      <c r="H3335" t="s">
        <v>7681</v>
      </c>
      <c r="J3335" t="str">
        <f>HYPERLINK("https://www.facebook.com/454965103328545/videos/3697954183759550?comment_id=382557407721430","https://www.facebook.com/454965103328545/videos/3697954183759550?comment_id=382557407721430")</f>
        <v>https://www.facebook.com/454965103328545/videos/3697954183759550?comment_id=382557407721430</v>
      </c>
      <c r="O3335">
        <v>0</v>
      </c>
      <c r="P3335">
        <v>0</v>
      </c>
      <c r="Q3335">
        <v>0</v>
      </c>
      <c r="S3335">
        <v>0</v>
      </c>
      <c r="T3335">
        <v>0</v>
      </c>
      <c r="U3335">
        <v>0</v>
      </c>
      <c r="W3335" t="s">
        <v>62</v>
      </c>
    </row>
    <row r="3336" spans="1:23" x14ac:dyDescent="0.35">
      <c r="A3336" t="s">
        <v>45</v>
      </c>
      <c r="B3336" t="s">
        <v>7677</v>
      </c>
      <c r="C3336" t="s">
        <v>47</v>
      </c>
      <c r="D3336" t="s">
        <v>7678</v>
      </c>
      <c r="E3336" t="s">
        <v>7678</v>
      </c>
      <c r="F3336" t="s">
        <v>49</v>
      </c>
      <c r="G3336">
        <v>9343770075</v>
      </c>
      <c r="H3336" t="s">
        <v>7682</v>
      </c>
      <c r="J3336" t="str">
        <f>HYPERLINK("https://www.facebook.com/454965103328545/videos/3697954183759550?comment_id=920441809696683&amp;reply_comment_id=689485509751845","https://www.facebook.com/454965103328545/videos/3697954183759550?comment_id=920441809696683&amp;reply_comment_id=689485509751845")</f>
        <v>https://www.facebook.com/454965103328545/videos/3697954183759550?comment_id=920441809696683&amp;reply_comment_id=689485509751845</v>
      </c>
      <c r="O3336">
        <v>0</v>
      </c>
      <c r="P3336">
        <v>0</v>
      </c>
      <c r="Q3336">
        <v>0</v>
      </c>
      <c r="S3336">
        <v>0</v>
      </c>
      <c r="T3336">
        <v>0</v>
      </c>
      <c r="U3336">
        <v>0</v>
      </c>
      <c r="W3336" t="s">
        <v>62</v>
      </c>
    </row>
    <row r="3337" spans="1:23" x14ac:dyDescent="0.35">
      <c r="A3337" t="s">
        <v>45</v>
      </c>
      <c r="B3337" t="s">
        <v>7677</v>
      </c>
      <c r="C3337" t="s">
        <v>47</v>
      </c>
      <c r="D3337" t="s">
        <v>7678</v>
      </c>
      <c r="E3337" t="s">
        <v>7678</v>
      </c>
      <c r="F3337" t="s">
        <v>49</v>
      </c>
      <c r="G3337" t="s">
        <v>7683</v>
      </c>
      <c r="H3337" t="s">
        <v>7684</v>
      </c>
      <c r="J3337" t="str">
        <f>HYPERLINK("https://www.facebook.com/454965103328545/videos/3697954183759550?comment_id=920441809696683&amp;reply_comment_id=922150956280815","https://www.facebook.com/454965103328545/videos/3697954183759550?comment_id=920441809696683&amp;reply_comment_id=922150956280815")</f>
        <v>https://www.facebook.com/454965103328545/videos/3697954183759550?comment_id=920441809696683&amp;reply_comment_id=922150956280815</v>
      </c>
      <c r="O3337">
        <v>0</v>
      </c>
      <c r="P3337">
        <v>0</v>
      </c>
      <c r="Q3337">
        <v>0</v>
      </c>
      <c r="S3337">
        <v>0</v>
      </c>
      <c r="T3337">
        <v>0</v>
      </c>
      <c r="U3337">
        <v>0</v>
      </c>
      <c r="W3337" t="s">
        <v>62</v>
      </c>
    </row>
    <row r="3338" spans="1:23" x14ac:dyDescent="0.35">
      <c r="A3338" t="s">
        <v>45</v>
      </c>
      <c r="B3338" t="s">
        <v>7677</v>
      </c>
      <c r="C3338" t="s">
        <v>47</v>
      </c>
      <c r="D3338" t="s">
        <v>7678</v>
      </c>
      <c r="E3338" t="s">
        <v>7678</v>
      </c>
      <c r="F3338" t="s">
        <v>49</v>
      </c>
      <c r="G3338" t="s">
        <v>7685</v>
      </c>
      <c r="H3338" t="s">
        <v>7686</v>
      </c>
      <c r="J3338" t="str">
        <f>HYPERLINK("https://www.facebook.com/454965103328545/videos/3697954183759550?comment_id=1097187808137287&amp;reply_comment_id=687482206932303","https://www.facebook.com/454965103328545/videos/3697954183759550?comment_id=1097187808137287&amp;reply_comment_id=687482206932303")</f>
        <v>https://www.facebook.com/454965103328545/videos/3697954183759550?comment_id=1097187808137287&amp;reply_comment_id=687482206932303</v>
      </c>
      <c r="O3338">
        <v>0</v>
      </c>
      <c r="P3338">
        <v>0</v>
      </c>
      <c r="Q3338">
        <v>0</v>
      </c>
      <c r="S3338">
        <v>0</v>
      </c>
      <c r="T3338">
        <v>0</v>
      </c>
      <c r="U3338">
        <v>0</v>
      </c>
      <c r="W3338" t="s">
        <v>62</v>
      </c>
    </row>
    <row r="3339" spans="1:23" x14ac:dyDescent="0.35">
      <c r="A3339" t="s">
        <v>45</v>
      </c>
      <c r="B3339" t="s">
        <v>7677</v>
      </c>
      <c r="C3339" t="s">
        <v>47</v>
      </c>
      <c r="D3339" t="s">
        <v>7678</v>
      </c>
      <c r="E3339" t="s">
        <v>7678</v>
      </c>
      <c r="F3339" t="s">
        <v>49</v>
      </c>
      <c r="G3339" t="s">
        <v>7687</v>
      </c>
      <c r="H3339" t="s">
        <v>7688</v>
      </c>
      <c r="J3339" t="str">
        <f>HYPERLINK("https://www.facebook.com/357267201017935/inbox/3116002215144406/","https://www.facebook.com/357267201017935/inbox/3116002215144406/")</f>
        <v>https://www.facebook.com/357267201017935/inbox/3116002215144406/</v>
      </c>
      <c r="O3339">
        <v>0</v>
      </c>
      <c r="P3339">
        <v>0</v>
      </c>
      <c r="Q3339">
        <v>0</v>
      </c>
      <c r="S3339">
        <v>0</v>
      </c>
      <c r="T3339">
        <v>0</v>
      </c>
      <c r="U3339">
        <v>0</v>
      </c>
      <c r="W3339" t="s">
        <v>52</v>
      </c>
    </row>
    <row r="3340" spans="1:23" x14ac:dyDescent="0.35">
      <c r="A3340" t="s">
        <v>45</v>
      </c>
      <c r="B3340" t="s">
        <v>7677</v>
      </c>
      <c r="C3340" t="s">
        <v>47</v>
      </c>
      <c r="D3340" t="s">
        <v>7678</v>
      </c>
      <c r="E3340" t="s">
        <v>7678</v>
      </c>
      <c r="F3340" t="s">
        <v>49</v>
      </c>
      <c r="G3340" t="s">
        <v>7689</v>
      </c>
      <c r="H3340" t="s">
        <v>7690</v>
      </c>
      <c r="J3340" t="str">
        <f>HYPERLINK("https://www.facebook.com/454965103328545/videos/3697954183759550?comment_id=1551109839016876","https://www.facebook.com/454965103328545/videos/3697954183759550?comment_id=1551109839016876")</f>
        <v>https://www.facebook.com/454965103328545/videos/3697954183759550?comment_id=1551109839016876</v>
      </c>
      <c r="O3340">
        <v>0</v>
      </c>
      <c r="P3340">
        <v>0</v>
      </c>
      <c r="Q3340">
        <v>0</v>
      </c>
      <c r="S3340">
        <v>0</v>
      </c>
      <c r="T3340">
        <v>0</v>
      </c>
      <c r="U3340">
        <v>0</v>
      </c>
      <c r="W3340" t="s">
        <v>62</v>
      </c>
    </row>
    <row r="3341" spans="1:23" x14ac:dyDescent="0.35">
      <c r="A3341" t="s">
        <v>45</v>
      </c>
      <c r="B3341" t="s">
        <v>7677</v>
      </c>
      <c r="C3341" t="s">
        <v>47</v>
      </c>
      <c r="D3341" t="s">
        <v>7678</v>
      </c>
      <c r="E3341" t="s">
        <v>7678</v>
      </c>
      <c r="F3341" t="s">
        <v>49</v>
      </c>
      <c r="G3341" t="s">
        <v>7691</v>
      </c>
      <c r="H3341" t="s">
        <v>7692</v>
      </c>
      <c r="J3341" t="str">
        <f>HYPERLINK("https://www.facebook.com/454965103328545/videos/3697954183759550?comment_id=1623541318417545&amp;reply_comment_id=787126033436147","https://www.facebook.com/454965103328545/videos/3697954183759550?comment_id=1623541318417545&amp;reply_comment_id=787126033436147")</f>
        <v>https://www.facebook.com/454965103328545/videos/3697954183759550?comment_id=1623541318417545&amp;reply_comment_id=787126033436147</v>
      </c>
      <c r="O3341">
        <v>0</v>
      </c>
      <c r="P3341">
        <v>0</v>
      </c>
      <c r="Q3341">
        <v>0</v>
      </c>
      <c r="S3341">
        <v>0</v>
      </c>
      <c r="T3341">
        <v>0</v>
      </c>
      <c r="U3341">
        <v>0</v>
      </c>
      <c r="W3341" t="s">
        <v>62</v>
      </c>
    </row>
    <row r="3342" spans="1:23" x14ac:dyDescent="0.35">
      <c r="A3342" t="s">
        <v>45</v>
      </c>
      <c r="B3342" t="s">
        <v>7677</v>
      </c>
      <c r="C3342" t="s">
        <v>47</v>
      </c>
      <c r="D3342" t="s">
        <v>7693</v>
      </c>
      <c r="E3342" t="s">
        <v>7693</v>
      </c>
      <c r="F3342" t="s">
        <v>49</v>
      </c>
      <c r="G3342" t="s">
        <v>7694</v>
      </c>
      <c r="H3342" t="s">
        <v>7695</v>
      </c>
      <c r="J3342" t="str">
        <f>HYPERLINK("https://www.facebook.com/454965103328545/videos/3697954183759550?comment_id=935985394619748","https://www.facebook.com/454965103328545/videos/3697954183759550?comment_id=935985394619748")</f>
        <v>https://www.facebook.com/454965103328545/videos/3697954183759550?comment_id=935985394619748</v>
      </c>
      <c r="O3342">
        <v>0</v>
      </c>
      <c r="P3342">
        <v>0</v>
      </c>
      <c r="Q3342">
        <v>0</v>
      </c>
      <c r="S3342">
        <v>0</v>
      </c>
      <c r="T3342">
        <v>0</v>
      </c>
      <c r="U3342">
        <v>0</v>
      </c>
      <c r="W3342" t="s">
        <v>62</v>
      </c>
    </row>
    <row r="3343" spans="1:23" x14ac:dyDescent="0.35">
      <c r="A3343" t="s">
        <v>45</v>
      </c>
      <c r="B3343" t="s">
        <v>7677</v>
      </c>
      <c r="C3343" t="s">
        <v>47</v>
      </c>
      <c r="D3343" t="s">
        <v>7693</v>
      </c>
      <c r="E3343" t="s">
        <v>7693</v>
      </c>
      <c r="F3343" t="s">
        <v>76</v>
      </c>
      <c r="G3343" t="s">
        <v>7696</v>
      </c>
      <c r="H3343" t="s">
        <v>7697</v>
      </c>
      <c r="J3343" t="str">
        <f>HYPERLINK("https://www.facebook.com/454965103328545/videos/3697954183759550?comment_id=930413071440117","https://www.facebook.com/454965103328545/videos/3697954183759550?comment_id=930413071440117")</f>
        <v>https://www.facebook.com/454965103328545/videos/3697954183759550?comment_id=930413071440117</v>
      </c>
      <c r="O3343">
        <v>0</v>
      </c>
      <c r="P3343">
        <v>0</v>
      </c>
      <c r="Q3343">
        <v>0</v>
      </c>
      <c r="S3343">
        <v>0</v>
      </c>
      <c r="T3343">
        <v>0</v>
      </c>
      <c r="U3343">
        <v>0</v>
      </c>
      <c r="W3343" t="s">
        <v>62</v>
      </c>
    </row>
    <row r="3344" spans="1:23" x14ac:dyDescent="0.35">
      <c r="A3344" t="s">
        <v>45</v>
      </c>
      <c r="B3344" t="s">
        <v>7677</v>
      </c>
      <c r="C3344" t="s">
        <v>47</v>
      </c>
      <c r="D3344" t="s">
        <v>7698</v>
      </c>
      <c r="E3344" t="s">
        <v>7698</v>
      </c>
      <c r="F3344" t="s">
        <v>142</v>
      </c>
      <c r="G3344" t="s">
        <v>7699</v>
      </c>
      <c r="H3344" t="s">
        <v>7700</v>
      </c>
      <c r="J3344" t="str">
        <f>HYPERLINK("https://www.facebook.com/454965103328545/videos/3697954183759550?comment_id=1046969289709020","https://www.facebook.com/454965103328545/videos/3697954183759550?comment_id=1046969289709020")</f>
        <v>https://www.facebook.com/454965103328545/videos/3697954183759550?comment_id=1046969289709020</v>
      </c>
      <c r="O3344">
        <v>0</v>
      </c>
      <c r="P3344">
        <v>0</v>
      </c>
      <c r="Q3344">
        <v>0</v>
      </c>
      <c r="S3344">
        <v>0</v>
      </c>
      <c r="T3344">
        <v>0</v>
      </c>
      <c r="U3344">
        <v>0</v>
      </c>
      <c r="W3344" t="s">
        <v>62</v>
      </c>
    </row>
    <row r="3345" spans="1:45" x14ac:dyDescent="0.35">
      <c r="A3345" t="s">
        <v>45</v>
      </c>
      <c r="B3345" t="s">
        <v>7677</v>
      </c>
      <c r="C3345" t="s">
        <v>47</v>
      </c>
      <c r="D3345" t="s">
        <v>7701</v>
      </c>
      <c r="E3345" t="s">
        <v>7701</v>
      </c>
      <c r="F3345" t="s">
        <v>49</v>
      </c>
      <c r="G3345" t="s">
        <v>7702</v>
      </c>
      <c r="H3345" t="s">
        <v>7703</v>
      </c>
      <c r="J3345" t="str">
        <f>HYPERLINK("https://www.facebook.com/357267201017935/inbox/7000486526695936/","https://www.facebook.com/357267201017935/inbox/7000486526695936/")</f>
        <v>https://www.facebook.com/357267201017935/inbox/7000486526695936/</v>
      </c>
      <c r="O3345">
        <v>0</v>
      </c>
      <c r="P3345">
        <v>0</v>
      </c>
      <c r="Q3345">
        <v>0</v>
      </c>
      <c r="S3345">
        <v>0</v>
      </c>
      <c r="T3345">
        <v>0</v>
      </c>
      <c r="U3345">
        <v>0</v>
      </c>
      <c r="W3345" t="s">
        <v>52</v>
      </c>
      <c r="AS3345" t="s">
        <v>375</v>
      </c>
    </row>
    <row r="3346" spans="1:45" x14ac:dyDescent="0.35">
      <c r="A3346" t="s">
        <v>45</v>
      </c>
      <c r="B3346" t="s">
        <v>7677</v>
      </c>
      <c r="C3346" t="s">
        <v>47</v>
      </c>
      <c r="D3346" t="s">
        <v>4488</v>
      </c>
      <c r="E3346" t="s">
        <v>4488</v>
      </c>
      <c r="F3346" t="s">
        <v>49</v>
      </c>
      <c r="G3346" t="s">
        <v>5919</v>
      </c>
      <c r="H3346" t="s">
        <v>7704</v>
      </c>
      <c r="J3346" t="str">
        <f>HYPERLINK("https://www.facebook.com/454965103328545/posts/763715162453536?comment_id=369645655697410","https://www.facebook.com/454965103328545/posts/763715162453536?comment_id=369645655697410")</f>
        <v>https://www.facebook.com/454965103328545/posts/763715162453536?comment_id=369645655697410</v>
      </c>
      <c r="O3346">
        <v>0</v>
      </c>
      <c r="P3346">
        <v>0</v>
      </c>
      <c r="Q3346">
        <v>0</v>
      </c>
      <c r="S3346">
        <v>0</v>
      </c>
      <c r="T3346">
        <v>0</v>
      </c>
      <c r="U3346">
        <v>0</v>
      </c>
      <c r="W3346" t="s">
        <v>62</v>
      </c>
      <c r="AS3346" t="s">
        <v>375</v>
      </c>
    </row>
    <row r="3347" spans="1:45" x14ac:dyDescent="0.35">
      <c r="A3347" t="s">
        <v>45</v>
      </c>
      <c r="B3347" t="s">
        <v>7677</v>
      </c>
      <c r="C3347" t="s">
        <v>47</v>
      </c>
      <c r="D3347" t="s">
        <v>7705</v>
      </c>
      <c r="E3347" t="s">
        <v>7705</v>
      </c>
      <c r="F3347" t="s">
        <v>49</v>
      </c>
      <c r="G3347" t="s">
        <v>7706</v>
      </c>
      <c r="H3347" t="s">
        <v>7707</v>
      </c>
      <c r="J3347" t="str">
        <f>HYPERLINK("https://www.facebook.com/454965103328545/videos/3697954183759550?comment_id=1386343701983558","https://www.facebook.com/454965103328545/videos/3697954183759550?comment_id=1386343701983558")</f>
        <v>https://www.facebook.com/454965103328545/videos/3697954183759550?comment_id=1386343701983558</v>
      </c>
      <c r="O3347">
        <v>0</v>
      </c>
      <c r="P3347">
        <v>0</v>
      </c>
      <c r="Q3347">
        <v>0</v>
      </c>
      <c r="S3347">
        <v>0</v>
      </c>
      <c r="T3347">
        <v>0</v>
      </c>
      <c r="U3347">
        <v>0</v>
      </c>
      <c r="W3347" t="s">
        <v>62</v>
      </c>
    </row>
    <row r="3348" spans="1:45" x14ac:dyDescent="0.35">
      <c r="A3348" t="s">
        <v>45</v>
      </c>
      <c r="B3348" t="s">
        <v>7677</v>
      </c>
      <c r="C3348" t="s">
        <v>47</v>
      </c>
      <c r="D3348" t="s">
        <v>7708</v>
      </c>
      <c r="E3348" t="s">
        <v>7708</v>
      </c>
      <c r="F3348" t="s">
        <v>49</v>
      </c>
      <c r="G3348" t="s">
        <v>7709</v>
      </c>
      <c r="H3348" t="s">
        <v>7710</v>
      </c>
      <c r="J3348" t="str">
        <f>HYPERLINK("https://www.facebook.com/454965103328545/videos/3697954183759550?comment_id=945778610503026","https://www.facebook.com/454965103328545/videos/3697954183759550?comment_id=945778610503026")</f>
        <v>https://www.facebook.com/454965103328545/videos/3697954183759550?comment_id=945778610503026</v>
      </c>
      <c r="O3348">
        <v>0</v>
      </c>
      <c r="P3348">
        <v>0</v>
      </c>
      <c r="Q3348">
        <v>0</v>
      </c>
      <c r="S3348">
        <v>0</v>
      </c>
      <c r="T3348">
        <v>0</v>
      </c>
      <c r="U3348">
        <v>0</v>
      </c>
      <c r="W3348" t="s">
        <v>62</v>
      </c>
    </row>
    <row r="3349" spans="1:45" x14ac:dyDescent="0.35">
      <c r="A3349" t="s">
        <v>45</v>
      </c>
      <c r="B3349" t="s">
        <v>7677</v>
      </c>
      <c r="C3349" t="s">
        <v>58</v>
      </c>
      <c r="D3349" t="s">
        <v>7711</v>
      </c>
      <c r="E3349" t="s">
        <v>7711</v>
      </c>
      <c r="F3349" t="s">
        <v>76</v>
      </c>
      <c r="G3349" t="s">
        <v>7712</v>
      </c>
      <c r="H3349" t="s">
        <v>7713</v>
      </c>
      <c r="J3349" t="str">
        <f>HYPERLINK("https://www.youtube.com/watch?v=aW8nTCrz_G0","https://www.youtube.com/watch?v=aW8nTCrz_G0")</f>
        <v>https://www.youtube.com/watch?v=aW8nTCrz_G0</v>
      </c>
      <c r="O3349">
        <v>0</v>
      </c>
      <c r="P3349">
        <v>0</v>
      </c>
      <c r="Q3349">
        <v>0</v>
      </c>
      <c r="S3349">
        <v>0</v>
      </c>
      <c r="T3349">
        <v>0</v>
      </c>
      <c r="U3349">
        <v>0</v>
      </c>
      <c r="W3349" t="s">
        <v>106</v>
      </c>
    </row>
    <row r="3350" spans="1:45" x14ac:dyDescent="0.35">
      <c r="A3350" t="s">
        <v>45</v>
      </c>
      <c r="B3350" t="s">
        <v>7677</v>
      </c>
      <c r="C3350" t="s">
        <v>47</v>
      </c>
      <c r="D3350" t="s">
        <v>7714</v>
      </c>
      <c r="E3350" t="s">
        <v>7714</v>
      </c>
      <c r="F3350" t="s">
        <v>49</v>
      </c>
      <c r="G3350" t="s">
        <v>7715</v>
      </c>
      <c r="H3350" t="s">
        <v>7716</v>
      </c>
      <c r="J3350" t="str">
        <f>HYPERLINK("https://www.facebook.com/357267201017935/inbox/7000194420058480/","https://www.facebook.com/357267201017935/inbox/7000194420058480/")</f>
        <v>https://www.facebook.com/357267201017935/inbox/7000194420058480/</v>
      </c>
      <c r="O3350">
        <v>0</v>
      </c>
      <c r="P3350">
        <v>0</v>
      </c>
      <c r="Q3350">
        <v>0</v>
      </c>
      <c r="S3350">
        <v>0</v>
      </c>
      <c r="T3350">
        <v>0</v>
      </c>
      <c r="U3350">
        <v>0</v>
      </c>
      <c r="W3350" t="s">
        <v>52</v>
      </c>
    </row>
    <row r="3351" spans="1:45" x14ac:dyDescent="0.35">
      <c r="A3351" t="s">
        <v>45</v>
      </c>
      <c r="B3351" t="s">
        <v>7677</v>
      </c>
      <c r="C3351" t="s">
        <v>58</v>
      </c>
      <c r="D3351" t="s">
        <v>7717</v>
      </c>
      <c r="E3351" t="s">
        <v>7717</v>
      </c>
      <c r="F3351" t="s">
        <v>49</v>
      </c>
      <c r="G3351" t="s">
        <v>7718</v>
      </c>
      <c r="H3351" t="s">
        <v>7719</v>
      </c>
      <c r="J3351" t="str">
        <f>HYPERLINK("https://www.youtube.com/watch?v=TYIkeI8QVMU","https://www.youtube.com/watch?v=TYIkeI8QVMU")</f>
        <v>https://www.youtube.com/watch?v=TYIkeI8QVMU</v>
      </c>
      <c r="O3351">
        <v>0</v>
      </c>
      <c r="P3351">
        <v>0</v>
      </c>
      <c r="Q3351">
        <v>0</v>
      </c>
      <c r="S3351">
        <v>0</v>
      </c>
      <c r="T3351">
        <v>0</v>
      </c>
      <c r="U3351">
        <v>0</v>
      </c>
      <c r="W3351" t="s">
        <v>106</v>
      </c>
      <c r="AP3351" t="s">
        <v>101</v>
      </c>
    </row>
    <row r="3352" spans="1:45" x14ac:dyDescent="0.35">
      <c r="A3352" t="s">
        <v>45</v>
      </c>
      <c r="B3352" t="s">
        <v>7677</v>
      </c>
      <c r="C3352" t="s">
        <v>47</v>
      </c>
      <c r="D3352" t="s">
        <v>7720</v>
      </c>
      <c r="E3352" t="s">
        <v>7720</v>
      </c>
      <c r="F3352" t="s">
        <v>76</v>
      </c>
      <c r="G3352" t="s">
        <v>7721</v>
      </c>
      <c r="H3352" t="s">
        <v>7722</v>
      </c>
      <c r="J3352" t="str">
        <f>HYPERLINK("https://www.facebook.com/454965103328545/videos/3697954183759550?comment_id=747978690607138","https://www.facebook.com/454965103328545/videos/3697954183759550?comment_id=747978690607138")</f>
        <v>https://www.facebook.com/454965103328545/videos/3697954183759550?comment_id=747978690607138</v>
      </c>
      <c r="O3352">
        <v>0</v>
      </c>
      <c r="P3352">
        <v>0</v>
      </c>
      <c r="Q3352">
        <v>0</v>
      </c>
      <c r="S3352">
        <v>0</v>
      </c>
      <c r="T3352">
        <v>0</v>
      </c>
      <c r="U3352">
        <v>0</v>
      </c>
      <c r="W3352" t="s">
        <v>62</v>
      </c>
      <c r="AS3352" t="s">
        <v>375</v>
      </c>
    </row>
    <row r="3353" spans="1:45" x14ac:dyDescent="0.35">
      <c r="A3353" t="s">
        <v>45</v>
      </c>
      <c r="B3353" t="s">
        <v>7677</v>
      </c>
      <c r="C3353" t="s">
        <v>47</v>
      </c>
      <c r="D3353" t="s">
        <v>7723</v>
      </c>
      <c r="E3353" t="s">
        <v>7723</v>
      </c>
      <c r="F3353" t="s">
        <v>49</v>
      </c>
      <c r="G3353" t="s">
        <v>7706</v>
      </c>
      <c r="H3353" t="s">
        <v>7724</v>
      </c>
      <c r="J3353" t="str">
        <f>HYPERLINK("https://www.facebook.com/454965103328545/videos/3697954183759550?comment_id=355869480707357","https://www.facebook.com/454965103328545/videos/3697954183759550?comment_id=355869480707357")</f>
        <v>https://www.facebook.com/454965103328545/videos/3697954183759550?comment_id=355869480707357</v>
      </c>
      <c r="O3353">
        <v>0</v>
      </c>
      <c r="P3353">
        <v>0</v>
      </c>
      <c r="Q3353">
        <v>0</v>
      </c>
      <c r="S3353">
        <v>0</v>
      </c>
      <c r="T3353">
        <v>0</v>
      </c>
      <c r="U3353">
        <v>0</v>
      </c>
      <c r="W3353" t="s">
        <v>62</v>
      </c>
    </row>
    <row r="3354" spans="1:45" x14ac:dyDescent="0.35">
      <c r="A3354" t="s">
        <v>45</v>
      </c>
      <c r="B3354" t="s">
        <v>7677</v>
      </c>
      <c r="C3354" t="s">
        <v>47</v>
      </c>
      <c r="D3354" t="s">
        <v>7723</v>
      </c>
      <c r="E3354" t="s">
        <v>7723</v>
      </c>
      <c r="F3354" t="s">
        <v>49</v>
      </c>
      <c r="G3354" t="s">
        <v>7725</v>
      </c>
      <c r="H3354" t="s">
        <v>7726</v>
      </c>
      <c r="J3354" t="str">
        <f>HYPERLINK("https://www.facebook.com/454965103328545/videos/3697954183759550?comment_id=394847413093549","https://www.facebook.com/454965103328545/videos/3697954183759550?comment_id=394847413093549")</f>
        <v>https://www.facebook.com/454965103328545/videos/3697954183759550?comment_id=394847413093549</v>
      </c>
      <c r="O3354">
        <v>0</v>
      </c>
      <c r="P3354">
        <v>0</v>
      </c>
      <c r="Q3354">
        <v>0</v>
      </c>
      <c r="S3354">
        <v>0</v>
      </c>
      <c r="T3354">
        <v>0</v>
      </c>
      <c r="U3354">
        <v>0</v>
      </c>
      <c r="W3354" t="s">
        <v>62</v>
      </c>
      <c r="AS3354" t="s">
        <v>375</v>
      </c>
    </row>
    <row r="3355" spans="1:45" x14ac:dyDescent="0.35">
      <c r="A3355" t="s">
        <v>45</v>
      </c>
      <c r="B3355" t="s">
        <v>7677</v>
      </c>
      <c r="C3355" t="s">
        <v>47</v>
      </c>
      <c r="D3355" t="s">
        <v>2340</v>
      </c>
      <c r="E3355" t="s">
        <v>2340</v>
      </c>
      <c r="F3355" t="s">
        <v>142</v>
      </c>
      <c r="G3355" t="s">
        <v>7727</v>
      </c>
      <c r="H3355" t="s">
        <v>7728</v>
      </c>
      <c r="J3355" t="str">
        <f>HYPERLINK("https://www.facebook.com/454965103328545/posts/763233329168386?comment_id=758856462964242&amp;reply_comment_id=374154548647430","https://www.facebook.com/454965103328545/posts/763233329168386?comment_id=758856462964242&amp;reply_comment_id=374154548647430")</f>
        <v>https://www.facebook.com/454965103328545/posts/763233329168386?comment_id=758856462964242&amp;reply_comment_id=374154548647430</v>
      </c>
      <c r="O3355">
        <v>0</v>
      </c>
      <c r="P3355">
        <v>0</v>
      </c>
      <c r="Q3355">
        <v>0</v>
      </c>
      <c r="S3355">
        <v>0</v>
      </c>
      <c r="T3355">
        <v>0</v>
      </c>
      <c r="U3355">
        <v>0</v>
      </c>
      <c r="W3355" t="s">
        <v>62</v>
      </c>
    </row>
    <row r="3356" spans="1:45" x14ac:dyDescent="0.35">
      <c r="A3356" t="s">
        <v>45</v>
      </c>
      <c r="B3356" t="s">
        <v>7677</v>
      </c>
      <c r="C3356" t="s">
        <v>47</v>
      </c>
      <c r="D3356" t="s">
        <v>7729</v>
      </c>
      <c r="E3356" t="s">
        <v>7729</v>
      </c>
      <c r="F3356" t="s">
        <v>49</v>
      </c>
      <c r="G3356" t="s">
        <v>7730</v>
      </c>
      <c r="H3356" t="s">
        <v>7731</v>
      </c>
      <c r="J3356" t="str">
        <f>HYPERLINK("https://www.facebook.com/454965103328545/videos/3697954183759550?comment_id=711281361187863","https://www.facebook.com/454965103328545/videos/3697954183759550?comment_id=711281361187863")</f>
        <v>https://www.facebook.com/454965103328545/videos/3697954183759550?comment_id=711281361187863</v>
      </c>
      <c r="O3356">
        <v>0</v>
      </c>
      <c r="P3356">
        <v>0</v>
      </c>
      <c r="Q3356">
        <v>0</v>
      </c>
      <c r="S3356">
        <v>0</v>
      </c>
      <c r="T3356">
        <v>0</v>
      </c>
      <c r="U3356">
        <v>0</v>
      </c>
      <c r="W3356" t="s">
        <v>62</v>
      </c>
      <c r="AS3356" t="s">
        <v>375</v>
      </c>
    </row>
    <row r="3357" spans="1:45" x14ac:dyDescent="0.35">
      <c r="A3357" t="s">
        <v>45</v>
      </c>
      <c r="B3357" t="s">
        <v>7677</v>
      </c>
      <c r="C3357" t="s">
        <v>47</v>
      </c>
      <c r="D3357" t="s">
        <v>7732</v>
      </c>
      <c r="E3357" t="s">
        <v>7732</v>
      </c>
      <c r="F3357" t="s">
        <v>49</v>
      </c>
      <c r="G3357" t="s">
        <v>7733</v>
      </c>
      <c r="H3357" t="s">
        <v>7734</v>
      </c>
      <c r="J3357" t="str">
        <f>HYPERLINK("https://www.facebook.com/454965103328545/videos/3697954183759550?comment_id=1381732646043074&amp;reply_comment_id=919491226049449","https://www.facebook.com/454965103328545/videos/3697954183759550?comment_id=1381732646043074&amp;reply_comment_id=919491226049449")</f>
        <v>https://www.facebook.com/454965103328545/videos/3697954183759550?comment_id=1381732646043074&amp;reply_comment_id=919491226049449</v>
      </c>
      <c r="O3357">
        <v>0</v>
      </c>
      <c r="P3357">
        <v>0</v>
      </c>
      <c r="Q3357">
        <v>0</v>
      </c>
      <c r="S3357">
        <v>0</v>
      </c>
      <c r="T3357">
        <v>0</v>
      </c>
      <c r="U3357">
        <v>0</v>
      </c>
      <c r="W3357" t="s">
        <v>62</v>
      </c>
    </row>
    <row r="3358" spans="1:45" x14ac:dyDescent="0.35">
      <c r="A3358" t="s">
        <v>45</v>
      </c>
      <c r="B3358" t="s">
        <v>7677</v>
      </c>
      <c r="C3358" t="s">
        <v>47</v>
      </c>
      <c r="D3358" t="s">
        <v>7732</v>
      </c>
      <c r="E3358" t="s">
        <v>7732</v>
      </c>
      <c r="F3358" t="s">
        <v>49</v>
      </c>
      <c r="G3358" t="s">
        <v>7733</v>
      </c>
      <c r="H3358" t="s">
        <v>7735</v>
      </c>
      <c r="J3358" t="str">
        <f>HYPERLINK("https://www.facebook.com/454965103328545/videos/3697954183759550?comment_id=1623541318417545&amp;reply_comment_id=915024190117850","https://www.facebook.com/454965103328545/videos/3697954183759550?comment_id=1623541318417545&amp;reply_comment_id=915024190117850")</f>
        <v>https://www.facebook.com/454965103328545/videos/3697954183759550?comment_id=1623541318417545&amp;reply_comment_id=915024190117850</v>
      </c>
      <c r="O3358">
        <v>0</v>
      </c>
      <c r="P3358">
        <v>0</v>
      </c>
      <c r="Q3358">
        <v>0</v>
      </c>
      <c r="S3358">
        <v>0</v>
      </c>
      <c r="T3358">
        <v>0</v>
      </c>
      <c r="U3358">
        <v>0</v>
      </c>
      <c r="W3358" t="s">
        <v>62</v>
      </c>
    </row>
    <row r="3359" spans="1:45" x14ac:dyDescent="0.35">
      <c r="A3359" t="s">
        <v>45</v>
      </c>
      <c r="B3359" t="s">
        <v>7677</v>
      </c>
      <c r="C3359" t="s">
        <v>47</v>
      </c>
      <c r="D3359" t="s">
        <v>7201</v>
      </c>
      <c r="E3359" t="s">
        <v>7201</v>
      </c>
      <c r="F3359" t="s">
        <v>142</v>
      </c>
      <c r="G3359" t="s">
        <v>7736</v>
      </c>
      <c r="H3359" t="s">
        <v>7737</v>
      </c>
      <c r="J3359" t="str">
        <f>HYPERLINK("https://www.facebook.com/454965103328545/videos/3697954183759550?comment_id=721072066780521","https://www.facebook.com/454965103328545/videos/3697954183759550?comment_id=721072066780521")</f>
        <v>https://www.facebook.com/454965103328545/videos/3697954183759550?comment_id=721072066780521</v>
      </c>
      <c r="O3359">
        <v>0</v>
      </c>
      <c r="P3359">
        <v>0</v>
      </c>
      <c r="Q3359">
        <v>0</v>
      </c>
      <c r="S3359">
        <v>0</v>
      </c>
      <c r="T3359">
        <v>0</v>
      </c>
      <c r="U3359">
        <v>0</v>
      </c>
      <c r="W3359" t="s">
        <v>62</v>
      </c>
      <c r="AS3359" t="s">
        <v>375</v>
      </c>
    </row>
    <row r="3360" spans="1:45" x14ac:dyDescent="0.35">
      <c r="A3360" t="s">
        <v>45</v>
      </c>
      <c r="B3360" t="s">
        <v>7677</v>
      </c>
      <c r="C3360" t="s">
        <v>47</v>
      </c>
      <c r="D3360" t="s">
        <v>7738</v>
      </c>
      <c r="E3360" t="s">
        <v>7738</v>
      </c>
      <c r="F3360" t="s">
        <v>49</v>
      </c>
      <c r="G3360" t="s">
        <v>7739</v>
      </c>
      <c r="H3360" t="s">
        <v>7740</v>
      </c>
      <c r="J3360" t="str">
        <f>HYPERLINK("https://www.facebook.com/454965103328545/posts/763871475771238?comment_id=1106694737195725","https://www.facebook.com/454965103328545/posts/763871475771238?comment_id=1106694737195725")</f>
        <v>https://www.facebook.com/454965103328545/posts/763871475771238?comment_id=1106694737195725</v>
      </c>
      <c r="O3360">
        <v>0</v>
      </c>
      <c r="P3360">
        <v>0</v>
      </c>
      <c r="Q3360">
        <v>0</v>
      </c>
      <c r="S3360">
        <v>0</v>
      </c>
      <c r="T3360">
        <v>0</v>
      </c>
      <c r="U3360">
        <v>0</v>
      </c>
      <c r="W3360" t="s">
        <v>62</v>
      </c>
      <c r="AS3360" t="s">
        <v>375</v>
      </c>
    </row>
    <row r="3361" spans="1:45" x14ac:dyDescent="0.35">
      <c r="A3361" t="s">
        <v>45</v>
      </c>
      <c r="B3361" t="s">
        <v>7677</v>
      </c>
      <c r="C3361" t="s">
        <v>47</v>
      </c>
      <c r="D3361" t="s">
        <v>7738</v>
      </c>
      <c r="E3361" t="s">
        <v>7738</v>
      </c>
      <c r="F3361" t="s">
        <v>49</v>
      </c>
      <c r="G3361" t="s">
        <v>7739</v>
      </c>
      <c r="H3361" t="s">
        <v>7741</v>
      </c>
      <c r="J3361" t="str">
        <f>HYPERLINK("https://www.facebook.com/454965103328545/videos/3697954183759550?comment_id=323864913982732","https://www.facebook.com/454965103328545/videos/3697954183759550?comment_id=323864913982732")</f>
        <v>https://www.facebook.com/454965103328545/videos/3697954183759550?comment_id=323864913982732</v>
      </c>
      <c r="O3361">
        <v>0</v>
      </c>
      <c r="P3361">
        <v>0</v>
      </c>
      <c r="Q3361">
        <v>0</v>
      </c>
      <c r="S3361">
        <v>0</v>
      </c>
      <c r="T3361">
        <v>0</v>
      </c>
      <c r="U3361">
        <v>0</v>
      </c>
      <c r="W3361" t="s">
        <v>62</v>
      </c>
    </row>
    <row r="3362" spans="1:45" x14ac:dyDescent="0.35">
      <c r="A3362" t="s">
        <v>45</v>
      </c>
      <c r="B3362" t="s">
        <v>7677</v>
      </c>
      <c r="C3362" t="s">
        <v>47</v>
      </c>
      <c r="D3362" t="s">
        <v>7742</v>
      </c>
      <c r="E3362" t="s">
        <v>7742</v>
      </c>
      <c r="F3362" t="s">
        <v>49</v>
      </c>
      <c r="G3362" t="s">
        <v>7743</v>
      </c>
      <c r="H3362" t="s">
        <v>7744</v>
      </c>
      <c r="J3362" t="str">
        <f>HYPERLINK("https://www.facebook.com/454965103328545/videos/3697954183759550?comment_id=1011590303660047","https://www.facebook.com/454965103328545/videos/3697954183759550?comment_id=1011590303660047")</f>
        <v>https://www.facebook.com/454965103328545/videos/3697954183759550?comment_id=1011590303660047</v>
      </c>
      <c r="O3362">
        <v>0</v>
      </c>
      <c r="P3362">
        <v>0</v>
      </c>
      <c r="Q3362">
        <v>0</v>
      </c>
      <c r="S3362">
        <v>0</v>
      </c>
      <c r="T3362">
        <v>0</v>
      </c>
      <c r="U3362">
        <v>0</v>
      </c>
      <c r="W3362" t="s">
        <v>62</v>
      </c>
    </row>
    <row r="3363" spans="1:45" x14ac:dyDescent="0.35">
      <c r="A3363" t="s">
        <v>45</v>
      </c>
      <c r="B3363" t="s">
        <v>7677</v>
      </c>
      <c r="C3363" t="s">
        <v>47</v>
      </c>
      <c r="D3363" t="s">
        <v>7634</v>
      </c>
      <c r="E3363" t="s">
        <v>7634</v>
      </c>
      <c r="F3363" t="s">
        <v>49</v>
      </c>
      <c r="G3363" t="s">
        <v>7745</v>
      </c>
      <c r="H3363" t="s">
        <v>7746</v>
      </c>
      <c r="J3363" t="str">
        <f>HYPERLINK("https://www.facebook.com/357267201017935/inbox/6999143306830258/","https://www.facebook.com/357267201017935/inbox/6999143306830258/")</f>
        <v>https://www.facebook.com/357267201017935/inbox/6999143306830258/</v>
      </c>
      <c r="O3363">
        <v>0</v>
      </c>
      <c r="P3363">
        <v>0</v>
      </c>
      <c r="Q3363">
        <v>0</v>
      </c>
      <c r="S3363">
        <v>0</v>
      </c>
      <c r="T3363">
        <v>0</v>
      </c>
      <c r="U3363">
        <v>0</v>
      </c>
      <c r="W3363" t="s">
        <v>52</v>
      </c>
      <c r="AP3363" t="s">
        <v>101</v>
      </c>
      <c r="AS3363" t="s">
        <v>375</v>
      </c>
    </row>
    <row r="3364" spans="1:45" x14ac:dyDescent="0.35">
      <c r="A3364" t="s">
        <v>45</v>
      </c>
      <c r="B3364" t="s">
        <v>7677</v>
      </c>
      <c r="C3364" t="s">
        <v>47</v>
      </c>
      <c r="D3364" t="s">
        <v>7580</v>
      </c>
      <c r="E3364" t="s">
        <v>7580</v>
      </c>
      <c r="F3364" t="s">
        <v>49</v>
      </c>
      <c r="G3364" t="s">
        <v>7747</v>
      </c>
      <c r="H3364" t="s">
        <v>7748</v>
      </c>
      <c r="J3364" t="str">
        <f>HYPERLINK("https://www.facebook.com/357267201017935/inbox/6999009510176971/","https://www.facebook.com/357267201017935/inbox/6999009510176971/")</f>
        <v>https://www.facebook.com/357267201017935/inbox/6999009510176971/</v>
      </c>
      <c r="O3364">
        <v>0</v>
      </c>
      <c r="P3364">
        <v>0</v>
      </c>
      <c r="Q3364">
        <v>0</v>
      </c>
      <c r="S3364">
        <v>0</v>
      </c>
      <c r="T3364">
        <v>0</v>
      </c>
      <c r="U3364">
        <v>0</v>
      </c>
      <c r="W3364" t="s">
        <v>52</v>
      </c>
      <c r="AO3364" t="s">
        <v>119</v>
      </c>
      <c r="AP3364" t="s">
        <v>94</v>
      </c>
      <c r="AS3364" t="s">
        <v>375</v>
      </c>
    </row>
    <row r="3365" spans="1:45" x14ac:dyDescent="0.35">
      <c r="A3365" t="s">
        <v>45</v>
      </c>
      <c r="B3365" t="s">
        <v>7677</v>
      </c>
      <c r="C3365" t="s">
        <v>47</v>
      </c>
      <c r="D3365" t="s">
        <v>7749</v>
      </c>
      <c r="E3365" t="s">
        <v>7749</v>
      </c>
      <c r="F3365" t="s">
        <v>49</v>
      </c>
      <c r="G3365" t="s">
        <v>7750</v>
      </c>
      <c r="H3365" t="s">
        <v>7751</v>
      </c>
      <c r="J3365" t="str">
        <f>HYPERLINK("https://www.facebook.com/454965103328545/posts/763871475771238?comment_id=900738834879766","https://www.facebook.com/454965103328545/posts/763871475771238?comment_id=900738834879766")</f>
        <v>https://www.facebook.com/454965103328545/posts/763871475771238?comment_id=900738834879766</v>
      </c>
      <c r="O3365">
        <v>0</v>
      </c>
      <c r="P3365">
        <v>0</v>
      </c>
      <c r="Q3365">
        <v>0</v>
      </c>
      <c r="S3365">
        <v>0</v>
      </c>
      <c r="T3365">
        <v>0</v>
      </c>
      <c r="U3365">
        <v>0</v>
      </c>
      <c r="W3365" t="s">
        <v>62</v>
      </c>
    </row>
    <row r="3366" spans="1:45" x14ac:dyDescent="0.35">
      <c r="A3366" t="s">
        <v>45</v>
      </c>
      <c r="B3366" t="s">
        <v>7677</v>
      </c>
      <c r="C3366" t="s">
        <v>47</v>
      </c>
      <c r="D3366" t="s">
        <v>7738</v>
      </c>
      <c r="E3366" t="s">
        <v>7738</v>
      </c>
      <c r="F3366" t="s">
        <v>49</v>
      </c>
      <c r="G3366" t="s">
        <v>7739</v>
      </c>
      <c r="H3366" t="s">
        <v>7752</v>
      </c>
      <c r="J3366" t="str">
        <f>HYPERLINK("https://www.facebook.com/454965103328545/posts/763715162453536?comment_id=1647294156078830","https://www.facebook.com/454965103328545/posts/763715162453536?comment_id=1647294156078830")</f>
        <v>https://www.facebook.com/454965103328545/posts/763715162453536?comment_id=1647294156078830</v>
      </c>
      <c r="O3366">
        <v>0</v>
      </c>
      <c r="P3366">
        <v>0</v>
      </c>
      <c r="Q3366">
        <v>0</v>
      </c>
      <c r="S3366">
        <v>0</v>
      </c>
      <c r="T3366">
        <v>0</v>
      </c>
      <c r="U3366">
        <v>0</v>
      </c>
      <c r="W3366" t="s">
        <v>62</v>
      </c>
    </row>
    <row r="3367" spans="1:45" x14ac:dyDescent="0.35">
      <c r="A3367" t="s">
        <v>45</v>
      </c>
      <c r="B3367" t="s">
        <v>7677</v>
      </c>
      <c r="C3367" t="s">
        <v>47</v>
      </c>
      <c r="D3367" t="s">
        <v>7753</v>
      </c>
      <c r="E3367" t="s">
        <v>7753</v>
      </c>
      <c r="F3367" t="s">
        <v>49</v>
      </c>
      <c r="G3367" t="s">
        <v>459</v>
      </c>
      <c r="H3367" t="s">
        <v>7754</v>
      </c>
      <c r="J3367" t="str">
        <f>HYPERLINK("https://www.facebook.com/454965103328545/videos/3697954183759550?comment_id=1103287344195246","https://www.facebook.com/454965103328545/videos/3697954183759550?comment_id=1103287344195246")</f>
        <v>https://www.facebook.com/454965103328545/videos/3697954183759550?comment_id=1103287344195246</v>
      </c>
      <c r="O3367">
        <v>0</v>
      </c>
      <c r="P3367">
        <v>0</v>
      </c>
      <c r="Q3367">
        <v>0</v>
      </c>
      <c r="S3367">
        <v>0</v>
      </c>
      <c r="T3367">
        <v>0</v>
      </c>
      <c r="U3367">
        <v>0</v>
      </c>
      <c r="W3367" t="s">
        <v>62</v>
      </c>
      <c r="AS3367" t="s">
        <v>375</v>
      </c>
    </row>
    <row r="3368" spans="1:45" x14ac:dyDescent="0.35">
      <c r="A3368" t="s">
        <v>45</v>
      </c>
      <c r="B3368" t="s">
        <v>7677</v>
      </c>
      <c r="C3368" t="s">
        <v>139</v>
      </c>
      <c r="D3368" t="s">
        <v>7755</v>
      </c>
      <c r="E3368" t="s">
        <v>7756</v>
      </c>
      <c r="F3368" t="s">
        <v>49</v>
      </c>
      <c r="G3368" t="s">
        <v>7757</v>
      </c>
      <c r="H3368" t="s">
        <v>7758</v>
      </c>
      <c r="J3368" t="str">
        <f>HYPERLINK("https://twitter.com/guodor11265/status/1754005077830852660","https://twitter.com/guodor11265/status/1754005077830852660")</f>
        <v>https://twitter.com/guodor11265/status/1754005077830852660</v>
      </c>
      <c r="O3368">
        <v>0</v>
      </c>
      <c r="P3368">
        <v>0</v>
      </c>
      <c r="Q3368">
        <v>0</v>
      </c>
      <c r="R3368" t="s">
        <v>7759</v>
      </c>
      <c r="S3368">
        <v>0</v>
      </c>
      <c r="T3368">
        <v>0</v>
      </c>
      <c r="U3368">
        <v>0</v>
      </c>
      <c r="W3368" t="s">
        <v>146</v>
      </c>
    </row>
    <row r="3369" spans="1:45" x14ac:dyDescent="0.35">
      <c r="A3369" t="s">
        <v>45</v>
      </c>
      <c r="B3369" t="s">
        <v>7677</v>
      </c>
      <c r="C3369" t="s">
        <v>139</v>
      </c>
      <c r="D3369" t="s">
        <v>7760</v>
      </c>
      <c r="E3369" t="s">
        <v>7761</v>
      </c>
      <c r="F3369" t="s">
        <v>142</v>
      </c>
      <c r="G3369" t="s">
        <v>7762</v>
      </c>
      <c r="H3369" t="s">
        <v>7763</v>
      </c>
      <c r="J3369" t="str">
        <f>HYPERLINK("https://twitter.com/ImAbhijeet_S/status/1754005064073740571","https://twitter.com/ImAbhijeet_S/status/1754005064073740571")</f>
        <v>https://twitter.com/ImAbhijeet_S/status/1754005064073740571</v>
      </c>
      <c r="K3369" t="s">
        <v>145</v>
      </c>
      <c r="O3369">
        <v>0</v>
      </c>
      <c r="P3369">
        <v>0</v>
      </c>
      <c r="Q3369">
        <v>43</v>
      </c>
      <c r="S3369">
        <v>0</v>
      </c>
      <c r="T3369">
        <v>0</v>
      </c>
      <c r="U3369">
        <v>0</v>
      </c>
      <c r="W3369" t="s">
        <v>146</v>
      </c>
      <c r="AS3369" t="s">
        <v>375</v>
      </c>
    </row>
    <row r="3370" spans="1:45" x14ac:dyDescent="0.35">
      <c r="A3370" t="s">
        <v>45</v>
      </c>
      <c r="B3370" t="s">
        <v>7677</v>
      </c>
      <c r="C3370" t="s">
        <v>47</v>
      </c>
      <c r="D3370" t="s">
        <v>6252</v>
      </c>
      <c r="E3370" t="s">
        <v>6252</v>
      </c>
      <c r="F3370" t="s">
        <v>49</v>
      </c>
      <c r="G3370" t="s">
        <v>7764</v>
      </c>
      <c r="H3370" t="s">
        <v>7765</v>
      </c>
      <c r="J3370" t="str">
        <f>HYPERLINK("https://www.facebook.com/454965103328545/posts/763233329168386?comment_id=2626248300867257","https://www.facebook.com/454965103328545/posts/763233329168386?comment_id=2626248300867257")</f>
        <v>https://www.facebook.com/454965103328545/posts/763233329168386?comment_id=2626248300867257</v>
      </c>
      <c r="O3370">
        <v>0</v>
      </c>
      <c r="P3370">
        <v>0</v>
      </c>
      <c r="Q3370">
        <v>0</v>
      </c>
      <c r="S3370">
        <v>0</v>
      </c>
      <c r="T3370">
        <v>0</v>
      </c>
      <c r="U3370">
        <v>0</v>
      </c>
      <c r="W3370" t="s">
        <v>62</v>
      </c>
      <c r="AS3370" t="s">
        <v>375</v>
      </c>
    </row>
    <row r="3371" spans="1:45" x14ac:dyDescent="0.35">
      <c r="A3371" t="s">
        <v>45</v>
      </c>
      <c r="B3371" t="s">
        <v>7677</v>
      </c>
      <c r="C3371" t="s">
        <v>47</v>
      </c>
      <c r="D3371" t="s">
        <v>7766</v>
      </c>
      <c r="E3371" t="s">
        <v>7766</v>
      </c>
      <c r="F3371" t="s">
        <v>49</v>
      </c>
      <c r="G3371" t="s">
        <v>7767</v>
      </c>
      <c r="H3371" t="s">
        <v>7768</v>
      </c>
      <c r="J3371" t="str">
        <f>HYPERLINK("https://www.facebook.com/454965103328545/videos/3697954183759550?comment_id=759249699096286","https://www.facebook.com/454965103328545/videos/3697954183759550?comment_id=759249699096286")</f>
        <v>https://www.facebook.com/454965103328545/videos/3697954183759550?comment_id=759249699096286</v>
      </c>
      <c r="O3371">
        <v>0</v>
      </c>
      <c r="P3371">
        <v>0</v>
      </c>
      <c r="Q3371">
        <v>0</v>
      </c>
      <c r="S3371">
        <v>0</v>
      </c>
      <c r="T3371">
        <v>0</v>
      </c>
      <c r="U3371">
        <v>0</v>
      </c>
      <c r="W3371" t="s">
        <v>62</v>
      </c>
    </row>
    <row r="3372" spans="1:45" x14ac:dyDescent="0.35">
      <c r="A3372" t="s">
        <v>45</v>
      </c>
      <c r="B3372" t="s">
        <v>7677</v>
      </c>
      <c r="C3372" t="s">
        <v>47</v>
      </c>
      <c r="D3372" t="s">
        <v>7766</v>
      </c>
      <c r="E3372" t="s">
        <v>7766</v>
      </c>
      <c r="F3372" t="s">
        <v>49</v>
      </c>
      <c r="G3372" t="s">
        <v>7769</v>
      </c>
      <c r="H3372" t="s">
        <v>7770</v>
      </c>
      <c r="J3372" t="str">
        <f>HYPERLINK("https://www.facebook.com/454965103328545/videos/3697954183759550?comment_id=403494635412726","https://www.facebook.com/454965103328545/videos/3697954183759550?comment_id=403494635412726")</f>
        <v>https://www.facebook.com/454965103328545/videos/3697954183759550?comment_id=403494635412726</v>
      </c>
      <c r="O3372">
        <v>0</v>
      </c>
      <c r="P3372">
        <v>0</v>
      </c>
      <c r="Q3372">
        <v>0</v>
      </c>
      <c r="S3372">
        <v>0</v>
      </c>
      <c r="T3372">
        <v>0</v>
      </c>
      <c r="U3372">
        <v>0</v>
      </c>
      <c r="W3372" t="s">
        <v>62</v>
      </c>
    </row>
    <row r="3373" spans="1:45" x14ac:dyDescent="0.35">
      <c r="A3373" t="s">
        <v>45</v>
      </c>
      <c r="B3373" t="s">
        <v>7677</v>
      </c>
      <c r="C3373" t="s">
        <v>47</v>
      </c>
      <c r="D3373" t="s">
        <v>7771</v>
      </c>
      <c r="E3373" t="s">
        <v>7771</v>
      </c>
      <c r="F3373" t="s">
        <v>49</v>
      </c>
      <c r="G3373" t="s">
        <v>7772</v>
      </c>
      <c r="H3373" t="s">
        <v>7773</v>
      </c>
      <c r="J3373" t="str">
        <f>HYPERLINK("https://www.facebook.com/454965103328545/posts/533625152129206?comment_id=681895534024576","https://www.facebook.com/454965103328545/posts/533625152129206?comment_id=681895534024576")</f>
        <v>https://www.facebook.com/454965103328545/posts/533625152129206?comment_id=681895534024576</v>
      </c>
      <c r="O3373">
        <v>0</v>
      </c>
      <c r="P3373">
        <v>0</v>
      </c>
      <c r="Q3373">
        <v>0</v>
      </c>
      <c r="S3373">
        <v>0</v>
      </c>
      <c r="T3373">
        <v>0</v>
      </c>
      <c r="U3373">
        <v>0</v>
      </c>
      <c r="W3373" t="s">
        <v>62</v>
      </c>
      <c r="AO3373" t="s">
        <v>67</v>
      </c>
    </row>
    <row r="3374" spans="1:45" x14ac:dyDescent="0.35">
      <c r="A3374" t="s">
        <v>45</v>
      </c>
      <c r="B3374" t="s">
        <v>7677</v>
      </c>
      <c r="C3374" t="s">
        <v>139</v>
      </c>
      <c r="D3374" t="s">
        <v>7774</v>
      </c>
      <c r="E3374" t="s">
        <v>6947</v>
      </c>
      <c r="F3374" t="s">
        <v>49</v>
      </c>
      <c r="G3374" t="s">
        <v>7775</v>
      </c>
      <c r="H3374" t="s">
        <v>7776</v>
      </c>
      <c r="J3374" t="str">
        <f>HYPERLINK("https://twitter.com/PaytmB39388/status/1753996625650044958","https://twitter.com/PaytmB39388/status/1753996625650044958")</f>
        <v>https://twitter.com/PaytmB39388/status/1753996625650044958</v>
      </c>
      <c r="O3374">
        <v>0</v>
      </c>
      <c r="P3374">
        <v>0</v>
      </c>
      <c r="Q3374">
        <v>0</v>
      </c>
      <c r="S3374">
        <v>0</v>
      </c>
      <c r="T3374">
        <v>0</v>
      </c>
      <c r="U3374">
        <v>0</v>
      </c>
      <c r="W3374" t="s">
        <v>146</v>
      </c>
    </row>
    <row r="3375" spans="1:45" x14ac:dyDescent="0.35">
      <c r="A3375" t="s">
        <v>45</v>
      </c>
      <c r="B3375" t="s">
        <v>7677</v>
      </c>
      <c r="C3375" t="s">
        <v>139</v>
      </c>
      <c r="D3375" t="s">
        <v>7777</v>
      </c>
      <c r="E3375" t="s">
        <v>7778</v>
      </c>
      <c r="F3375" t="s">
        <v>142</v>
      </c>
      <c r="G3375" t="s">
        <v>7779</v>
      </c>
      <c r="H3375" t="s">
        <v>7780</v>
      </c>
      <c r="J3375" t="str">
        <f>HYPERLINK("https://twitter.com/Rational1947/status/1753995711908028825","https://twitter.com/Rational1947/status/1753995711908028825")</f>
        <v>https://twitter.com/Rational1947/status/1753995711908028825</v>
      </c>
      <c r="K3375" t="s">
        <v>145</v>
      </c>
      <c r="O3375">
        <v>0</v>
      </c>
      <c r="P3375">
        <v>0</v>
      </c>
      <c r="Q3375">
        <v>4</v>
      </c>
      <c r="S3375">
        <v>0</v>
      </c>
      <c r="T3375">
        <v>0</v>
      </c>
      <c r="U3375">
        <v>0</v>
      </c>
      <c r="W3375" t="s">
        <v>146</v>
      </c>
    </row>
    <row r="3376" spans="1:45" x14ac:dyDescent="0.35">
      <c r="A3376" t="s">
        <v>45</v>
      </c>
      <c r="B3376" t="s">
        <v>7677</v>
      </c>
      <c r="C3376" t="s">
        <v>58</v>
      </c>
      <c r="D3376" t="s">
        <v>3440</v>
      </c>
      <c r="E3376" t="s">
        <v>3440</v>
      </c>
      <c r="F3376" t="s">
        <v>49</v>
      </c>
      <c r="G3376" t="s">
        <v>7781</v>
      </c>
      <c r="H3376" t="s">
        <v>7782</v>
      </c>
      <c r="J3376" t="str">
        <f>HYPERLINK("https://www.youtube.com/watch?v=MqQVF8ynSy0","https://www.youtube.com/watch?v=MqQVF8ynSy0")</f>
        <v>https://www.youtube.com/watch?v=MqQVF8ynSy0</v>
      </c>
      <c r="O3376">
        <v>0</v>
      </c>
      <c r="P3376">
        <v>0</v>
      </c>
      <c r="Q3376">
        <v>0</v>
      </c>
      <c r="S3376">
        <v>0</v>
      </c>
      <c r="T3376">
        <v>0</v>
      </c>
      <c r="U3376">
        <v>0</v>
      </c>
      <c r="W3376" t="s">
        <v>106</v>
      </c>
      <c r="AP3376" t="s">
        <v>101</v>
      </c>
    </row>
    <row r="3377" spans="1:45" x14ac:dyDescent="0.35">
      <c r="A3377" t="s">
        <v>45</v>
      </c>
      <c r="B3377" t="s">
        <v>7677</v>
      </c>
      <c r="C3377" t="s">
        <v>47</v>
      </c>
      <c r="D3377" t="s">
        <v>5936</v>
      </c>
      <c r="E3377" t="s">
        <v>5936</v>
      </c>
      <c r="F3377" t="s">
        <v>49</v>
      </c>
      <c r="G3377" t="s">
        <v>7783</v>
      </c>
      <c r="H3377" t="s">
        <v>7784</v>
      </c>
      <c r="J3377" t="str">
        <f>HYPERLINK("https://www.facebook.com/454965103328545/videos/3697954183759550?comment_id=1381732646043074","https://www.facebook.com/454965103328545/videos/3697954183759550?comment_id=1381732646043074")</f>
        <v>https://www.facebook.com/454965103328545/videos/3697954183759550?comment_id=1381732646043074</v>
      </c>
      <c r="O3377">
        <v>0</v>
      </c>
      <c r="P3377">
        <v>0</v>
      </c>
      <c r="Q3377">
        <v>0</v>
      </c>
      <c r="S3377">
        <v>0</v>
      </c>
      <c r="T3377">
        <v>0</v>
      </c>
      <c r="U3377">
        <v>0</v>
      </c>
      <c r="W3377" t="s">
        <v>62</v>
      </c>
      <c r="AO3377" t="s">
        <v>119</v>
      </c>
      <c r="AP3377" t="s">
        <v>101</v>
      </c>
      <c r="AS3377" t="s">
        <v>375</v>
      </c>
    </row>
    <row r="3378" spans="1:45" x14ac:dyDescent="0.35">
      <c r="A3378" t="s">
        <v>45</v>
      </c>
      <c r="B3378" t="s">
        <v>7677</v>
      </c>
      <c r="C3378" t="s">
        <v>47</v>
      </c>
      <c r="D3378" t="s">
        <v>7785</v>
      </c>
      <c r="E3378" t="s">
        <v>7785</v>
      </c>
      <c r="F3378" t="s">
        <v>49</v>
      </c>
      <c r="G3378" t="s">
        <v>7786</v>
      </c>
      <c r="H3378" t="s">
        <v>7787</v>
      </c>
      <c r="J3378" t="str">
        <f>HYPERLINK("https://www.facebook.com/454965103328545/posts/763715162453536?comment_id=407891748568659","https://www.facebook.com/454965103328545/posts/763715162453536?comment_id=407891748568659")</f>
        <v>https://www.facebook.com/454965103328545/posts/763715162453536?comment_id=407891748568659</v>
      </c>
      <c r="O3378">
        <v>0</v>
      </c>
      <c r="P3378">
        <v>0</v>
      </c>
      <c r="Q3378">
        <v>0</v>
      </c>
      <c r="S3378">
        <v>0</v>
      </c>
      <c r="T3378">
        <v>0</v>
      </c>
      <c r="U3378">
        <v>0</v>
      </c>
      <c r="W3378" t="s">
        <v>62</v>
      </c>
    </row>
    <row r="3379" spans="1:45" x14ac:dyDescent="0.35">
      <c r="A3379" t="s">
        <v>45</v>
      </c>
      <c r="B3379" t="s">
        <v>7677</v>
      </c>
      <c r="C3379" t="s">
        <v>47</v>
      </c>
      <c r="D3379" t="s">
        <v>7788</v>
      </c>
      <c r="E3379" t="s">
        <v>7788</v>
      </c>
      <c r="F3379" t="s">
        <v>49</v>
      </c>
      <c r="G3379" t="s">
        <v>7789</v>
      </c>
      <c r="H3379" t="s">
        <v>7790</v>
      </c>
      <c r="J3379" t="str">
        <f>HYPERLINK("https://www.facebook.com/454965103328545/videos/3697954183759550?comment_id=3267729960198355","https://www.facebook.com/454965103328545/videos/3697954183759550?comment_id=3267729960198355")</f>
        <v>https://www.facebook.com/454965103328545/videos/3697954183759550?comment_id=3267729960198355</v>
      </c>
      <c r="O3379">
        <v>0</v>
      </c>
      <c r="P3379">
        <v>0</v>
      </c>
      <c r="Q3379">
        <v>0</v>
      </c>
      <c r="S3379">
        <v>0</v>
      </c>
      <c r="T3379">
        <v>0</v>
      </c>
      <c r="U3379">
        <v>0</v>
      </c>
      <c r="W3379" t="s">
        <v>62</v>
      </c>
    </row>
    <row r="3380" spans="1:45" x14ac:dyDescent="0.35">
      <c r="A3380" t="s">
        <v>45</v>
      </c>
      <c r="B3380" t="s">
        <v>7677</v>
      </c>
      <c r="C3380" t="s">
        <v>47</v>
      </c>
      <c r="D3380" t="s">
        <v>1117</v>
      </c>
      <c r="E3380" t="s">
        <v>1117</v>
      </c>
      <c r="F3380" t="s">
        <v>76</v>
      </c>
      <c r="G3380" t="s">
        <v>1118</v>
      </c>
      <c r="H3380" t="s">
        <v>7791</v>
      </c>
      <c r="J3380" t="str">
        <f>HYPERLINK("https://www.facebook.com/357267201017935/inbox/5367043763373562/","https://www.facebook.com/357267201017935/inbox/5367043763373562/")</f>
        <v>https://www.facebook.com/357267201017935/inbox/5367043763373562/</v>
      </c>
      <c r="O3380">
        <v>0</v>
      </c>
      <c r="P3380">
        <v>0</v>
      </c>
      <c r="Q3380">
        <v>0</v>
      </c>
      <c r="S3380">
        <v>0</v>
      </c>
      <c r="T3380">
        <v>0</v>
      </c>
      <c r="U3380">
        <v>0</v>
      </c>
      <c r="W3380" t="s">
        <v>52</v>
      </c>
    </row>
    <row r="3381" spans="1:45" x14ac:dyDescent="0.35">
      <c r="A3381" t="s">
        <v>45</v>
      </c>
      <c r="B3381" t="s">
        <v>7677</v>
      </c>
      <c r="C3381" t="s">
        <v>63</v>
      </c>
      <c r="D3381" t="s">
        <v>186</v>
      </c>
      <c r="E3381" t="s">
        <v>186</v>
      </c>
      <c r="F3381" t="s">
        <v>49</v>
      </c>
      <c r="G3381" t="s">
        <v>7792</v>
      </c>
      <c r="H3381" t="s">
        <v>7793</v>
      </c>
      <c r="J3381" t="str">
        <f>HYPERLINK("https://www.instagram.com/p/C26Ktj3ty1U/","https://www.instagram.com/p/C26Ktj3ty1U/")</f>
        <v>https://www.instagram.com/p/C26Ktj3ty1U/</v>
      </c>
      <c r="O3381">
        <v>0</v>
      </c>
      <c r="P3381">
        <v>0</v>
      </c>
      <c r="Q3381">
        <v>0</v>
      </c>
      <c r="S3381">
        <v>0</v>
      </c>
      <c r="T3381">
        <v>68</v>
      </c>
      <c r="U3381">
        <v>0</v>
      </c>
      <c r="W3381" t="s">
        <v>106</v>
      </c>
    </row>
    <row r="3382" spans="1:45" x14ac:dyDescent="0.35">
      <c r="A3382" t="s">
        <v>45</v>
      </c>
      <c r="B3382" t="s">
        <v>7677</v>
      </c>
      <c r="C3382" t="s">
        <v>47</v>
      </c>
      <c r="D3382" t="s">
        <v>45</v>
      </c>
      <c r="E3382" t="s">
        <v>45</v>
      </c>
      <c r="F3382" t="s">
        <v>49</v>
      </c>
      <c r="G3382" t="s">
        <v>7792</v>
      </c>
      <c r="H3382" t="s">
        <v>7794</v>
      </c>
      <c r="J3382" t="str">
        <f>HYPERLINK("https://www.facebook.com/357267201017935_763715162453536","https://www.facebook.com/357267201017935_763715162453536")</f>
        <v>https://www.facebook.com/357267201017935_763715162453536</v>
      </c>
      <c r="O3382">
        <v>0</v>
      </c>
      <c r="P3382">
        <v>0</v>
      </c>
      <c r="Q3382">
        <v>0</v>
      </c>
      <c r="S3382">
        <v>7</v>
      </c>
      <c r="T3382">
        <v>62</v>
      </c>
      <c r="U3382">
        <v>2</v>
      </c>
      <c r="W3382" t="s">
        <v>106</v>
      </c>
    </row>
    <row r="3383" spans="1:45" x14ac:dyDescent="0.35">
      <c r="A3383" t="s">
        <v>45</v>
      </c>
      <c r="B3383" t="s">
        <v>7677</v>
      </c>
      <c r="C3383" t="s">
        <v>139</v>
      </c>
      <c r="D3383" t="s">
        <v>190</v>
      </c>
      <c r="E3383" t="s">
        <v>45</v>
      </c>
      <c r="F3383" t="s">
        <v>49</v>
      </c>
      <c r="G3383" t="s">
        <v>7795</v>
      </c>
      <c r="H3383" t="s">
        <v>7794</v>
      </c>
      <c r="J3383" t="str">
        <f>HYPERLINK("https://twitter.com/FinoPaymntsBank/status/1753969122248114582","https://twitter.com/FinoPaymntsBank/status/1753969122248114582")</f>
        <v>https://twitter.com/FinoPaymntsBank/status/1753969122248114582</v>
      </c>
      <c r="K3383" t="s">
        <v>145</v>
      </c>
      <c r="O3383">
        <v>0</v>
      </c>
      <c r="P3383">
        <v>0</v>
      </c>
      <c r="Q3383">
        <v>8360</v>
      </c>
      <c r="R3383" t="s">
        <v>193</v>
      </c>
      <c r="S3383">
        <v>0</v>
      </c>
      <c r="T3383">
        <v>0</v>
      </c>
      <c r="U3383">
        <v>0</v>
      </c>
      <c r="W3383" t="s">
        <v>146</v>
      </c>
    </row>
    <row r="3384" spans="1:45" x14ac:dyDescent="0.35">
      <c r="A3384" t="s">
        <v>45</v>
      </c>
      <c r="B3384" t="s">
        <v>7677</v>
      </c>
      <c r="C3384" t="s">
        <v>47</v>
      </c>
      <c r="D3384" t="s">
        <v>7796</v>
      </c>
      <c r="E3384" t="s">
        <v>7796</v>
      </c>
      <c r="F3384" t="s">
        <v>49</v>
      </c>
      <c r="G3384" t="s">
        <v>7797</v>
      </c>
      <c r="H3384" t="s">
        <v>7798</v>
      </c>
      <c r="J3384" t="str">
        <f>HYPERLINK("https://www.facebook.com/454965103328545/posts/764462805712105?comment_id=228602183652654&amp;reply_comment_id=708264447961502","https://www.facebook.com/454965103328545/posts/764462805712105?comment_id=228602183652654&amp;reply_comment_id=708264447961502")</f>
        <v>https://www.facebook.com/454965103328545/posts/764462805712105?comment_id=228602183652654&amp;reply_comment_id=708264447961502</v>
      </c>
      <c r="O3384">
        <v>0</v>
      </c>
      <c r="P3384">
        <v>0</v>
      </c>
      <c r="Q3384">
        <v>0</v>
      </c>
      <c r="S3384">
        <v>0</v>
      </c>
      <c r="T3384">
        <v>0</v>
      </c>
      <c r="U3384">
        <v>0</v>
      </c>
      <c r="W3384" t="s">
        <v>62</v>
      </c>
    </row>
    <row r="3385" spans="1:45" x14ac:dyDescent="0.35">
      <c r="A3385" t="s">
        <v>45</v>
      </c>
      <c r="B3385" t="s">
        <v>7677</v>
      </c>
      <c r="C3385" t="s">
        <v>47</v>
      </c>
      <c r="D3385" t="s">
        <v>7799</v>
      </c>
      <c r="E3385" t="s">
        <v>7799</v>
      </c>
      <c r="F3385" t="s">
        <v>49</v>
      </c>
      <c r="G3385" t="s">
        <v>7800</v>
      </c>
      <c r="H3385" t="s">
        <v>7801</v>
      </c>
      <c r="J3385" t="str">
        <f>HYPERLINK("https://www.facebook.com/454965103328545/posts/755944923230560?comment_id=1356254068360776","https://www.facebook.com/454965103328545/posts/755944923230560?comment_id=1356254068360776")</f>
        <v>https://www.facebook.com/454965103328545/posts/755944923230560?comment_id=1356254068360776</v>
      </c>
      <c r="O3385">
        <v>0</v>
      </c>
      <c r="P3385">
        <v>0</v>
      </c>
      <c r="Q3385">
        <v>0</v>
      </c>
      <c r="S3385">
        <v>0</v>
      </c>
      <c r="T3385">
        <v>0</v>
      </c>
      <c r="U3385">
        <v>0</v>
      </c>
      <c r="W3385" t="s">
        <v>62</v>
      </c>
      <c r="AP3385" t="s">
        <v>101</v>
      </c>
      <c r="AS3385" t="s">
        <v>375</v>
      </c>
    </row>
    <row r="3386" spans="1:45" x14ac:dyDescent="0.35">
      <c r="A3386" t="s">
        <v>45</v>
      </c>
      <c r="B3386" t="s">
        <v>7677</v>
      </c>
      <c r="C3386" t="s">
        <v>58</v>
      </c>
      <c r="D3386" t="s">
        <v>1706</v>
      </c>
      <c r="E3386" t="s">
        <v>1706</v>
      </c>
      <c r="F3386" t="s">
        <v>49</v>
      </c>
      <c r="G3386" t="s">
        <v>7802</v>
      </c>
      <c r="H3386" t="s">
        <v>7803</v>
      </c>
      <c r="J3386" t="str">
        <f>HYPERLINK("https://www.youtube.com/watch?v=5WillssD41Q","https://www.youtube.com/watch?v=5WillssD41Q")</f>
        <v>https://www.youtube.com/watch?v=5WillssD41Q</v>
      </c>
      <c r="O3386">
        <v>0</v>
      </c>
      <c r="P3386">
        <v>0</v>
      </c>
      <c r="Q3386">
        <v>0</v>
      </c>
      <c r="S3386">
        <v>0</v>
      </c>
      <c r="T3386">
        <v>0</v>
      </c>
      <c r="U3386">
        <v>0</v>
      </c>
      <c r="W3386" t="s">
        <v>106</v>
      </c>
    </row>
    <row r="3387" spans="1:45" x14ac:dyDescent="0.35">
      <c r="A3387" t="s">
        <v>45</v>
      </c>
      <c r="B3387" t="s">
        <v>7804</v>
      </c>
      <c r="C3387" t="s">
        <v>47</v>
      </c>
      <c r="D3387" t="s">
        <v>6897</v>
      </c>
      <c r="E3387" t="s">
        <v>6897</v>
      </c>
      <c r="F3387" t="s">
        <v>49</v>
      </c>
      <c r="G3387" t="s">
        <v>7805</v>
      </c>
      <c r="H3387" t="s">
        <v>7806</v>
      </c>
      <c r="J3387" t="str">
        <f>HYPERLINK("https://www.facebook.com/454965103328545/posts/763871475771238?comment_id=309003398369264","https://www.facebook.com/454965103328545/posts/763871475771238?comment_id=309003398369264")</f>
        <v>https://www.facebook.com/454965103328545/posts/763871475771238?comment_id=309003398369264</v>
      </c>
      <c r="O3387">
        <v>0</v>
      </c>
      <c r="P3387">
        <v>0</v>
      </c>
      <c r="Q3387">
        <v>0</v>
      </c>
      <c r="S3387">
        <v>0</v>
      </c>
      <c r="T3387">
        <v>0</v>
      </c>
      <c r="U3387">
        <v>0</v>
      </c>
      <c r="W3387" t="s">
        <v>62</v>
      </c>
      <c r="AS3387" t="s">
        <v>375</v>
      </c>
    </row>
    <row r="3388" spans="1:45" x14ac:dyDescent="0.35">
      <c r="A3388" t="s">
        <v>45</v>
      </c>
      <c r="B3388" t="s">
        <v>7804</v>
      </c>
      <c r="C3388" t="s">
        <v>47</v>
      </c>
      <c r="D3388" t="s">
        <v>7807</v>
      </c>
      <c r="E3388" t="s">
        <v>7807</v>
      </c>
      <c r="F3388" t="s">
        <v>49</v>
      </c>
      <c r="G3388" t="s">
        <v>7808</v>
      </c>
      <c r="H3388" t="s">
        <v>7809</v>
      </c>
      <c r="J3388" t="str">
        <f>HYPERLINK("https://www.facebook.com/357267201017935/inbox/6997169827027606/","https://www.facebook.com/357267201017935/inbox/6997169827027606/")</f>
        <v>https://www.facebook.com/357267201017935/inbox/6997169827027606/</v>
      </c>
      <c r="O3388">
        <v>0</v>
      </c>
      <c r="P3388">
        <v>0</v>
      </c>
      <c r="Q3388">
        <v>0</v>
      </c>
      <c r="S3388">
        <v>0</v>
      </c>
      <c r="T3388">
        <v>0</v>
      </c>
      <c r="U3388">
        <v>0</v>
      </c>
      <c r="W3388" t="s">
        <v>52</v>
      </c>
    </row>
    <row r="3389" spans="1:45" x14ac:dyDescent="0.35">
      <c r="A3389" t="s">
        <v>45</v>
      </c>
      <c r="B3389" t="s">
        <v>7804</v>
      </c>
      <c r="C3389" t="s">
        <v>47</v>
      </c>
      <c r="D3389" t="s">
        <v>7810</v>
      </c>
      <c r="E3389" t="s">
        <v>7810</v>
      </c>
      <c r="F3389" t="s">
        <v>49</v>
      </c>
      <c r="G3389" t="s">
        <v>7811</v>
      </c>
      <c r="H3389" t="s">
        <v>7812</v>
      </c>
      <c r="J3389" t="str">
        <f>HYPERLINK("https://www.facebook.com/454965103328545/posts/763285952496457?comment_id=3583865528597266","https://www.facebook.com/454965103328545/posts/763285952496457?comment_id=3583865528597266")</f>
        <v>https://www.facebook.com/454965103328545/posts/763285952496457?comment_id=3583865528597266</v>
      </c>
      <c r="O3389">
        <v>0</v>
      </c>
      <c r="P3389">
        <v>0</v>
      </c>
      <c r="Q3389">
        <v>0</v>
      </c>
      <c r="S3389">
        <v>0</v>
      </c>
      <c r="T3389">
        <v>0</v>
      </c>
      <c r="U3389">
        <v>0</v>
      </c>
      <c r="W3389" t="s">
        <v>62</v>
      </c>
      <c r="AS3389" t="s">
        <v>375</v>
      </c>
    </row>
    <row r="3390" spans="1:45" x14ac:dyDescent="0.35">
      <c r="A3390" t="s">
        <v>45</v>
      </c>
      <c r="B3390" t="s">
        <v>7804</v>
      </c>
      <c r="C3390" t="s">
        <v>47</v>
      </c>
      <c r="D3390" t="s">
        <v>7813</v>
      </c>
      <c r="E3390" t="s">
        <v>7813</v>
      </c>
      <c r="F3390" t="s">
        <v>142</v>
      </c>
      <c r="G3390" t="s">
        <v>7814</v>
      </c>
      <c r="H3390" t="s">
        <v>7815</v>
      </c>
      <c r="J3390" t="str">
        <f>HYPERLINK("https://www.facebook.com/454965103328545/posts/762566475901738?comment_id=422992183405951","https://www.facebook.com/454965103328545/posts/762566475901738?comment_id=422992183405951")</f>
        <v>https://www.facebook.com/454965103328545/posts/762566475901738?comment_id=422992183405951</v>
      </c>
      <c r="O3390">
        <v>0</v>
      </c>
      <c r="P3390">
        <v>0</v>
      </c>
      <c r="Q3390">
        <v>0</v>
      </c>
      <c r="S3390">
        <v>0</v>
      </c>
      <c r="T3390">
        <v>0</v>
      </c>
      <c r="U3390">
        <v>0</v>
      </c>
      <c r="W3390" t="s">
        <v>62</v>
      </c>
    </row>
    <row r="3391" spans="1:45" x14ac:dyDescent="0.35">
      <c r="A3391" t="s">
        <v>45</v>
      </c>
      <c r="B3391" t="s">
        <v>7804</v>
      </c>
      <c r="C3391" t="s">
        <v>47</v>
      </c>
      <c r="D3391" t="s">
        <v>7807</v>
      </c>
      <c r="E3391" t="s">
        <v>7807</v>
      </c>
      <c r="F3391" t="s">
        <v>49</v>
      </c>
      <c r="G3391">
        <v>9470759599</v>
      </c>
      <c r="H3391" t="s">
        <v>7816</v>
      </c>
      <c r="J3391" t="str">
        <f>HYPERLINK("https://www.facebook.com/454965103328545/videos/3697954183759550?comment_id=578711314469783&amp;reply_comment_id=376728271617751","https://www.facebook.com/454965103328545/videos/3697954183759550?comment_id=578711314469783&amp;reply_comment_id=376728271617751")</f>
        <v>https://www.facebook.com/454965103328545/videos/3697954183759550?comment_id=578711314469783&amp;reply_comment_id=376728271617751</v>
      </c>
      <c r="O3391">
        <v>0</v>
      </c>
      <c r="P3391">
        <v>0</v>
      </c>
      <c r="Q3391">
        <v>0</v>
      </c>
      <c r="S3391">
        <v>0</v>
      </c>
      <c r="T3391">
        <v>0</v>
      </c>
      <c r="U3391">
        <v>0</v>
      </c>
      <c r="W3391" t="s">
        <v>62</v>
      </c>
    </row>
    <row r="3392" spans="1:45" x14ac:dyDescent="0.35">
      <c r="A3392" t="s">
        <v>45</v>
      </c>
      <c r="B3392" t="s">
        <v>7804</v>
      </c>
      <c r="C3392" t="s">
        <v>47</v>
      </c>
      <c r="D3392" t="s">
        <v>7381</v>
      </c>
      <c r="E3392" t="s">
        <v>7381</v>
      </c>
      <c r="F3392" t="s">
        <v>49</v>
      </c>
      <c r="G3392" t="s">
        <v>7817</v>
      </c>
      <c r="H3392" t="s">
        <v>7818</v>
      </c>
      <c r="J3392" t="str">
        <f>HYPERLINK("https://www.facebook.com/454965103328545/posts/763307319160987?comment_id=1062528368332996&amp;reply_comment_id=415559827484878","https://www.facebook.com/454965103328545/posts/763307319160987?comment_id=1062528368332996&amp;reply_comment_id=415559827484878")</f>
        <v>https://www.facebook.com/454965103328545/posts/763307319160987?comment_id=1062528368332996&amp;reply_comment_id=415559827484878</v>
      </c>
      <c r="O3392">
        <v>0</v>
      </c>
      <c r="P3392">
        <v>0</v>
      </c>
      <c r="Q3392">
        <v>0</v>
      </c>
      <c r="S3392">
        <v>0</v>
      </c>
      <c r="T3392">
        <v>0</v>
      </c>
      <c r="U3392">
        <v>0</v>
      </c>
      <c r="W3392" t="s">
        <v>106</v>
      </c>
      <c r="AS3392" t="s">
        <v>375</v>
      </c>
    </row>
    <row r="3393" spans="1:45" x14ac:dyDescent="0.35">
      <c r="A3393" t="s">
        <v>45</v>
      </c>
      <c r="B3393" t="s">
        <v>7804</v>
      </c>
      <c r="C3393" t="s">
        <v>139</v>
      </c>
      <c r="D3393" t="s">
        <v>7819</v>
      </c>
      <c r="E3393" t="s">
        <v>7820</v>
      </c>
      <c r="F3393" t="s">
        <v>49</v>
      </c>
      <c r="G3393" t="s">
        <v>7821</v>
      </c>
      <c r="H3393" t="s">
        <v>7822</v>
      </c>
      <c r="J3393" t="str">
        <f>HYPERLINK("https://twitter.com/KasdeEklesh/status/1753817182172282931","https://twitter.com/KasdeEklesh/status/1753817182172282931")</f>
        <v>https://twitter.com/KasdeEklesh/status/1753817182172282931</v>
      </c>
      <c r="O3393">
        <v>0</v>
      </c>
      <c r="P3393">
        <v>0</v>
      </c>
      <c r="Q3393">
        <v>0</v>
      </c>
      <c r="R3393" t="s">
        <v>7823</v>
      </c>
      <c r="S3393">
        <v>0</v>
      </c>
      <c r="T3393">
        <v>0</v>
      </c>
      <c r="U3393">
        <v>0</v>
      </c>
      <c r="W3393" t="s">
        <v>146</v>
      </c>
      <c r="AS3393" t="s">
        <v>375</v>
      </c>
    </row>
    <row r="3394" spans="1:45" x14ac:dyDescent="0.35">
      <c r="A3394" t="s">
        <v>45</v>
      </c>
      <c r="B3394" t="s">
        <v>7804</v>
      </c>
      <c r="C3394" t="s">
        <v>47</v>
      </c>
      <c r="D3394" t="s">
        <v>7824</v>
      </c>
      <c r="E3394" t="s">
        <v>7824</v>
      </c>
      <c r="F3394" t="s">
        <v>49</v>
      </c>
      <c r="G3394" t="s">
        <v>7825</v>
      </c>
      <c r="H3394" t="s">
        <v>7826</v>
      </c>
      <c r="J3394" t="str">
        <f>HYPERLINK("https://www.facebook.com/454965103328545/videos/3697954183759550?comment_id=376980405030186&amp;reply_comment_id=1209716790204436","https://www.facebook.com/454965103328545/videos/3697954183759550?comment_id=376980405030186&amp;reply_comment_id=1209716790204436")</f>
        <v>https://www.facebook.com/454965103328545/videos/3697954183759550?comment_id=376980405030186&amp;reply_comment_id=1209716790204436</v>
      </c>
      <c r="O3394">
        <v>0</v>
      </c>
      <c r="P3394">
        <v>0</v>
      </c>
      <c r="Q3394">
        <v>0</v>
      </c>
      <c r="S3394">
        <v>0</v>
      </c>
      <c r="T3394">
        <v>0</v>
      </c>
      <c r="U3394">
        <v>0</v>
      </c>
      <c r="W3394" t="s">
        <v>62</v>
      </c>
    </row>
    <row r="3395" spans="1:45" x14ac:dyDescent="0.35">
      <c r="A3395" t="s">
        <v>45</v>
      </c>
      <c r="B3395" t="s">
        <v>7804</v>
      </c>
      <c r="C3395" t="s">
        <v>47</v>
      </c>
      <c r="D3395" t="s">
        <v>7827</v>
      </c>
      <c r="E3395" t="s">
        <v>7827</v>
      </c>
      <c r="F3395" t="s">
        <v>49</v>
      </c>
      <c r="G3395" t="s">
        <v>7828</v>
      </c>
      <c r="H3395" t="s">
        <v>7829</v>
      </c>
      <c r="J3395" t="str">
        <f>HYPERLINK("https://www.facebook.com/454965103328545/videos/3697954183759550?comment_id=376980405030186&amp;reply_comment_id=1857303111371878","https://www.facebook.com/454965103328545/videos/3697954183759550?comment_id=376980405030186&amp;reply_comment_id=1857303111371878")</f>
        <v>https://www.facebook.com/454965103328545/videos/3697954183759550?comment_id=376980405030186&amp;reply_comment_id=1857303111371878</v>
      </c>
      <c r="O3395">
        <v>0</v>
      </c>
      <c r="P3395">
        <v>0</v>
      </c>
      <c r="Q3395">
        <v>0</v>
      </c>
      <c r="S3395">
        <v>0</v>
      </c>
      <c r="T3395">
        <v>0</v>
      </c>
      <c r="U3395">
        <v>0</v>
      </c>
      <c r="W3395" t="s">
        <v>62</v>
      </c>
      <c r="AP3395" t="s">
        <v>101</v>
      </c>
      <c r="AS3395" t="s">
        <v>375</v>
      </c>
    </row>
    <row r="3396" spans="1:45" x14ac:dyDescent="0.35">
      <c r="A3396" t="s">
        <v>45</v>
      </c>
      <c r="B3396" t="s">
        <v>7804</v>
      </c>
      <c r="C3396" t="s">
        <v>47</v>
      </c>
      <c r="D3396" t="s">
        <v>7830</v>
      </c>
      <c r="E3396" t="s">
        <v>7830</v>
      </c>
      <c r="F3396" t="s">
        <v>49</v>
      </c>
      <c r="G3396" t="s">
        <v>7831</v>
      </c>
      <c r="H3396" t="s">
        <v>7832</v>
      </c>
      <c r="J3396" t="str">
        <f>HYPERLINK("https://www.facebook.com/454965103328545/videos/3697954183759550?comment_id=1722749191555113","https://www.facebook.com/454965103328545/videos/3697954183759550?comment_id=1722749191555113")</f>
        <v>https://www.facebook.com/454965103328545/videos/3697954183759550?comment_id=1722749191555113</v>
      </c>
      <c r="O3396">
        <v>0</v>
      </c>
      <c r="P3396">
        <v>0</v>
      </c>
      <c r="Q3396">
        <v>0</v>
      </c>
      <c r="S3396">
        <v>0</v>
      </c>
      <c r="T3396">
        <v>0</v>
      </c>
      <c r="U3396">
        <v>0</v>
      </c>
      <c r="W3396" t="s">
        <v>62</v>
      </c>
    </row>
    <row r="3397" spans="1:45" x14ac:dyDescent="0.35">
      <c r="A3397" t="s">
        <v>45</v>
      </c>
      <c r="B3397" t="s">
        <v>7804</v>
      </c>
      <c r="C3397" t="s">
        <v>47</v>
      </c>
      <c r="D3397" t="s">
        <v>7833</v>
      </c>
      <c r="E3397" t="s">
        <v>7833</v>
      </c>
      <c r="F3397" t="s">
        <v>49</v>
      </c>
      <c r="G3397" t="s">
        <v>7834</v>
      </c>
      <c r="H3397" t="s">
        <v>7835</v>
      </c>
      <c r="J3397" t="str">
        <f>HYPERLINK("https://www.facebook.com/454965103328545/videos/3697954183759550?comment_id=1477406802859801","https://www.facebook.com/454965103328545/videos/3697954183759550?comment_id=1477406802859801")</f>
        <v>https://www.facebook.com/454965103328545/videos/3697954183759550?comment_id=1477406802859801</v>
      </c>
      <c r="O3397">
        <v>0</v>
      </c>
      <c r="P3397">
        <v>0</v>
      </c>
      <c r="Q3397">
        <v>0</v>
      </c>
      <c r="S3397">
        <v>0</v>
      </c>
      <c r="T3397">
        <v>0</v>
      </c>
      <c r="U3397">
        <v>0</v>
      </c>
      <c r="W3397" t="s">
        <v>62</v>
      </c>
    </row>
    <row r="3398" spans="1:45" x14ac:dyDescent="0.35">
      <c r="A3398" t="s">
        <v>45</v>
      </c>
      <c r="B3398" t="s">
        <v>7804</v>
      </c>
      <c r="C3398" t="s">
        <v>47</v>
      </c>
      <c r="D3398" t="s">
        <v>7836</v>
      </c>
      <c r="E3398" t="s">
        <v>7836</v>
      </c>
      <c r="F3398" t="s">
        <v>49</v>
      </c>
      <c r="G3398" t="s">
        <v>7837</v>
      </c>
      <c r="H3398" t="s">
        <v>7838</v>
      </c>
      <c r="J3398" t="str">
        <f>HYPERLINK("https://www.facebook.com/454965103328545/videos/3697954183759550?comment_id=1105214893952061","https://www.facebook.com/454965103328545/videos/3697954183759550?comment_id=1105214893952061")</f>
        <v>https://www.facebook.com/454965103328545/videos/3697954183759550?comment_id=1105214893952061</v>
      </c>
      <c r="O3398">
        <v>0</v>
      </c>
      <c r="P3398">
        <v>0</v>
      </c>
      <c r="Q3398">
        <v>0</v>
      </c>
      <c r="S3398">
        <v>0</v>
      </c>
      <c r="T3398">
        <v>0</v>
      </c>
      <c r="U3398">
        <v>0</v>
      </c>
      <c r="W3398" t="s">
        <v>62</v>
      </c>
      <c r="AS3398" t="s">
        <v>375</v>
      </c>
    </row>
    <row r="3399" spans="1:45" x14ac:dyDescent="0.35">
      <c r="A3399" t="s">
        <v>45</v>
      </c>
      <c r="B3399" t="s">
        <v>7804</v>
      </c>
      <c r="C3399" t="s">
        <v>47</v>
      </c>
      <c r="D3399" t="s">
        <v>7454</v>
      </c>
      <c r="E3399" t="s">
        <v>7454</v>
      </c>
      <c r="F3399" t="s">
        <v>49</v>
      </c>
      <c r="G3399" t="s">
        <v>7839</v>
      </c>
      <c r="H3399" t="s">
        <v>7840</v>
      </c>
      <c r="J3399" t="str">
        <f>HYPERLINK("https://www.facebook.com/357267201017935/inbox/6996688000409122/","https://www.facebook.com/357267201017935/inbox/6996688000409122/")</f>
        <v>https://www.facebook.com/357267201017935/inbox/6996688000409122/</v>
      </c>
      <c r="O3399">
        <v>0</v>
      </c>
      <c r="P3399">
        <v>0</v>
      </c>
      <c r="Q3399">
        <v>0</v>
      </c>
      <c r="S3399">
        <v>0</v>
      </c>
      <c r="T3399">
        <v>0</v>
      </c>
      <c r="U3399">
        <v>0</v>
      </c>
      <c r="W3399" t="s">
        <v>52</v>
      </c>
      <c r="AS3399" t="s">
        <v>375</v>
      </c>
    </row>
    <row r="3400" spans="1:45" x14ac:dyDescent="0.35">
      <c r="A3400" t="s">
        <v>45</v>
      </c>
      <c r="B3400" t="s">
        <v>7804</v>
      </c>
      <c r="C3400" t="s">
        <v>47</v>
      </c>
      <c r="D3400" t="s">
        <v>7454</v>
      </c>
      <c r="E3400" t="s">
        <v>7454</v>
      </c>
      <c r="F3400" t="s">
        <v>49</v>
      </c>
      <c r="G3400" t="s">
        <v>373</v>
      </c>
      <c r="H3400" t="s">
        <v>7841</v>
      </c>
      <c r="J3400" t="str">
        <f>HYPERLINK("https://www.facebook.com/357267201017935/inbox/6996688000409122/","https://www.facebook.com/357267201017935/inbox/6996688000409122/")</f>
        <v>https://www.facebook.com/357267201017935/inbox/6996688000409122/</v>
      </c>
      <c r="O3400">
        <v>0</v>
      </c>
      <c r="P3400">
        <v>0</v>
      </c>
      <c r="Q3400">
        <v>0</v>
      </c>
      <c r="S3400">
        <v>0</v>
      </c>
      <c r="T3400">
        <v>0</v>
      </c>
      <c r="U3400">
        <v>0</v>
      </c>
      <c r="W3400" t="s">
        <v>52</v>
      </c>
    </row>
    <row r="3401" spans="1:45" x14ac:dyDescent="0.35">
      <c r="A3401" t="s">
        <v>45</v>
      </c>
      <c r="B3401" t="s">
        <v>7804</v>
      </c>
      <c r="C3401" t="s">
        <v>47</v>
      </c>
      <c r="D3401" t="s">
        <v>7842</v>
      </c>
      <c r="E3401" t="s">
        <v>7842</v>
      </c>
      <c r="F3401" t="s">
        <v>49</v>
      </c>
      <c r="G3401" t="s">
        <v>7843</v>
      </c>
      <c r="H3401" t="s">
        <v>7844</v>
      </c>
      <c r="J3401" t="str">
        <f>HYPERLINK("https://www.facebook.com/454965103328545/videos/3697954183759550?comment_id=1590463551725664","https://www.facebook.com/454965103328545/videos/3697954183759550?comment_id=1590463551725664")</f>
        <v>https://www.facebook.com/454965103328545/videos/3697954183759550?comment_id=1590463551725664</v>
      </c>
      <c r="O3401">
        <v>0</v>
      </c>
      <c r="P3401">
        <v>0</v>
      </c>
      <c r="Q3401">
        <v>0</v>
      </c>
      <c r="S3401">
        <v>0</v>
      </c>
      <c r="T3401">
        <v>0</v>
      </c>
      <c r="U3401">
        <v>0</v>
      </c>
      <c r="W3401" t="s">
        <v>62</v>
      </c>
      <c r="AS3401" t="s">
        <v>375</v>
      </c>
    </row>
    <row r="3402" spans="1:45" x14ac:dyDescent="0.35">
      <c r="A3402" t="s">
        <v>45</v>
      </c>
      <c r="B3402" t="s">
        <v>7804</v>
      </c>
      <c r="C3402" t="s">
        <v>47</v>
      </c>
      <c r="D3402" t="s">
        <v>7845</v>
      </c>
      <c r="E3402" t="s">
        <v>7845</v>
      </c>
      <c r="F3402" t="s">
        <v>142</v>
      </c>
      <c r="G3402" t="s">
        <v>7846</v>
      </c>
      <c r="H3402" t="s">
        <v>7847</v>
      </c>
      <c r="J3402" t="str">
        <f>HYPERLINK("https://www.facebook.com/454965103328545/posts/763871475771238?comment_id=759765885613073","https://www.facebook.com/454965103328545/posts/763871475771238?comment_id=759765885613073")</f>
        <v>https://www.facebook.com/454965103328545/posts/763871475771238?comment_id=759765885613073</v>
      </c>
      <c r="O3402">
        <v>0</v>
      </c>
      <c r="P3402">
        <v>0</v>
      </c>
      <c r="Q3402">
        <v>0</v>
      </c>
      <c r="S3402">
        <v>0</v>
      </c>
      <c r="T3402">
        <v>0</v>
      </c>
      <c r="U3402">
        <v>0</v>
      </c>
      <c r="W3402" t="s">
        <v>62</v>
      </c>
      <c r="AP3402" t="s">
        <v>147</v>
      </c>
      <c r="AS3402" t="s">
        <v>375</v>
      </c>
    </row>
    <row r="3403" spans="1:45" x14ac:dyDescent="0.35">
      <c r="A3403" t="s">
        <v>45</v>
      </c>
      <c r="B3403" t="s">
        <v>7804</v>
      </c>
      <c r="C3403" t="s">
        <v>47</v>
      </c>
      <c r="D3403" t="s">
        <v>7845</v>
      </c>
      <c r="E3403" t="s">
        <v>7845</v>
      </c>
      <c r="F3403" t="s">
        <v>142</v>
      </c>
      <c r="G3403" t="s">
        <v>7848</v>
      </c>
      <c r="H3403" t="s">
        <v>7849</v>
      </c>
      <c r="J3403" t="str">
        <f>HYPERLINK("https://www.facebook.com/357267201017935/inbox/6996600793751176/","https://www.facebook.com/357267201017935/inbox/6996600793751176/")</f>
        <v>https://www.facebook.com/357267201017935/inbox/6996600793751176/</v>
      </c>
      <c r="O3403">
        <v>0</v>
      </c>
      <c r="P3403">
        <v>0</v>
      </c>
      <c r="Q3403">
        <v>0</v>
      </c>
      <c r="S3403">
        <v>0</v>
      </c>
      <c r="T3403">
        <v>0</v>
      </c>
      <c r="U3403">
        <v>0</v>
      </c>
      <c r="W3403" t="s">
        <v>52</v>
      </c>
      <c r="AP3403" t="s">
        <v>147</v>
      </c>
    </row>
    <row r="3404" spans="1:45" x14ac:dyDescent="0.35">
      <c r="A3404" t="s">
        <v>45</v>
      </c>
      <c r="B3404" t="s">
        <v>7804</v>
      </c>
      <c r="C3404" t="s">
        <v>47</v>
      </c>
      <c r="D3404" t="s">
        <v>7845</v>
      </c>
      <c r="E3404" t="s">
        <v>7845</v>
      </c>
      <c r="F3404" t="s">
        <v>49</v>
      </c>
      <c r="G3404" t="s">
        <v>50</v>
      </c>
      <c r="H3404" t="s">
        <v>7850</v>
      </c>
      <c r="J3404" t="str">
        <f>HYPERLINK("https://www.facebook.com/357267201017935/inbox/6996600793751176/","https://www.facebook.com/357267201017935/inbox/6996600793751176/")</f>
        <v>https://www.facebook.com/357267201017935/inbox/6996600793751176/</v>
      </c>
      <c r="O3404">
        <v>0</v>
      </c>
      <c r="P3404">
        <v>0</v>
      </c>
      <c r="Q3404">
        <v>0</v>
      </c>
      <c r="S3404">
        <v>0</v>
      </c>
      <c r="T3404">
        <v>0</v>
      </c>
      <c r="U3404">
        <v>0</v>
      </c>
      <c r="W3404" t="s">
        <v>52</v>
      </c>
    </row>
    <row r="3405" spans="1:45" x14ac:dyDescent="0.35">
      <c r="A3405" t="s">
        <v>45</v>
      </c>
      <c r="B3405" t="s">
        <v>7804</v>
      </c>
      <c r="C3405" t="s">
        <v>47</v>
      </c>
      <c r="D3405" t="s">
        <v>7851</v>
      </c>
      <c r="E3405" t="s">
        <v>7851</v>
      </c>
      <c r="F3405" t="s">
        <v>49</v>
      </c>
      <c r="G3405" t="s">
        <v>7852</v>
      </c>
      <c r="H3405" t="s">
        <v>7853</v>
      </c>
      <c r="J3405" t="str">
        <f>HYPERLINK("https://www.facebook.com/357267201017935/inbox/6995895420488380/","https://www.facebook.com/357267201017935/inbox/6995895420488380/")</f>
        <v>https://www.facebook.com/357267201017935/inbox/6995895420488380/</v>
      </c>
      <c r="O3405">
        <v>0</v>
      </c>
      <c r="P3405">
        <v>0</v>
      </c>
      <c r="Q3405">
        <v>0</v>
      </c>
      <c r="S3405">
        <v>0</v>
      </c>
      <c r="T3405">
        <v>0</v>
      </c>
      <c r="U3405">
        <v>0</v>
      </c>
      <c r="W3405" t="s">
        <v>52</v>
      </c>
      <c r="AS3405" t="s">
        <v>375</v>
      </c>
    </row>
    <row r="3406" spans="1:45" x14ac:dyDescent="0.35">
      <c r="A3406" t="s">
        <v>45</v>
      </c>
      <c r="B3406" t="s">
        <v>7804</v>
      </c>
      <c r="C3406" t="s">
        <v>58</v>
      </c>
      <c r="D3406" t="s">
        <v>4845</v>
      </c>
      <c r="E3406" t="s">
        <v>4845</v>
      </c>
      <c r="F3406" t="s">
        <v>49</v>
      </c>
      <c r="G3406" t="s">
        <v>7854</v>
      </c>
      <c r="H3406" t="s">
        <v>7855</v>
      </c>
      <c r="J3406" t="str">
        <f>HYPERLINK("https://www.youtube.com/watch?v=sOHGJabWXVk","https://www.youtube.com/watch?v=sOHGJabWXVk")</f>
        <v>https://www.youtube.com/watch?v=sOHGJabWXVk</v>
      </c>
      <c r="O3406">
        <v>0</v>
      </c>
      <c r="P3406">
        <v>0</v>
      </c>
      <c r="Q3406">
        <v>0</v>
      </c>
      <c r="S3406">
        <v>0</v>
      </c>
      <c r="T3406">
        <v>0</v>
      </c>
      <c r="U3406">
        <v>0</v>
      </c>
      <c r="W3406" t="s">
        <v>106</v>
      </c>
    </row>
    <row r="3407" spans="1:45" x14ac:dyDescent="0.35">
      <c r="A3407" t="s">
        <v>45</v>
      </c>
      <c r="B3407" t="s">
        <v>7804</v>
      </c>
      <c r="C3407" t="s">
        <v>47</v>
      </c>
      <c r="D3407" t="s">
        <v>4488</v>
      </c>
      <c r="E3407" t="s">
        <v>4488</v>
      </c>
      <c r="F3407" t="s">
        <v>49</v>
      </c>
      <c r="G3407" t="s">
        <v>5919</v>
      </c>
      <c r="H3407" t="s">
        <v>7856</v>
      </c>
      <c r="J3407" t="str">
        <f>HYPERLINK("https://www.facebook.com/454965103328545/posts/763233329168386?comment_id=423897603305880","https://www.facebook.com/454965103328545/posts/763233329168386?comment_id=423897603305880")</f>
        <v>https://www.facebook.com/454965103328545/posts/763233329168386?comment_id=423897603305880</v>
      </c>
      <c r="O3407">
        <v>0</v>
      </c>
      <c r="P3407">
        <v>0</v>
      </c>
      <c r="Q3407">
        <v>0</v>
      </c>
      <c r="S3407">
        <v>0</v>
      </c>
      <c r="T3407">
        <v>0</v>
      </c>
      <c r="U3407">
        <v>0</v>
      </c>
      <c r="W3407" t="s">
        <v>62</v>
      </c>
    </row>
    <row r="3408" spans="1:45" x14ac:dyDescent="0.35">
      <c r="A3408" t="s">
        <v>45</v>
      </c>
      <c r="B3408" t="s">
        <v>7804</v>
      </c>
      <c r="C3408" t="s">
        <v>47</v>
      </c>
      <c r="D3408" t="s">
        <v>7857</v>
      </c>
      <c r="E3408" t="s">
        <v>7857</v>
      </c>
      <c r="F3408" t="s">
        <v>49</v>
      </c>
      <c r="G3408" t="s">
        <v>7858</v>
      </c>
      <c r="H3408" t="s">
        <v>7859</v>
      </c>
      <c r="J3408" t="str">
        <f>HYPERLINK("https://www.facebook.com/454965103328545/videos/3697954183759550?comment_id=951699526580732","https://www.facebook.com/454965103328545/videos/3697954183759550?comment_id=951699526580732")</f>
        <v>https://www.facebook.com/454965103328545/videos/3697954183759550?comment_id=951699526580732</v>
      </c>
      <c r="O3408">
        <v>0</v>
      </c>
      <c r="P3408">
        <v>0</v>
      </c>
      <c r="Q3408">
        <v>0</v>
      </c>
      <c r="S3408">
        <v>0</v>
      </c>
      <c r="T3408">
        <v>0</v>
      </c>
      <c r="U3408">
        <v>0</v>
      </c>
      <c r="W3408" t="s">
        <v>62</v>
      </c>
    </row>
    <row r="3409" spans="1:45" x14ac:dyDescent="0.35">
      <c r="A3409" t="s">
        <v>45</v>
      </c>
      <c r="B3409" t="s">
        <v>7804</v>
      </c>
      <c r="C3409" t="s">
        <v>47</v>
      </c>
      <c r="D3409" t="s">
        <v>7860</v>
      </c>
      <c r="E3409" t="s">
        <v>7860</v>
      </c>
      <c r="F3409" t="s">
        <v>49</v>
      </c>
      <c r="G3409" t="s">
        <v>7861</v>
      </c>
      <c r="H3409" t="s">
        <v>7862</v>
      </c>
      <c r="J3409" t="str">
        <f>HYPERLINK("https://www.facebook.com/454965103328545/videos/3697954183759550?comment_id=3348966492062165","https://www.facebook.com/454965103328545/videos/3697954183759550?comment_id=3348966492062165")</f>
        <v>https://www.facebook.com/454965103328545/videos/3697954183759550?comment_id=3348966492062165</v>
      </c>
      <c r="O3409">
        <v>0</v>
      </c>
      <c r="P3409">
        <v>0</v>
      </c>
      <c r="Q3409">
        <v>0</v>
      </c>
      <c r="S3409">
        <v>0</v>
      </c>
      <c r="T3409">
        <v>0</v>
      </c>
      <c r="U3409">
        <v>0</v>
      </c>
      <c r="W3409" t="s">
        <v>62</v>
      </c>
      <c r="AS3409" t="s">
        <v>375</v>
      </c>
    </row>
    <row r="3410" spans="1:45" x14ac:dyDescent="0.35">
      <c r="A3410" t="s">
        <v>45</v>
      </c>
      <c r="B3410" t="s">
        <v>7804</v>
      </c>
      <c r="C3410" t="s">
        <v>47</v>
      </c>
      <c r="D3410" t="s">
        <v>860</v>
      </c>
      <c r="E3410" t="s">
        <v>860</v>
      </c>
      <c r="F3410" t="s">
        <v>49</v>
      </c>
      <c r="G3410" t="s">
        <v>7863</v>
      </c>
      <c r="H3410" t="s">
        <v>7864</v>
      </c>
      <c r="J3410" t="str">
        <f>HYPERLINK("https://www.facebook.com/454965103328545/videos/3697954183759550?comment_id=1548049962685705","https://www.facebook.com/454965103328545/videos/3697954183759550?comment_id=1548049962685705")</f>
        <v>https://www.facebook.com/454965103328545/videos/3697954183759550?comment_id=1548049962685705</v>
      </c>
      <c r="O3410">
        <v>0</v>
      </c>
      <c r="P3410">
        <v>0</v>
      </c>
      <c r="Q3410">
        <v>0</v>
      </c>
      <c r="S3410">
        <v>0</v>
      </c>
      <c r="T3410">
        <v>0</v>
      </c>
      <c r="U3410">
        <v>0</v>
      </c>
      <c r="W3410" t="s">
        <v>62</v>
      </c>
    </row>
    <row r="3411" spans="1:45" x14ac:dyDescent="0.35">
      <c r="A3411" t="s">
        <v>45</v>
      </c>
      <c r="B3411" t="s">
        <v>7804</v>
      </c>
      <c r="C3411" t="s">
        <v>47</v>
      </c>
      <c r="D3411" t="s">
        <v>7865</v>
      </c>
      <c r="E3411" t="s">
        <v>7865</v>
      </c>
      <c r="F3411" t="s">
        <v>49</v>
      </c>
      <c r="G3411" t="s">
        <v>7866</v>
      </c>
      <c r="H3411" t="s">
        <v>7867</v>
      </c>
      <c r="J3411" t="str">
        <f>HYPERLINK("https://www.facebook.com/454965103328545/posts/763233329168386?comment_id=374922875177001","https://www.facebook.com/454965103328545/posts/763233329168386?comment_id=374922875177001")</f>
        <v>https://www.facebook.com/454965103328545/posts/763233329168386?comment_id=374922875177001</v>
      </c>
      <c r="O3411">
        <v>0</v>
      </c>
      <c r="P3411">
        <v>0</v>
      </c>
      <c r="Q3411">
        <v>0</v>
      </c>
      <c r="S3411">
        <v>0</v>
      </c>
      <c r="T3411">
        <v>0</v>
      </c>
      <c r="U3411">
        <v>0</v>
      </c>
      <c r="W3411" t="s">
        <v>62</v>
      </c>
    </row>
    <row r="3412" spans="1:45" x14ac:dyDescent="0.35">
      <c r="A3412" t="s">
        <v>45</v>
      </c>
      <c r="B3412" t="s">
        <v>7804</v>
      </c>
      <c r="C3412" t="s">
        <v>139</v>
      </c>
      <c r="D3412" t="s">
        <v>7868</v>
      </c>
      <c r="E3412" t="s">
        <v>7869</v>
      </c>
      <c r="F3412" t="s">
        <v>49</v>
      </c>
      <c r="G3412" t="s">
        <v>7870</v>
      </c>
      <c r="H3412" t="s">
        <v>7871</v>
      </c>
      <c r="J3412" t="str">
        <f>HYPERLINK("https://twitter.com/CrazyAayan/status/1753774815167836163","https://twitter.com/CrazyAayan/status/1753774815167836163")</f>
        <v>https://twitter.com/CrazyAayan/status/1753774815167836163</v>
      </c>
      <c r="O3412">
        <v>0</v>
      </c>
      <c r="P3412">
        <v>0</v>
      </c>
      <c r="Q3412">
        <v>3</v>
      </c>
      <c r="R3412" t="s">
        <v>7872</v>
      </c>
      <c r="S3412">
        <v>0</v>
      </c>
      <c r="T3412">
        <v>0</v>
      </c>
      <c r="U3412">
        <v>0</v>
      </c>
      <c r="W3412" t="s">
        <v>146</v>
      </c>
      <c r="AS3412" t="s">
        <v>375</v>
      </c>
    </row>
    <row r="3413" spans="1:45" x14ac:dyDescent="0.35">
      <c r="A3413" t="s">
        <v>45</v>
      </c>
      <c r="B3413" t="s">
        <v>7804</v>
      </c>
      <c r="C3413" t="s">
        <v>47</v>
      </c>
      <c r="D3413" t="s">
        <v>7873</v>
      </c>
      <c r="E3413" t="s">
        <v>7873</v>
      </c>
      <c r="F3413" t="s">
        <v>49</v>
      </c>
      <c r="G3413" t="s">
        <v>7874</v>
      </c>
      <c r="H3413" t="s">
        <v>7875</v>
      </c>
      <c r="J3413" t="str">
        <f>HYPERLINK("https://www.facebook.com/357267201017935/inbox/6993039450773977/","https://www.facebook.com/357267201017935/inbox/6993039450773977/")</f>
        <v>https://www.facebook.com/357267201017935/inbox/6993039450773977/</v>
      </c>
      <c r="O3413">
        <v>0</v>
      </c>
      <c r="P3413">
        <v>0</v>
      </c>
      <c r="Q3413">
        <v>0</v>
      </c>
      <c r="S3413">
        <v>0</v>
      </c>
      <c r="T3413">
        <v>0</v>
      </c>
      <c r="U3413">
        <v>0</v>
      </c>
      <c r="W3413" t="s">
        <v>52</v>
      </c>
    </row>
    <row r="3414" spans="1:45" x14ac:dyDescent="0.35">
      <c r="A3414" t="s">
        <v>45</v>
      </c>
      <c r="B3414" t="s">
        <v>7804</v>
      </c>
      <c r="C3414" t="s">
        <v>47</v>
      </c>
      <c r="D3414" t="s">
        <v>7876</v>
      </c>
      <c r="E3414" t="s">
        <v>7876</v>
      </c>
      <c r="F3414" t="s">
        <v>49</v>
      </c>
      <c r="G3414" t="s">
        <v>7877</v>
      </c>
      <c r="H3414" t="s">
        <v>7878</v>
      </c>
      <c r="J3414" t="str">
        <f>HYPERLINK("https://www.facebook.com/454965103328545/videos/3697954183759550?comment_id=1168612520794871","https://www.facebook.com/454965103328545/videos/3697954183759550?comment_id=1168612520794871")</f>
        <v>https://www.facebook.com/454965103328545/videos/3697954183759550?comment_id=1168612520794871</v>
      </c>
      <c r="O3414">
        <v>0</v>
      </c>
      <c r="P3414">
        <v>0</v>
      </c>
      <c r="Q3414">
        <v>0</v>
      </c>
      <c r="S3414">
        <v>0</v>
      </c>
      <c r="T3414">
        <v>0</v>
      </c>
      <c r="U3414">
        <v>0</v>
      </c>
      <c r="W3414" t="s">
        <v>62</v>
      </c>
    </row>
    <row r="3415" spans="1:45" x14ac:dyDescent="0.35">
      <c r="A3415" t="s">
        <v>45</v>
      </c>
      <c r="B3415" t="s">
        <v>7804</v>
      </c>
      <c r="C3415" t="s">
        <v>47</v>
      </c>
      <c r="D3415" t="s">
        <v>7879</v>
      </c>
      <c r="E3415" t="s">
        <v>7879</v>
      </c>
      <c r="F3415" t="s">
        <v>49</v>
      </c>
      <c r="G3415" t="s">
        <v>7880</v>
      </c>
      <c r="H3415" t="s">
        <v>7881</v>
      </c>
      <c r="J3415" t="str">
        <f>HYPERLINK("https://www.facebook.com/454965103328545/videos/3697954183759550?comment_id=767518178733431&amp;reply_comment_id=736427895119223","https://www.facebook.com/454965103328545/videos/3697954183759550?comment_id=767518178733431&amp;reply_comment_id=736427895119223")</f>
        <v>https://www.facebook.com/454965103328545/videos/3697954183759550?comment_id=767518178733431&amp;reply_comment_id=736427895119223</v>
      </c>
      <c r="O3415">
        <v>0</v>
      </c>
      <c r="P3415">
        <v>0</v>
      </c>
      <c r="Q3415">
        <v>0</v>
      </c>
      <c r="S3415">
        <v>0</v>
      </c>
      <c r="T3415">
        <v>0</v>
      </c>
      <c r="U3415">
        <v>0</v>
      </c>
      <c r="W3415" t="s">
        <v>62</v>
      </c>
    </row>
    <row r="3416" spans="1:45" x14ac:dyDescent="0.35">
      <c r="A3416" t="s">
        <v>45</v>
      </c>
      <c r="B3416" t="s">
        <v>7804</v>
      </c>
      <c r="C3416" t="s">
        <v>47</v>
      </c>
      <c r="D3416" t="s">
        <v>7882</v>
      </c>
      <c r="E3416" t="s">
        <v>7882</v>
      </c>
      <c r="F3416" t="s">
        <v>49</v>
      </c>
      <c r="G3416" t="s">
        <v>7883</v>
      </c>
      <c r="H3416" t="s">
        <v>7884</v>
      </c>
      <c r="J3416" t="str">
        <f>HYPERLINK("https://www.facebook.com/454965103328545/videos/3697954183759550?comment_id=942114690767395","https://www.facebook.com/454965103328545/videos/3697954183759550?comment_id=942114690767395")</f>
        <v>https://www.facebook.com/454965103328545/videos/3697954183759550?comment_id=942114690767395</v>
      </c>
      <c r="O3416">
        <v>0</v>
      </c>
      <c r="P3416">
        <v>0</v>
      </c>
      <c r="Q3416">
        <v>0</v>
      </c>
      <c r="S3416">
        <v>0</v>
      </c>
      <c r="T3416">
        <v>0</v>
      </c>
      <c r="U3416">
        <v>0</v>
      </c>
      <c r="W3416" t="s">
        <v>62</v>
      </c>
      <c r="AS3416" t="s">
        <v>375</v>
      </c>
    </row>
    <row r="3417" spans="1:45" x14ac:dyDescent="0.35">
      <c r="A3417" t="s">
        <v>45</v>
      </c>
      <c r="B3417" t="s">
        <v>7804</v>
      </c>
      <c r="C3417" t="s">
        <v>47</v>
      </c>
      <c r="D3417" t="s">
        <v>6231</v>
      </c>
      <c r="E3417" t="s">
        <v>6231</v>
      </c>
      <c r="F3417" t="s">
        <v>49</v>
      </c>
      <c r="G3417" t="s">
        <v>7885</v>
      </c>
      <c r="H3417" t="s">
        <v>7886</v>
      </c>
      <c r="J3417" t="str">
        <f>HYPERLINK("https://www.facebook.com/454965103328545/videos/3697954183759550?comment_id=372390572091839","https://www.facebook.com/454965103328545/videos/3697954183759550?comment_id=372390572091839")</f>
        <v>https://www.facebook.com/454965103328545/videos/3697954183759550?comment_id=372390572091839</v>
      </c>
      <c r="O3417">
        <v>0</v>
      </c>
      <c r="P3417">
        <v>0</v>
      </c>
      <c r="Q3417">
        <v>0</v>
      </c>
      <c r="S3417">
        <v>0</v>
      </c>
      <c r="T3417">
        <v>0</v>
      </c>
      <c r="U3417">
        <v>0</v>
      </c>
      <c r="W3417" t="s">
        <v>62</v>
      </c>
    </row>
    <row r="3418" spans="1:45" x14ac:dyDescent="0.35">
      <c r="A3418" t="s">
        <v>45</v>
      </c>
      <c r="B3418" t="s">
        <v>7804</v>
      </c>
      <c r="C3418" t="s">
        <v>58</v>
      </c>
      <c r="D3418" t="s">
        <v>7887</v>
      </c>
      <c r="E3418" t="s">
        <v>7887</v>
      </c>
      <c r="F3418" t="s">
        <v>49</v>
      </c>
      <c r="G3418" t="s">
        <v>7888</v>
      </c>
      <c r="H3418" t="s">
        <v>7889</v>
      </c>
      <c r="J3418" t="str">
        <f>HYPERLINK("https://www.youtube.com/watch?v=VZXXcMIgRcs","https://www.youtube.com/watch?v=VZXXcMIgRcs")</f>
        <v>https://www.youtube.com/watch?v=VZXXcMIgRcs</v>
      </c>
      <c r="O3418">
        <v>0</v>
      </c>
      <c r="P3418">
        <v>0</v>
      </c>
      <c r="Q3418">
        <v>0</v>
      </c>
      <c r="S3418">
        <v>0</v>
      </c>
      <c r="T3418">
        <v>0</v>
      </c>
      <c r="U3418">
        <v>0</v>
      </c>
      <c r="W3418" t="s">
        <v>106</v>
      </c>
    </row>
    <row r="3419" spans="1:45" x14ac:dyDescent="0.35">
      <c r="A3419" t="s">
        <v>45</v>
      </c>
      <c r="B3419" t="s">
        <v>7804</v>
      </c>
      <c r="C3419" t="s">
        <v>47</v>
      </c>
      <c r="D3419" t="s">
        <v>7890</v>
      </c>
      <c r="E3419" t="s">
        <v>7890</v>
      </c>
      <c r="F3419" t="s">
        <v>49</v>
      </c>
      <c r="G3419" t="s">
        <v>459</v>
      </c>
      <c r="H3419" t="s">
        <v>7891</v>
      </c>
      <c r="J3419" t="str">
        <f>HYPERLINK("https://www.facebook.com/454965103328545/videos/3697954183759550?comment_id=1148006276517937","https://www.facebook.com/454965103328545/videos/3697954183759550?comment_id=1148006276517937")</f>
        <v>https://www.facebook.com/454965103328545/videos/3697954183759550?comment_id=1148006276517937</v>
      </c>
      <c r="O3419">
        <v>0</v>
      </c>
      <c r="P3419">
        <v>0</v>
      </c>
      <c r="Q3419">
        <v>0</v>
      </c>
      <c r="S3419">
        <v>0</v>
      </c>
      <c r="T3419">
        <v>0</v>
      </c>
      <c r="U3419">
        <v>0</v>
      </c>
      <c r="W3419" t="s">
        <v>62</v>
      </c>
    </row>
    <row r="3420" spans="1:45" x14ac:dyDescent="0.35">
      <c r="A3420" t="s">
        <v>45</v>
      </c>
      <c r="B3420" t="s">
        <v>7804</v>
      </c>
      <c r="C3420" t="s">
        <v>139</v>
      </c>
      <c r="D3420" t="s">
        <v>7892</v>
      </c>
      <c r="E3420" t="s">
        <v>7893</v>
      </c>
      <c r="F3420" t="s">
        <v>49</v>
      </c>
      <c r="G3420" t="s">
        <v>7894</v>
      </c>
      <c r="H3420" t="s">
        <v>7895</v>
      </c>
      <c r="J3420" t="str">
        <f>HYPERLINK("https://twitter.com/80767816suraj/status/1753751460066873767","https://twitter.com/80767816suraj/status/1753751460066873767")</f>
        <v>https://twitter.com/80767816suraj/status/1753751460066873767</v>
      </c>
      <c r="O3420">
        <v>0</v>
      </c>
      <c r="P3420">
        <v>0</v>
      </c>
      <c r="Q3420">
        <v>0</v>
      </c>
      <c r="S3420">
        <v>0</v>
      </c>
      <c r="T3420">
        <v>0</v>
      </c>
      <c r="U3420">
        <v>0</v>
      </c>
      <c r="W3420" t="s">
        <v>52</v>
      </c>
    </row>
    <row r="3421" spans="1:45" x14ac:dyDescent="0.35">
      <c r="A3421" t="s">
        <v>45</v>
      </c>
      <c r="B3421" t="s">
        <v>7804</v>
      </c>
      <c r="C3421" t="s">
        <v>47</v>
      </c>
      <c r="D3421" t="s">
        <v>7896</v>
      </c>
      <c r="E3421" t="s">
        <v>7896</v>
      </c>
      <c r="F3421" t="s">
        <v>49</v>
      </c>
      <c r="G3421" t="s">
        <v>7897</v>
      </c>
      <c r="H3421" t="s">
        <v>7898</v>
      </c>
      <c r="J3421" t="str">
        <f>HYPERLINK("https://www.facebook.com/454965103328545/videos/3697954183759550?comment_id=933062585204888&amp;reply_comment_id=784382613506860","https://www.facebook.com/454965103328545/videos/3697954183759550?comment_id=933062585204888&amp;reply_comment_id=784382613506860")</f>
        <v>https://www.facebook.com/454965103328545/videos/3697954183759550?comment_id=933062585204888&amp;reply_comment_id=784382613506860</v>
      </c>
      <c r="O3421">
        <v>0</v>
      </c>
      <c r="P3421">
        <v>0</v>
      </c>
      <c r="Q3421">
        <v>0</v>
      </c>
      <c r="S3421">
        <v>0</v>
      </c>
      <c r="T3421">
        <v>0</v>
      </c>
      <c r="U3421">
        <v>0</v>
      </c>
      <c r="W3421" t="s">
        <v>62</v>
      </c>
    </row>
    <row r="3422" spans="1:45" x14ac:dyDescent="0.35">
      <c r="A3422" t="s">
        <v>45</v>
      </c>
      <c r="B3422" t="s">
        <v>7804</v>
      </c>
      <c r="C3422" t="s">
        <v>47</v>
      </c>
      <c r="D3422" t="s">
        <v>7896</v>
      </c>
      <c r="E3422" t="s">
        <v>7896</v>
      </c>
      <c r="F3422" t="s">
        <v>49</v>
      </c>
      <c r="G3422" t="s">
        <v>7899</v>
      </c>
      <c r="H3422" t="s">
        <v>7900</v>
      </c>
      <c r="J3422" t="str">
        <f>HYPERLINK("https://www.facebook.com/454965103328545/videos/3697954183759550?comment_id=734652188613311&amp;reply_comment_id=929727195434939","https://www.facebook.com/454965103328545/videos/3697954183759550?comment_id=734652188613311&amp;reply_comment_id=929727195434939")</f>
        <v>https://www.facebook.com/454965103328545/videos/3697954183759550?comment_id=734652188613311&amp;reply_comment_id=929727195434939</v>
      </c>
      <c r="O3422">
        <v>0</v>
      </c>
      <c r="P3422">
        <v>0</v>
      </c>
      <c r="Q3422">
        <v>0</v>
      </c>
      <c r="S3422">
        <v>0</v>
      </c>
      <c r="T3422">
        <v>0</v>
      </c>
      <c r="U3422">
        <v>0</v>
      </c>
      <c r="W3422" t="s">
        <v>62</v>
      </c>
    </row>
    <row r="3423" spans="1:45" x14ac:dyDescent="0.35">
      <c r="A3423" t="s">
        <v>45</v>
      </c>
      <c r="B3423" t="s">
        <v>7804</v>
      </c>
      <c r="C3423" t="s">
        <v>47</v>
      </c>
      <c r="D3423" t="s">
        <v>7896</v>
      </c>
      <c r="E3423" t="s">
        <v>7896</v>
      </c>
      <c r="F3423" t="s">
        <v>49</v>
      </c>
      <c r="G3423" t="s">
        <v>7901</v>
      </c>
      <c r="H3423" t="s">
        <v>7902</v>
      </c>
      <c r="J3423" t="str">
        <f>HYPERLINK("https://www.facebook.com/454965103328545/videos/3697954183759550?comment_id=1062897401498844&amp;reply_comment_id=367817832774485","https://www.facebook.com/454965103328545/videos/3697954183759550?comment_id=1062897401498844&amp;reply_comment_id=367817832774485")</f>
        <v>https://www.facebook.com/454965103328545/videos/3697954183759550?comment_id=1062897401498844&amp;reply_comment_id=367817832774485</v>
      </c>
      <c r="O3423">
        <v>0</v>
      </c>
      <c r="P3423">
        <v>0</v>
      </c>
      <c r="Q3423">
        <v>0</v>
      </c>
      <c r="S3423">
        <v>0</v>
      </c>
      <c r="T3423">
        <v>0</v>
      </c>
      <c r="U3423">
        <v>0</v>
      </c>
      <c r="W3423" t="s">
        <v>62</v>
      </c>
    </row>
    <row r="3424" spans="1:45" x14ac:dyDescent="0.35">
      <c r="A3424" t="s">
        <v>45</v>
      </c>
      <c r="B3424" t="s">
        <v>7804</v>
      </c>
      <c r="C3424" t="s">
        <v>47</v>
      </c>
      <c r="D3424" t="s">
        <v>7896</v>
      </c>
      <c r="E3424" t="s">
        <v>7896</v>
      </c>
      <c r="F3424" t="s">
        <v>49</v>
      </c>
      <c r="G3424" t="s">
        <v>7903</v>
      </c>
      <c r="H3424" t="s">
        <v>7904</v>
      </c>
      <c r="J3424" t="str">
        <f>HYPERLINK("https://www.facebook.com/454965103328545/videos/3697954183759550?comment_id=1289402001922823&amp;reply_comment_id=721769050051824","https://www.facebook.com/454965103328545/videos/3697954183759550?comment_id=1289402001922823&amp;reply_comment_id=721769050051824")</f>
        <v>https://www.facebook.com/454965103328545/videos/3697954183759550?comment_id=1289402001922823&amp;reply_comment_id=721769050051824</v>
      </c>
      <c r="O3424">
        <v>0</v>
      </c>
      <c r="P3424">
        <v>0</v>
      </c>
      <c r="Q3424">
        <v>0</v>
      </c>
      <c r="S3424">
        <v>0</v>
      </c>
      <c r="T3424">
        <v>0</v>
      </c>
      <c r="U3424">
        <v>0</v>
      </c>
      <c r="W3424" t="s">
        <v>62</v>
      </c>
    </row>
    <row r="3425" spans="1:23" x14ac:dyDescent="0.35">
      <c r="A3425" t="s">
        <v>45</v>
      </c>
      <c r="B3425" t="s">
        <v>7804</v>
      </c>
      <c r="C3425" t="s">
        <v>47</v>
      </c>
      <c r="D3425" t="s">
        <v>7896</v>
      </c>
      <c r="E3425" t="s">
        <v>7896</v>
      </c>
      <c r="F3425" t="s">
        <v>49</v>
      </c>
      <c r="G3425" t="s">
        <v>7905</v>
      </c>
      <c r="H3425" t="s">
        <v>7906</v>
      </c>
      <c r="J3425" t="str">
        <f>HYPERLINK("https://www.facebook.com/454965103328545/videos/3697954183759550?comment_id=1505291576918042&amp;reply_comment_id=371757015476711","https://www.facebook.com/454965103328545/videos/3697954183759550?comment_id=1505291576918042&amp;reply_comment_id=371757015476711")</f>
        <v>https://www.facebook.com/454965103328545/videos/3697954183759550?comment_id=1505291576918042&amp;reply_comment_id=371757015476711</v>
      </c>
      <c r="O3425">
        <v>0</v>
      </c>
      <c r="P3425">
        <v>0</v>
      </c>
      <c r="Q3425">
        <v>0</v>
      </c>
      <c r="S3425">
        <v>0</v>
      </c>
      <c r="T3425">
        <v>0</v>
      </c>
      <c r="U3425">
        <v>0</v>
      </c>
      <c r="W3425" t="s">
        <v>62</v>
      </c>
    </row>
    <row r="3426" spans="1:23" x14ac:dyDescent="0.35">
      <c r="A3426" t="s">
        <v>45</v>
      </c>
      <c r="B3426" t="s">
        <v>7804</v>
      </c>
      <c r="C3426" t="s">
        <v>47</v>
      </c>
      <c r="D3426" t="s">
        <v>7896</v>
      </c>
      <c r="E3426" t="s">
        <v>7896</v>
      </c>
      <c r="F3426" t="s">
        <v>49</v>
      </c>
      <c r="G3426" t="s">
        <v>7907</v>
      </c>
      <c r="H3426" t="s">
        <v>7908</v>
      </c>
      <c r="J3426" t="str">
        <f>HYPERLINK("https://www.facebook.com/454965103328545/videos/3697954183759550?comment_id=1040879746990002&amp;reply_comment_id=1402753237281171","https://www.facebook.com/454965103328545/videos/3697954183759550?comment_id=1040879746990002&amp;reply_comment_id=1402753237281171")</f>
        <v>https://www.facebook.com/454965103328545/videos/3697954183759550?comment_id=1040879746990002&amp;reply_comment_id=1402753237281171</v>
      </c>
      <c r="O3426">
        <v>0</v>
      </c>
      <c r="P3426">
        <v>0</v>
      </c>
      <c r="Q3426">
        <v>0</v>
      </c>
      <c r="S3426">
        <v>0</v>
      </c>
      <c r="T3426">
        <v>0</v>
      </c>
      <c r="U3426">
        <v>0</v>
      </c>
      <c r="W3426" t="s">
        <v>62</v>
      </c>
    </row>
    <row r="3427" spans="1:23" x14ac:dyDescent="0.35">
      <c r="A3427" t="s">
        <v>45</v>
      </c>
      <c r="B3427" t="s">
        <v>7804</v>
      </c>
      <c r="C3427" t="s">
        <v>47</v>
      </c>
      <c r="D3427" t="s">
        <v>7896</v>
      </c>
      <c r="E3427" t="s">
        <v>7896</v>
      </c>
      <c r="F3427" t="s">
        <v>49</v>
      </c>
      <c r="G3427" s="1" t="s">
        <v>7909</v>
      </c>
      <c r="H3427" t="s">
        <v>7910</v>
      </c>
      <c r="J3427" t="str">
        <f>HYPERLINK("https://www.facebook.com/454965103328545/videos/3697954183759550?comment_id=755074033173596","https://www.facebook.com/454965103328545/videos/3697954183759550?comment_id=755074033173596")</f>
        <v>https://www.facebook.com/454965103328545/videos/3697954183759550?comment_id=755074033173596</v>
      </c>
      <c r="O3427">
        <v>0</v>
      </c>
      <c r="P3427">
        <v>0</v>
      </c>
      <c r="Q3427">
        <v>0</v>
      </c>
      <c r="S3427">
        <v>0</v>
      </c>
      <c r="T3427">
        <v>0</v>
      </c>
      <c r="U3427">
        <v>0</v>
      </c>
      <c r="W3427" t="s">
        <v>62</v>
      </c>
    </row>
    <row r="3428" spans="1:23" x14ac:dyDescent="0.35">
      <c r="A3428" t="s">
        <v>45</v>
      </c>
      <c r="B3428" t="s">
        <v>7804</v>
      </c>
      <c r="C3428" t="s">
        <v>47</v>
      </c>
      <c r="D3428" t="s">
        <v>7896</v>
      </c>
      <c r="E3428" t="s">
        <v>7896</v>
      </c>
      <c r="F3428" t="s">
        <v>49</v>
      </c>
      <c r="G3428" t="s">
        <v>7911</v>
      </c>
      <c r="H3428" t="s">
        <v>7912</v>
      </c>
      <c r="J3428" t="str">
        <f>HYPERLINK("https://www.facebook.com/454965103328545/videos/3697954183759550?comment_id=800887852053884&amp;reply_comment_id=1194758468172696","https://www.facebook.com/454965103328545/videos/3697954183759550?comment_id=800887852053884&amp;reply_comment_id=1194758468172696")</f>
        <v>https://www.facebook.com/454965103328545/videos/3697954183759550?comment_id=800887852053884&amp;reply_comment_id=1194758468172696</v>
      </c>
      <c r="O3428">
        <v>0</v>
      </c>
      <c r="P3428">
        <v>0</v>
      </c>
      <c r="Q3428">
        <v>0</v>
      </c>
      <c r="S3428">
        <v>0</v>
      </c>
      <c r="T3428">
        <v>0</v>
      </c>
      <c r="U3428">
        <v>0</v>
      </c>
      <c r="W3428" t="s">
        <v>62</v>
      </c>
    </row>
    <row r="3429" spans="1:23" x14ac:dyDescent="0.35">
      <c r="A3429" t="s">
        <v>45</v>
      </c>
      <c r="B3429" t="s">
        <v>7804</v>
      </c>
      <c r="C3429" t="s">
        <v>47</v>
      </c>
      <c r="D3429" t="s">
        <v>7896</v>
      </c>
      <c r="E3429" t="s">
        <v>7896</v>
      </c>
      <c r="F3429" t="s">
        <v>49</v>
      </c>
      <c r="G3429" t="s">
        <v>7913</v>
      </c>
      <c r="H3429" t="s">
        <v>7914</v>
      </c>
      <c r="J3429" t="str">
        <f>HYPERLINK("https://www.facebook.com/454965103328545/videos/3697954183759550?comment_id=1284061406330394&amp;reply_comment_id=903678684498141","https://www.facebook.com/454965103328545/videos/3697954183759550?comment_id=1284061406330394&amp;reply_comment_id=903678684498141")</f>
        <v>https://www.facebook.com/454965103328545/videos/3697954183759550?comment_id=1284061406330394&amp;reply_comment_id=903678684498141</v>
      </c>
      <c r="O3429">
        <v>0</v>
      </c>
      <c r="P3429">
        <v>0</v>
      </c>
      <c r="Q3429">
        <v>0</v>
      </c>
      <c r="S3429">
        <v>0</v>
      </c>
      <c r="T3429">
        <v>0</v>
      </c>
      <c r="U3429">
        <v>0</v>
      </c>
      <c r="W3429" t="s">
        <v>62</v>
      </c>
    </row>
    <row r="3430" spans="1:23" x14ac:dyDescent="0.35">
      <c r="A3430" t="s">
        <v>45</v>
      </c>
      <c r="B3430" t="s">
        <v>7804</v>
      </c>
      <c r="C3430" t="s">
        <v>47</v>
      </c>
      <c r="D3430" t="s">
        <v>7896</v>
      </c>
      <c r="E3430" t="s">
        <v>7896</v>
      </c>
      <c r="F3430" t="s">
        <v>49</v>
      </c>
      <c r="G3430" t="s">
        <v>7915</v>
      </c>
      <c r="H3430" t="s">
        <v>7916</v>
      </c>
      <c r="J3430" t="str">
        <f>HYPERLINK("https://www.facebook.com/454965103328545/videos/3697954183759550?comment_id=1062634435017835&amp;reply_comment_id=410510151434023","https://www.facebook.com/454965103328545/videos/3697954183759550?comment_id=1062634435017835&amp;reply_comment_id=410510151434023")</f>
        <v>https://www.facebook.com/454965103328545/videos/3697954183759550?comment_id=1062634435017835&amp;reply_comment_id=410510151434023</v>
      </c>
      <c r="O3430">
        <v>0</v>
      </c>
      <c r="P3430">
        <v>0</v>
      </c>
      <c r="Q3430">
        <v>0</v>
      </c>
      <c r="S3430">
        <v>0</v>
      </c>
      <c r="T3430">
        <v>0</v>
      </c>
      <c r="U3430">
        <v>0</v>
      </c>
      <c r="W3430" t="s">
        <v>62</v>
      </c>
    </row>
    <row r="3431" spans="1:23" x14ac:dyDescent="0.35">
      <c r="A3431" t="s">
        <v>45</v>
      </c>
      <c r="B3431" t="s">
        <v>7804</v>
      </c>
      <c r="C3431" t="s">
        <v>47</v>
      </c>
      <c r="D3431" t="s">
        <v>7896</v>
      </c>
      <c r="E3431" t="s">
        <v>7896</v>
      </c>
      <c r="F3431" t="s">
        <v>49</v>
      </c>
      <c r="G3431" t="s">
        <v>7917</v>
      </c>
      <c r="H3431" t="s">
        <v>7918</v>
      </c>
      <c r="J3431" t="str">
        <f>HYPERLINK("https://www.facebook.com/454965103328545/videos/3697954183759550?comment_id=320337257672947&amp;reply_comment_id=735917845308059","https://www.facebook.com/454965103328545/videos/3697954183759550?comment_id=320337257672947&amp;reply_comment_id=735917845308059")</f>
        <v>https://www.facebook.com/454965103328545/videos/3697954183759550?comment_id=320337257672947&amp;reply_comment_id=735917845308059</v>
      </c>
      <c r="O3431">
        <v>0</v>
      </c>
      <c r="P3431">
        <v>0</v>
      </c>
      <c r="Q3431">
        <v>0</v>
      </c>
      <c r="S3431">
        <v>0</v>
      </c>
      <c r="T3431">
        <v>0</v>
      </c>
      <c r="U3431">
        <v>0</v>
      </c>
      <c r="W3431" t="s">
        <v>62</v>
      </c>
    </row>
    <row r="3432" spans="1:23" x14ac:dyDescent="0.35">
      <c r="A3432" t="s">
        <v>45</v>
      </c>
      <c r="B3432" t="s">
        <v>7804</v>
      </c>
      <c r="C3432" t="s">
        <v>47</v>
      </c>
      <c r="D3432" t="s">
        <v>7896</v>
      </c>
      <c r="E3432" t="s">
        <v>7896</v>
      </c>
      <c r="F3432" t="s">
        <v>49</v>
      </c>
      <c r="G3432" t="s">
        <v>7919</v>
      </c>
      <c r="H3432" t="s">
        <v>7920</v>
      </c>
      <c r="J3432" t="str">
        <f>HYPERLINK("https://www.facebook.com/454965103328545/videos/3697954183759550?comment_id=827573015798311&amp;reply_comment_id=1111444376526143","https://www.facebook.com/454965103328545/videos/3697954183759550?comment_id=827573015798311&amp;reply_comment_id=1111444376526143")</f>
        <v>https://www.facebook.com/454965103328545/videos/3697954183759550?comment_id=827573015798311&amp;reply_comment_id=1111444376526143</v>
      </c>
      <c r="O3432">
        <v>0</v>
      </c>
      <c r="P3432">
        <v>0</v>
      </c>
      <c r="Q3432">
        <v>0</v>
      </c>
      <c r="S3432">
        <v>0</v>
      </c>
      <c r="T3432">
        <v>0</v>
      </c>
      <c r="U3432">
        <v>0</v>
      </c>
      <c r="W3432" t="s">
        <v>62</v>
      </c>
    </row>
    <row r="3433" spans="1:23" x14ac:dyDescent="0.35">
      <c r="A3433" t="s">
        <v>45</v>
      </c>
      <c r="B3433" t="s">
        <v>7804</v>
      </c>
      <c r="C3433" t="s">
        <v>47</v>
      </c>
      <c r="D3433" t="s">
        <v>7896</v>
      </c>
      <c r="E3433" t="s">
        <v>7896</v>
      </c>
      <c r="F3433" t="s">
        <v>49</v>
      </c>
      <c r="G3433" t="s">
        <v>7921</v>
      </c>
      <c r="H3433" t="s">
        <v>7922</v>
      </c>
      <c r="J3433" t="str">
        <f>HYPERLINK("https://www.facebook.com/454965103328545/videos/3697954183759550?comment_id=901785444772935&amp;reply_comment_id=347338141502803","https://www.facebook.com/454965103328545/videos/3697954183759550?comment_id=901785444772935&amp;reply_comment_id=347338141502803")</f>
        <v>https://www.facebook.com/454965103328545/videos/3697954183759550?comment_id=901785444772935&amp;reply_comment_id=347338141502803</v>
      </c>
      <c r="O3433">
        <v>0</v>
      </c>
      <c r="P3433">
        <v>0</v>
      </c>
      <c r="Q3433">
        <v>0</v>
      </c>
      <c r="S3433">
        <v>0</v>
      </c>
      <c r="T3433">
        <v>0</v>
      </c>
      <c r="U3433">
        <v>0</v>
      </c>
      <c r="W3433" t="s">
        <v>62</v>
      </c>
    </row>
    <row r="3434" spans="1:23" x14ac:dyDescent="0.35">
      <c r="A3434" t="s">
        <v>45</v>
      </c>
      <c r="B3434" t="s">
        <v>7804</v>
      </c>
      <c r="C3434" t="s">
        <v>47</v>
      </c>
      <c r="D3434" t="s">
        <v>7896</v>
      </c>
      <c r="E3434" t="s">
        <v>7896</v>
      </c>
      <c r="F3434" t="s">
        <v>49</v>
      </c>
      <c r="G3434" t="s">
        <v>7923</v>
      </c>
      <c r="H3434" t="s">
        <v>7924</v>
      </c>
      <c r="J3434" t="str">
        <f>HYPERLINK("https://www.facebook.com/454965103328545/videos/3697954183759550?comment_id=767518178733431&amp;reply_comment_id=403005732304744","https://www.facebook.com/454965103328545/videos/3697954183759550?comment_id=767518178733431&amp;reply_comment_id=403005732304744")</f>
        <v>https://www.facebook.com/454965103328545/videos/3697954183759550?comment_id=767518178733431&amp;reply_comment_id=403005732304744</v>
      </c>
      <c r="O3434">
        <v>0</v>
      </c>
      <c r="P3434">
        <v>0</v>
      </c>
      <c r="Q3434">
        <v>0</v>
      </c>
      <c r="S3434">
        <v>0</v>
      </c>
      <c r="T3434">
        <v>0</v>
      </c>
      <c r="U3434">
        <v>0</v>
      </c>
      <c r="W3434" t="s">
        <v>62</v>
      </c>
    </row>
    <row r="3435" spans="1:23" x14ac:dyDescent="0.35">
      <c r="A3435" t="s">
        <v>45</v>
      </c>
      <c r="B3435" t="s">
        <v>7804</v>
      </c>
      <c r="C3435" t="s">
        <v>47</v>
      </c>
      <c r="D3435" t="s">
        <v>7896</v>
      </c>
      <c r="E3435" t="s">
        <v>7896</v>
      </c>
      <c r="F3435" t="s">
        <v>49</v>
      </c>
      <c r="G3435" t="s">
        <v>7925</v>
      </c>
      <c r="H3435" t="s">
        <v>7926</v>
      </c>
      <c r="J3435" t="str">
        <f>HYPERLINK("https://www.facebook.com/454965103328545/videos/3697954183759550?comment_id=1585521975581593&amp;reply_comment_id=1088767592394006","https://www.facebook.com/454965103328545/videos/3697954183759550?comment_id=1585521975581593&amp;reply_comment_id=1088767592394006")</f>
        <v>https://www.facebook.com/454965103328545/videos/3697954183759550?comment_id=1585521975581593&amp;reply_comment_id=1088767592394006</v>
      </c>
      <c r="O3435">
        <v>0</v>
      </c>
      <c r="P3435">
        <v>0</v>
      </c>
      <c r="Q3435">
        <v>0</v>
      </c>
      <c r="S3435">
        <v>0</v>
      </c>
      <c r="T3435">
        <v>0</v>
      </c>
      <c r="U3435">
        <v>0</v>
      </c>
      <c r="W3435" t="s">
        <v>62</v>
      </c>
    </row>
    <row r="3436" spans="1:23" x14ac:dyDescent="0.35">
      <c r="A3436" t="s">
        <v>45</v>
      </c>
      <c r="B3436" t="s">
        <v>7804</v>
      </c>
      <c r="C3436" t="s">
        <v>47</v>
      </c>
      <c r="D3436" t="s">
        <v>7896</v>
      </c>
      <c r="E3436" t="s">
        <v>7896</v>
      </c>
      <c r="F3436" t="s">
        <v>49</v>
      </c>
      <c r="G3436" t="s">
        <v>7927</v>
      </c>
      <c r="H3436" t="s">
        <v>7928</v>
      </c>
      <c r="J3436" t="str">
        <f>HYPERLINK("https://www.facebook.com/454965103328545/videos/3697954183759550?comment_id=1067231627887344&amp;reply_comment_id=710588014207738","https://www.facebook.com/454965103328545/videos/3697954183759550?comment_id=1067231627887344&amp;reply_comment_id=710588014207738")</f>
        <v>https://www.facebook.com/454965103328545/videos/3697954183759550?comment_id=1067231627887344&amp;reply_comment_id=710588014207738</v>
      </c>
      <c r="O3436">
        <v>0</v>
      </c>
      <c r="P3436">
        <v>0</v>
      </c>
      <c r="Q3436">
        <v>0</v>
      </c>
      <c r="S3436">
        <v>0</v>
      </c>
      <c r="T3436">
        <v>0</v>
      </c>
      <c r="U3436">
        <v>0</v>
      </c>
      <c r="W3436" t="s">
        <v>62</v>
      </c>
    </row>
    <row r="3437" spans="1:23" x14ac:dyDescent="0.35">
      <c r="A3437" t="s">
        <v>45</v>
      </c>
      <c r="B3437" t="s">
        <v>7804</v>
      </c>
      <c r="C3437" t="s">
        <v>47</v>
      </c>
      <c r="D3437" t="s">
        <v>7896</v>
      </c>
      <c r="E3437" t="s">
        <v>7896</v>
      </c>
      <c r="F3437" t="s">
        <v>49</v>
      </c>
      <c r="G3437" t="s">
        <v>7929</v>
      </c>
      <c r="H3437" t="s">
        <v>7930</v>
      </c>
      <c r="J3437" t="str">
        <f>HYPERLINK("https://www.facebook.com/454965103328545/posts/763902162434836?comment_id=364255129871097&amp;reply_comment_id=762539765796572","https://www.facebook.com/454965103328545/posts/763902162434836?comment_id=364255129871097&amp;reply_comment_id=762539765796572")</f>
        <v>https://www.facebook.com/454965103328545/posts/763902162434836?comment_id=364255129871097&amp;reply_comment_id=762539765796572</v>
      </c>
      <c r="O3437">
        <v>0</v>
      </c>
      <c r="P3437">
        <v>0</v>
      </c>
      <c r="Q3437">
        <v>0</v>
      </c>
      <c r="S3437">
        <v>0</v>
      </c>
      <c r="T3437">
        <v>0</v>
      </c>
      <c r="U3437">
        <v>0</v>
      </c>
      <c r="W3437" t="s">
        <v>62</v>
      </c>
    </row>
    <row r="3438" spans="1:23" x14ac:dyDescent="0.35">
      <c r="A3438" t="s">
        <v>45</v>
      </c>
      <c r="B3438" t="s">
        <v>7804</v>
      </c>
      <c r="C3438" t="s">
        <v>47</v>
      </c>
      <c r="D3438" t="s">
        <v>7896</v>
      </c>
      <c r="E3438" t="s">
        <v>7896</v>
      </c>
      <c r="F3438" t="s">
        <v>49</v>
      </c>
      <c r="G3438" t="s">
        <v>7931</v>
      </c>
      <c r="H3438" t="s">
        <v>7932</v>
      </c>
      <c r="J3438" t="str">
        <f>HYPERLINK("https://www.facebook.com/454965103328545/posts/763902162434836?comment_id=866292462175720&amp;reply_comment_id=1820111231751604","https://www.facebook.com/454965103328545/posts/763902162434836?comment_id=866292462175720&amp;reply_comment_id=1820111231751604")</f>
        <v>https://www.facebook.com/454965103328545/posts/763902162434836?comment_id=866292462175720&amp;reply_comment_id=1820111231751604</v>
      </c>
      <c r="O3438">
        <v>0</v>
      </c>
      <c r="P3438">
        <v>0</v>
      </c>
      <c r="Q3438">
        <v>0</v>
      </c>
      <c r="S3438">
        <v>0</v>
      </c>
      <c r="T3438">
        <v>0</v>
      </c>
      <c r="U3438">
        <v>0</v>
      </c>
      <c r="W3438" t="s">
        <v>62</v>
      </c>
    </row>
    <row r="3439" spans="1:23" x14ac:dyDescent="0.35">
      <c r="A3439" t="s">
        <v>45</v>
      </c>
      <c r="B3439" t="s">
        <v>7804</v>
      </c>
      <c r="C3439" t="s">
        <v>47</v>
      </c>
      <c r="D3439" t="s">
        <v>7896</v>
      </c>
      <c r="E3439" t="s">
        <v>7896</v>
      </c>
      <c r="F3439" t="s">
        <v>49</v>
      </c>
      <c r="G3439" s="1" t="s">
        <v>7909</v>
      </c>
      <c r="H3439" t="s">
        <v>7933</v>
      </c>
      <c r="J3439" t="str">
        <f>HYPERLINK("https://www.facebook.com/454965103328545/posts/764462805712105?comment_id=1793327394511800","https://www.facebook.com/454965103328545/posts/764462805712105?comment_id=1793327394511800")</f>
        <v>https://www.facebook.com/454965103328545/posts/764462805712105?comment_id=1793327394511800</v>
      </c>
      <c r="O3439">
        <v>0</v>
      </c>
      <c r="P3439">
        <v>0</v>
      </c>
      <c r="Q3439">
        <v>0</v>
      </c>
      <c r="S3439">
        <v>0</v>
      </c>
      <c r="T3439">
        <v>0</v>
      </c>
      <c r="U3439">
        <v>0</v>
      </c>
      <c r="W3439" t="s">
        <v>62</v>
      </c>
    </row>
    <row r="3440" spans="1:23" x14ac:dyDescent="0.35">
      <c r="A3440" t="s">
        <v>45</v>
      </c>
      <c r="B3440" t="s">
        <v>7804</v>
      </c>
      <c r="C3440" t="s">
        <v>47</v>
      </c>
      <c r="D3440" t="s">
        <v>7896</v>
      </c>
      <c r="E3440" t="s">
        <v>7896</v>
      </c>
      <c r="F3440" t="s">
        <v>49</v>
      </c>
      <c r="G3440" t="s">
        <v>7934</v>
      </c>
      <c r="H3440" t="s">
        <v>7935</v>
      </c>
      <c r="J3440" t="str">
        <f>HYPERLINK("https://www.facebook.com/454965103328545/posts/764462805712105?comment_id=228602183652654&amp;reply_comment_id=1090072395676408","https://www.facebook.com/454965103328545/posts/764462805712105?comment_id=228602183652654&amp;reply_comment_id=1090072395676408")</f>
        <v>https://www.facebook.com/454965103328545/posts/764462805712105?comment_id=228602183652654&amp;reply_comment_id=1090072395676408</v>
      </c>
      <c r="O3440">
        <v>0</v>
      </c>
      <c r="P3440">
        <v>0</v>
      </c>
      <c r="Q3440">
        <v>0</v>
      </c>
      <c r="S3440">
        <v>0</v>
      </c>
      <c r="T3440">
        <v>0</v>
      </c>
      <c r="U3440">
        <v>0</v>
      </c>
      <c r="W3440" t="s">
        <v>62</v>
      </c>
    </row>
    <row r="3441" spans="1:45" x14ac:dyDescent="0.35">
      <c r="A3441" t="s">
        <v>45</v>
      </c>
      <c r="B3441" t="s">
        <v>7804</v>
      </c>
      <c r="C3441" t="s">
        <v>58</v>
      </c>
      <c r="D3441" t="s">
        <v>7936</v>
      </c>
      <c r="E3441" t="s">
        <v>7936</v>
      </c>
      <c r="F3441" t="s">
        <v>49</v>
      </c>
      <c r="G3441" t="s">
        <v>7937</v>
      </c>
      <c r="H3441" t="s">
        <v>7938</v>
      </c>
      <c r="J3441" t="str">
        <f>HYPERLINK("https://www.youtube.com/watch?v=HoAMyYjgysM","https://www.youtube.com/watch?v=HoAMyYjgysM")</f>
        <v>https://www.youtube.com/watch?v=HoAMyYjgysM</v>
      </c>
      <c r="O3441">
        <v>0</v>
      </c>
      <c r="P3441">
        <v>0</v>
      </c>
      <c r="Q3441">
        <v>0</v>
      </c>
      <c r="S3441">
        <v>0</v>
      </c>
      <c r="T3441">
        <v>0</v>
      </c>
      <c r="U3441">
        <v>0</v>
      </c>
      <c r="W3441" t="s">
        <v>106</v>
      </c>
    </row>
    <row r="3442" spans="1:45" x14ac:dyDescent="0.35">
      <c r="A3442" t="s">
        <v>45</v>
      </c>
      <c r="B3442" t="s">
        <v>7804</v>
      </c>
      <c r="C3442" t="s">
        <v>47</v>
      </c>
      <c r="D3442" t="s">
        <v>7939</v>
      </c>
      <c r="E3442" t="s">
        <v>7939</v>
      </c>
      <c r="F3442" t="s">
        <v>49</v>
      </c>
      <c r="G3442" t="s">
        <v>7706</v>
      </c>
      <c r="H3442" t="s">
        <v>7940</v>
      </c>
      <c r="J3442" t="str">
        <f>HYPERLINK("https://www.facebook.com/454965103328545/videos/3697954183759550?comment_id=1284061406330394","https://www.facebook.com/454965103328545/videos/3697954183759550?comment_id=1284061406330394")</f>
        <v>https://www.facebook.com/454965103328545/videos/3697954183759550?comment_id=1284061406330394</v>
      </c>
      <c r="O3442">
        <v>0</v>
      </c>
      <c r="P3442">
        <v>0</v>
      </c>
      <c r="Q3442">
        <v>0</v>
      </c>
      <c r="S3442">
        <v>0</v>
      </c>
      <c r="T3442">
        <v>0</v>
      </c>
      <c r="U3442">
        <v>0</v>
      </c>
      <c r="W3442" t="s">
        <v>62</v>
      </c>
    </row>
    <row r="3443" spans="1:45" x14ac:dyDescent="0.35">
      <c r="A3443" t="s">
        <v>45</v>
      </c>
      <c r="B3443" t="s">
        <v>7804</v>
      </c>
      <c r="C3443" t="s">
        <v>47</v>
      </c>
      <c r="D3443" t="s">
        <v>7411</v>
      </c>
      <c r="E3443" t="s">
        <v>7411</v>
      </c>
      <c r="F3443" t="s">
        <v>49</v>
      </c>
      <c r="G3443" t="s">
        <v>459</v>
      </c>
      <c r="H3443" t="s">
        <v>7941</v>
      </c>
      <c r="J3443" t="str">
        <f>HYPERLINK("https://www.facebook.com/454965103328545/videos/3697954183759550?comment_id=800887852053884","https://www.facebook.com/454965103328545/videos/3697954183759550?comment_id=800887852053884")</f>
        <v>https://www.facebook.com/454965103328545/videos/3697954183759550?comment_id=800887852053884</v>
      </c>
      <c r="O3443">
        <v>0</v>
      </c>
      <c r="P3443">
        <v>0</v>
      </c>
      <c r="Q3443">
        <v>0</v>
      </c>
      <c r="S3443">
        <v>0</v>
      </c>
      <c r="T3443">
        <v>0</v>
      </c>
      <c r="U3443">
        <v>0</v>
      </c>
      <c r="W3443" t="s">
        <v>62</v>
      </c>
    </row>
    <row r="3444" spans="1:45" x14ac:dyDescent="0.35">
      <c r="A3444" t="s">
        <v>45</v>
      </c>
      <c r="B3444" t="s">
        <v>7804</v>
      </c>
      <c r="C3444" t="s">
        <v>47</v>
      </c>
      <c r="D3444" t="s">
        <v>7411</v>
      </c>
      <c r="E3444" t="s">
        <v>7411</v>
      </c>
      <c r="F3444" t="s">
        <v>49</v>
      </c>
      <c r="G3444" t="s">
        <v>1017</v>
      </c>
      <c r="H3444" t="s">
        <v>7942</v>
      </c>
      <c r="J3444" t="str">
        <f>HYPERLINK("https://www.facebook.com/454965103328545/videos/3697954183759550?comment_id=271676705765164","https://www.facebook.com/454965103328545/videos/3697954183759550?comment_id=271676705765164")</f>
        <v>https://www.facebook.com/454965103328545/videos/3697954183759550?comment_id=271676705765164</v>
      </c>
      <c r="O3444">
        <v>0</v>
      </c>
      <c r="P3444">
        <v>0</v>
      </c>
      <c r="Q3444">
        <v>0</v>
      </c>
      <c r="S3444">
        <v>0</v>
      </c>
      <c r="T3444">
        <v>0</v>
      </c>
      <c r="U3444">
        <v>0</v>
      </c>
      <c r="W3444" t="s">
        <v>62</v>
      </c>
    </row>
    <row r="3445" spans="1:45" x14ac:dyDescent="0.35">
      <c r="A3445" t="s">
        <v>45</v>
      </c>
      <c r="B3445" t="s">
        <v>7804</v>
      </c>
      <c r="C3445" t="s">
        <v>47</v>
      </c>
      <c r="D3445" t="s">
        <v>7943</v>
      </c>
      <c r="E3445" t="s">
        <v>7943</v>
      </c>
      <c r="F3445" t="s">
        <v>49</v>
      </c>
      <c r="G3445" t="s">
        <v>7944</v>
      </c>
      <c r="H3445" t="s">
        <v>7945</v>
      </c>
      <c r="J3445" t="str">
        <f>HYPERLINK("https://www.facebook.com/454965103328545/videos/3697954183759550?comment_id=1062634435017835","https://www.facebook.com/454965103328545/videos/3697954183759550?comment_id=1062634435017835")</f>
        <v>https://www.facebook.com/454965103328545/videos/3697954183759550?comment_id=1062634435017835</v>
      </c>
      <c r="O3445">
        <v>0</v>
      </c>
      <c r="P3445">
        <v>0</v>
      </c>
      <c r="Q3445">
        <v>0</v>
      </c>
      <c r="S3445">
        <v>0</v>
      </c>
      <c r="T3445">
        <v>0</v>
      </c>
      <c r="U3445">
        <v>0</v>
      </c>
      <c r="W3445" t="s">
        <v>62</v>
      </c>
    </row>
    <row r="3446" spans="1:45" x14ac:dyDescent="0.35">
      <c r="A3446" t="s">
        <v>45</v>
      </c>
      <c r="B3446" t="s">
        <v>7804</v>
      </c>
      <c r="C3446" t="s">
        <v>47</v>
      </c>
      <c r="D3446" t="s">
        <v>5939</v>
      </c>
      <c r="E3446" t="s">
        <v>5939</v>
      </c>
      <c r="F3446" t="s">
        <v>49</v>
      </c>
      <c r="G3446" t="s">
        <v>7946</v>
      </c>
      <c r="H3446" t="s">
        <v>7947</v>
      </c>
      <c r="J3446" t="str">
        <f>HYPERLINK("https://www.facebook.com/357267201017935/inbox/6988906087853980/","https://www.facebook.com/357267201017935/inbox/6988906087853980/")</f>
        <v>https://www.facebook.com/357267201017935/inbox/6988906087853980/</v>
      </c>
      <c r="O3446">
        <v>0</v>
      </c>
      <c r="P3446">
        <v>0</v>
      </c>
      <c r="Q3446">
        <v>0</v>
      </c>
      <c r="S3446">
        <v>0</v>
      </c>
      <c r="T3446">
        <v>0</v>
      </c>
      <c r="U3446">
        <v>0</v>
      </c>
      <c r="W3446" t="s">
        <v>52</v>
      </c>
    </row>
    <row r="3447" spans="1:45" x14ac:dyDescent="0.35">
      <c r="A3447" t="s">
        <v>45</v>
      </c>
      <c r="B3447" t="s">
        <v>7804</v>
      </c>
      <c r="C3447" t="s">
        <v>139</v>
      </c>
      <c r="D3447" t="s">
        <v>7948</v>
      </c>
      <c r="E3447" t="s">
        <v>7949</v>
      </c>
      <c r="F3447" t="s">
        <v>49</v>
      </c>
      <c r="G3447" t="s">
        <v>7950</v>
      </c>
      <c r="H3447" t="s">
        <v>7951</v>
      </c>
      <c r="J3447" t="str">
        <f>HYPERLINK("https://twitter.com/digitaldahod/status/1753742060728045793","https://twitter.com/digitaldahod/status/1753742060728045793")</f>
        <v>https://twitter.com/digitaldahod/status/1753742060728045793</v>
      </c>
      <c r="K3447" t="s">
        <v>145</v>
      </c>
      <c r="O3447">
        <v>0</v>
      </c>
      <c r="P3447">
        <v>0</v>
      </c>
      <c r="Q3447">
        <v>9</v>
      </c>
      <c r="R3447" t="s">
        <v>7952</v>
      </c>
      <c r="S3447">
        <v>0</v>
      </c>
      <c r="T3447">
        <v>0</v>
      </c>
      <c r="U3447">
        <v>0</v>
      </c>
      <c r="W3447" t="s">
        <v>146</v>
      </c>
    </row>
    <row r="3448" spans="1:45" x14ac:dyDescent="0.35">
      <c r="A3448" t="s">
        <v>45</v>
      </c>
      <c r="B3448" t="s">
        <v>7804</v>
      </c>
      <c r="C3448" t="s">
        <v>139</v>
      </c>
      <c r="D3448" t="s">
        <v>7948</v>
      </c>
      <c r="E3448" t="s">
        <v>7949</v>
      </c>
      <c r="F3448" t="s">
        <v>49</v>
      </c>
      <c r="G3448" t="s">
        <v>7953</v>
      </c>
      <c r="H3448" t="s">
        <v>7954</v>
      </c>
      <c r="J3448" t="str">
        <f>HYPERLINK("https://twitter.com/digitaldahod/status/1753741968080064912","https://twitter.com/digitaldahod/status/1753741968080064912")</f>
        <v>https://twitter.com/digitaldahod/status/1753741968080064912</v>
      </c>
      <c r="K3448" t="s">
        <v>145</v>
      </c>
      <c r="O3448">
        <v>0</v>
      </c>
      <c r="P3448">
        <v>0</v>
      </c>
      <c r="Q3448">
        <v>9</v>
      </c>
      <c r="R3448" t="s">
        <v>7952</v>
      </c>
      <c r="S3448">
        <v>0</v>
      </c>
      <c r="T3448">
        <v>0</v>
      </c>
      <c r="U3448">
        <v>0</v>
      </c>
      <c r="W3448" t="s">
        <v>146</v>
      </c>
    </row>
    <row r="3449" spans="1:45" x14ac:dyDescent="0.35">
      <c r="A3449" t="s">
        <v>45</v>
      </c>
      <c r="B3449" t="s">
        <v>7804</v>
      </c>
      <c r="C3449" t="s">
        <v>47</v>
      </c>
      <c r="D3449" t="s">
        <v>4327</v>
      </c>
      <c r="E3449" t="s">
        <v>4327</v>
      </c>
      <c r="F3449" t="s">
        <v>49</v>
      </c>
      <c r="G3449" t="s">
        <v>5338</v>
      </c>
      <c r="H3449" t="s">
        <v>7955</v>
      </c>
      <c r="J3449" t="str">
        <f>HYPERLINK("https://www.facebook.com/454965103328545/videos/3697954183759550?comment_id=320337257672947","https://www.facebook.com/454965103328545/videos/3697954183759550?comment_id=320337257672947")</f>
        <v>https://www.facebook.com/454965103328545/videos/3697954183759550?comment_id=320337257672947</v>
      </c>
      <c r="O3449">
        <v>0</v>
      </c>
      <c r="P3449">
        <v>0</v>
      </c>
      <c r="Q3449">
        <v>0</v>
      </c>
      <c r="S3449">
        <v>0</v>
      </c>
      <c r="T3449">
        <v>0</v>
      </c>
      <c r="U3449">
        <v>0</v>
      </c>
      <c r="W3449" t="s">
        <v>62</v>
      </c>
    </row>
    <row r="3450" spans="1:45" x14ac:dyDescent="0.35">
      <c r="A3450" t="s">
        <v>45</v>
      </c>
      <c r="B3450" t="s">
        <v>7804</v>
      </c>
      <c r="C3450" t="s">
        <v>139</v>
      </c>
      <c r="D3450" t="s">
        <v>7948</v>
      </c>
      <c r="E3450" t="s">
        <v>7949</v>
      </c>
      <c r="F3450" t="s">
        <v>49</v>
      </c>
      <c r="G3450" t="s">
        <v>7956</v>
      </c>
      <c r="H3450" t="s">
        <v>7957</v>
      </c>
      <c r="J3450" t="str">
        <f>HYPERLINK("https://twitter.com/digitaldahod/status/1753738953134682114","https://twitter.com/digitaldahod/status/1753738953134682114")</f>
        <v>https://twitter.com/digitaldahod/status/1753738953134682114</v>
      </c>
      <c r="K3450" t="s">
        <v>145</v>
      </c>
      <c r="O3450">
        <v>0</v>
      </c>
      <c r="P3450">
        <v>0</v>
      </c>
      <c r="Q3450">
        <v>9</v>
      </c>
      <c r="R3450" t="s">
        <v>7952</v>
      </c>
      <c r="S3450">
        <v>0</v>
      </c>
      <c r="T3450">
        <v>0</v>
      </c>
      <c r="U3450">
        <v>0</v>
      </c>
      <c r="W3450" t="s">
        <v>146</v>
      </c>
    </row>
    <row r="3451" spans="1:45" x14ac:dyDescent="0.35">
      <c r="A3451" t="s">
        <v>45</v>
      </c>
      <c r="B3451" t="s">
        <v>7804</v>
      </c>
      <c r="C3451" t="s">
        <v>139</v>
      </c>
      <c r="D3451" t="s">
        <v>7948</v>
      </c>
      <c r="E3451" t="s">
        <v>7949</v>
      </c>
      <c r="F3451" t="s">
        <v>49</v>
      </c>
      <c r="G3451" t="s">
        <v>7958</v>
      </c>
      <c r="H3451" t="s">
        <v>7959</v>
      </c>
      <c r="J3451" t="str">
        <f>HYPERLINK("https://twitter.com/digitaldahod/status/1753738779414995240","https://twitter.com/digitaldahod/status/1753738779414995240")</f>
        <v>https://twitter.com/digitaldahod/status/1753738779414995240</v>
      </c>
      <c r="K3451" t="s">
        <v>145</v>
      </c>
      <c r="O3451">
        <v>0</v>
      </c>
      <c r="P3451">
        <v>0</v>
      </c>
      <c r="Q3451">
        <v>9</v>
      </c>
      <c r="R3451" t="s">
        <v>7952</v>
      </c>
      <c r="S3451">
        <v>0</v>
      </c>
      <c r="T3451">
        <v>0</v>
      </c>
      <c r="U3451">
        <v>0</v>
      </c>
      <c r="W3451" t="s">
        <v>146</v>
      </c>
    </row>
    <row r="3452" spans="1:45" x14ac:dyDescent="0.35">
      <c r="A3452" t="s">
        <v>45</v>
      </c>
      <c r="B3452" t="s">
        <v>7804</v>
      </c>
      <c r="C3452" t="s">
        <v>47</v>
      </c>
      <c r="D3452" t="s">
        <v>7851</v>
      </c>
      <c r="E3452" t="s">
        <v>7851</v>
      </c>
      <c r="F3452" t="s">
        <v>49</v>
      </c>
      <c r="G3452" t="s">
        <v>7960</v>
      </c>
      <c r="H3452" t="s">
        <v>7961</v>
      </c>
      <c r="J3452" t="str">
        <f>HYPERLINK("https://www.facebook.com/357267201017935/inbox/6995895420488380/","https://www.facebook.com/357267201017935/inbox/6995895420488380/")</f>
        <v>https://www.facebook.com/357267201017935/inbox/6995895420488380/</v>
      </c>
      <c r="O3452">
        <v>0</v>
      </c>
      <c r="P3452">
        <v>0</v>
      </c>
      <c r="Q3452">
        <v>0</v>
      </c>
      <c r="S3452">
        <v>0</v>
      </c>
      <c r="T3452">
        <v>0</v>
      </c>
      <c r="U3452">
        <v>0</v>
      </c>
      <c r="W3452" t="s">
        <v>52</v>
      </c>
      <c r="AP3452" t="s">
        <v>101</v>
      </c>
      <c r="AS3452" t="s">
        <v>375</v>
      </c>
    </row>
    <row r="3453" spans="1:45" x14ac:dyDescent="0.35">
      <c r="A3453" t="s">
        <v>45</v>
      </c>
      <c r="B3453" t="s">
        <v>7804</v>
      </c>
      <c r="C3453" t="s">
        <v>47</v>
      </c>
      <c r="D3453" t="s">
        <v>7851</v>
      </c>
      <c r="E3453" t="s">
        <v>7851</v>
      </c>
      <c r="F3453" t="s">
        <v>49</v>
      </c>
      <c r="G3453" t="s">
        <v>7962</v>
      </c>
      <c r="H3453" t="s">
        <v>7963</v>
      </c>
      <c r="J3453" t="str">
        <f>HYPERLINK("https://www.facebook.com/454965103328545/posts/763871475771238?comment_id=362753103135698","https://www.facebook.com/454965103328545/posts/763871475771238?comment_id=362753103135698")</f>
        <v>https://www.facebook.com/454965103328545/posts/763871475771238?comment_id=362753103135698</v>
      </c>
      <c r="O3453">
        <v>0</v>
      </c>
      <c r="P3453">
        <v>0</v>
      </c>
      <c r="Q3453">
        <v>0</v>
      </c>
      <c r="S3453">
        <v>0</v>
      </c>
      <c r="T3453">
        <v>0</v>
      </c>
      <c r="U3453">
        <v>0</v>
      </c>
      <c r="W3453" t="s">
        <v>62</v>
      </c>
      <c r="AP3453" t="s">
        <v>101</v>
      </c>
    </row>
    <row r="3454" spans="1:45" x14ac:dyDescent="0.35">
      <c r="A3454" t="s">
        <v>45</v>
      </c>
      <c r="B3454" t="s">
        <v>7804</v>
      </c>
      <c r="C3454" t="s">
        <v>47</v>
      </c>
      <c r="D3454" t="s">
        <v>7851</v>
      </c>
      <c r="E3454" t="s">
        <v>7851</v>
      </c>
      <c r="F3454" t="s">
        <v>49</v>
      </c>
      <c r="G3454" t="s">
        <v>7964</v>
      </c>
      <c r="H3454" t="s">
        <v>7965</v>
      </c>
      <c r="J3454" t="str">
        <f>HYPERLINK("https://www.facebook.com/454965103328545/posts/763871475771238?comment_id=1426198521439915","https://www.facebook.com/454965103328545/posts/763871475771238?comment_id=1426198521439915")</f>
        <v>https://www.facebook.com/454965103328545/posts/763871475771238?comment_id=1426198521439915</v>
      </c>
      <c r="O3454">
        <v>0</v>
      </c>
      <c r="P3454">
        <v>0</v>
      </c>
      <c r="Q3454">
        <v>0</v>
      </c>
      <c r="S3454">
        <v>0</v>
      </c>
      <c r="T3454">
        <v>0</v>
      </c>
      <c r="U3454">
        <v>0</v>
      </c>
      <c r="W3454" t="s">
        <v>62</v>
      </c>
      <c r="AP3454" t="s">
        <v>101</v>
      </c>
    </row>
    <row r="3455" spans="1:45" x14ac:dyDescent="0.35">
      <c r="A3455" t="s">
        <v>45</v>
      </c>
      <c r="B3455" t="s">
        <v>7804</v>
      </c>
      <c r="C3455" t="s">
        <v>58</v>
      </c>
      <c r="D3455" t="s">
        <v>7966</v>
      </c>
      <c r="E3455" t="s">
        <v>7966</v>
      </c>
      <c r="F3455" t="s">
        <v>49</v>
      </c>
      <c r="G3455" t="s">
        <v>7967</v>
      </c>
      <c r="H3455" t="s">
        <v>7968</v>
      </c>
      <c r="J3455" t="str">
        <f>HYPERLINK("https://www.youtube.com/watch?v=JeiH6eyIcVM","https://www.youtube.com/watch?v=JeiH6eyIcVM")</f>
        <v>https://www.youtube.com/watch?v=JeiH6eyIcVM</v>
      </c>
      <c r="O3455">
        <v>0</v>
      </c>
      <c r="P3455">
        <v>0</v>
      </c>
      <c r="Q3455">
        <v>0</v>
      </c>
      <c r="S3455">
        <v>0</v>
      </c>
      <c r="T3455">
        <v>0</v>
      </c>
      <c r="U3455">
        <v>0</v>
      </c>
      <c r="W3455" t="s">
        <v>106</v>
      </c>
    </row>
    <row r="3456" spans="1:45" x14ac:dyDescent="0.35">
      <c r="A3456" t="s">
        <v>45</v>
      </c>
      <c r="B3456" t="s">
        <v>7804</v>
      </c>
      <c r="C3456" t="s">
        <v>139</v>
      </c>
      <c r="D3456" t="s">
        <v>7364</v>
      </c>
      <c r="E3456" t="s">
        <v>7365</v>
      </c>
      <c r="F3456" t="s">
        <v>49</v>
      </c>
      <c r="G3456" t="s">
        <v>7969</v>
      </c>
      <c r="H3456" t="s">
        <v>7970</v>
      </c>
      <c r="J3456" t="str">
        <f>HYPERLINK("https://twitter.com/mannarajam/status/1753731662645809318","https://twitter.com/mannarajam/status/1753731662645809318")</f>
        <v>https://twitter.com/mannarajam/status/1753731662645809318</v>
      </c>
      <c r="O3456">
        <v>0</v>
      </c>
      <c r="P3456">
        <v>0</v>
      </c>
      <c r="Q3456">
        <v>25</v>
      </c>
      <c r="S3456">
        <v>0</v>
      </c>
      <c r="T3456">
        <v>0</v>
      </c>
      <c r="U3456">
        <v>0</v>
      </c>
      <c r="W3456" t="s">
        <v>146</v>
      </c>
    </row>
    <row r="3457" spans="1:45" x14ac:dyDescent="0.35">
      <c r="A3457" t="s">
        <v>45</v>
      </c>
      <c r="B3457" t="s">
        <v>7804</v>
      </c>
      <c r="C3457" t="s">
        <v>139</v>
      </c>
      <c r="D3457" t="s">
        <v>4289</v>
      </c>
      <c r="E3457" t="s">
        <v>4290</v>
      </c>
      <c r="F3457" t="s">
        <v>49</v>
      </c>
      <c r="G3457" t="s">
        <v>7971</v>
      </c>
      <c r="H3457" t="s">
        <v>7972</v>
      </c>
      <c r="J3457" t="str">
        <f>HYPERLINK("https://twitter.com/TinkuYadav9334/status/1753722584557133963","https://twitter.com/TinkuYadav9334/status/1753722584557133963")</f>
        <v>https://twitter.com/TinkuYadav9334/status/1753722584557133963</v>
      </c>
      <c r="K3457" t="s">
        <v>145</v>
      </c>
      <c r="O3457">
        <v>0</v>
      </c>
      <c r="P3457">
        <v>0</v>
      </c>
      <c r="Q3457">
        <v>2</v>
      </c>
      <c r="R3457" t="s">
        <v>4293</v>
      </c>
      <c r="S3457">
        <v>0</v>
      </c>
      <c r="T3457">
        <v>0</v>
      </c>
      <c r="U3457">
        <v>0</v>
      </c>
      <c r="W3457" t="s">
        <v>146</v>
      </c>
      <c r="AO3457" t="s">
        <v>119</v>
      </c>
      <c r="AP3457" t="s">
        <v>101</v>
      </c>
      <c r="AS3457" t="s">
        <v>375</v>
      </c>
    </row>
    <row r="3458" spans="1:45" x14ac:dyDescent="0.35">
      <c r="A3458" t="s">
        <v>45</v>
      </c>
      <c r="B3458" t="s">
        <v>7804</v>
      </c>
      <c r="C3458" t="s">
        <v>47</v>
      </c>
      <c r="D3458" t="s">
        <v>7813</v>
      </c>
      <c r="E3458" t="s">
        <v>7813</v>
      </c>
      <c r="F3458" t="s">
        <v>49</v>
      </c>
      <c r="G3458" t="s">
        <v>7973</v>
      </c>
      <c r="H3458" t="s">
        <v>7974</v>
      </c>
      <c r="J3458" t="str">
        <f>HYPERLINK("https://www.facebook.com/454965103328545/videos/3697954183759550?comment_id=827573015798311","https://www.facebook.com/454965103328545/videos/3697954183759550?comment_id=827573015798311")</f>
        <v>https://www.facebook.com/454965103328545/videos/3697954183759550?comment_id=827573015798311</v>
      </c>
      <c r="O3458">
        <v>0</v>
      </c>
      <c r="P3458">
        <v>0</v>
      </c>
      <c r="Q3458">
        <v>0</v>
      </c>
      <c r="S3458">
        <v>0</v>
      </c>
      <c r="T3458">
        <v>0</v>
      </c>
      <c r="U3458">
        <v>0</v>
      </c>
      <c r="W3458" t="s">
        <v>62</v>
      </c>
    </row>
    <row r="3459" spans="1:45" x14ac:dyDescent="0.35">
      <c r="A3459" t="s">
        <v>45</v>
      </c>
      <c r="B3459" t="s">
        <v>7804</v>
      </c>
      <c r="C3459" t="s">
        <v>47</v>
      </c>
      <c r="D3459" t="s">
        <v>45</v>
      </c>
      <c r="E3459" t="s">
        <v>45</v>
      </c>
      <c r="F3459" t="s">
        <v>49</v>
      </c>
      <c r="G3459" t="s">
        <v>7975</v>
      </c>
      <c r="H3459" t="s">
        <v>7976</v>
      </c>
      <c r="J3459" t="str">
        <f>HYPERLINK("https://www.facebook.com/454965103328545/videos/3697954183759550?comment_id=423884519995010&amp;reply_comment_id=1071644174159797","https://www.facebook.com/454965103328545/videos/3697954183759550?comment_id=423884519995010&amp;reply_comment_id=1071644174159797")</f>
        <v>https://www.facebook.com/454965103328545/videos/3697954183759550?comment_id=423884519995010&amp;reply_comment_id=1071644174159797</v>
      </c>
      <c r="O3459">
        <v>0</v>
      </c>
      <c r="P3459">
        <v>0</v>
      </c>
      <c r="Q3459">
        <v>0</v>
      </c>
      <c r="S3459">
        <v>0</v>
      </c>
      <c r="T3459">
        <v>0</v>
      </c>
      <c r="U3459">
        <v>0</v>
      </c>
      <c r="W3459" t="s">
        <v>62</v>
      </c>
    </row>
    <row r="3460" spans="1:45" x14ac:dyDescent="0.35">
      <c r="A3460" t="s">
        <v>45</v>
      </c>
      <c r="B3460" t="s">
        <v>7804</v>
      </c>
      <c r="C3460" t="s">
        <v>47</v>
      </c>
      <c r="D3460" t="s">
        <v>7977</v>
      </c>
      <c r="E3460" t="s">
        <v>7977</v>
      </c>
      <c r="F3460" t="s">
        <v>49</v>
      </c>
      <c r="G3460" t="s">
        <v>7978</v>
      </c>
      <c r="H3460" t="s">
        <v>7979</v>
      </c>
      <c r="J3460" t="str">
        <f>HYPERLINK("https://www.facebook.com/454965103328545/videos/3697954183759550?comment_id=901785444772935","https://www.facebook.com/454965103328545/videos/3697954183759550?comment_id=901785444772935")</f>
        <v>https://www.facebook.com/454965103328545/videos/3697954183759550?comment_id=901785444772935</v>
      </c>
      <c r="O3460">
        <v>0</v>
      </c>
      <c r="P3460">
        <v>0</v>
      </c>
      <c r="Q3460">
        <v>0</v>
      </c>
      <c r="S3460">
        <v>0</v>
      </c>
      <c r="T3460">
        <v>0</v>
      </c>
      <c r="U3460">
        <v>0</v>
      </c>
      <c r="W3460" t="s">
        <v>62</v>
      </c>
    </row>
    <row r="3461" spans="1:45" x14ac:dyDescent="0.35">
      <c r="A3461" t="s">
        <v>45</v>
      </c>
      <c r="B3461" t="s">
        <v>7804</v>
      </c>
      <c r="C3461" t="s">
        <v>47</v>
      </c>
      <c r="D3461" t="s">
        <v>7980</v>
      </c>
      <c r="E3461" t="s">
        <v>7980</v>
      </c>
      <c r="F3461" t="s">
        <v>49</v>
      </c>
      <c r="G3461" t="s">
        <v>7981</v>
      </c>
      <c r="H3461" t="s">
        <v>7982</v>
      </c>
      <c r="J3461" t="str">
        <f>HYPERLINK("https://www.facebook.com/357267201017935/inbox/6992775500800372/","https://www.facebook.com/357267201017935/inbox/6992775500800372/")</f>
        <v>https://www.facebook.com/357267201017935/inbox/6992775500800372/</v>
      </c>
      <c r="O3461">
        <v>0</v>
      </c>
      <c r="P3461">
        <v>0</v>
      </c>
      <c r="Q3461">
        <v>0</v>
      </c>
      <c r="S3461">
        <v>0</v>
      </c>
      <c r="T3461">
        <v>0</v>
      </c>
      <c r="U3461">
        <v>0</v>
      </c>
      <c r="W3461" t="s">
        <v>52</v>
      </c>
    </row>
    <row r="3462" spans="1:45" x14ac:dyDescent="0.35">
      <c r="A3462" t="s">
        <v>45</v>
      </c>
      <c r="B3462" t="s">
        <v>7804</v>
      </c>
      <c r="C3462" t="s">
        <v>47</v>
      </c>
      <c r="D3462" t="s">
        <v>7983</v>
      </c>
      <c r="E3462" t="s">
        <v>7983</v>
      </c>
      <c r="F3462" t="s">
        <v>49</v>
      </c>
      <c r="G3462" t="s">
        <v>7984</v>
      </c>
      <c r="H3462" t="s">
        <v>7985</v>
      </c>
      <c r="J3462" t="str">
        <f>HYPERLINK("https://www.facebook.com/454965103328545/videos/3697954183759550?comment_id=423884519995010","https://www.facebook.com/454965103328545/videos/3697954183759550?comment_id=423884519995010")</f>
        <v>https://www.facebook.com/454965103328545/videos/3697954183759550?comment_id=423884519995010</v>
      </c>
      <c r="O3462">
        <v>0</v>
      </c>
      <c r="P3462">
        <v>0</v>
      </c>
      <c r="Q3462">
        <v>0</v>
      </c>
      <c r="S3462">
        <v>0</v>
      </c>
      <c r="T3462">
        <v>0</v>
      </c>
      <c r="U3462">
        <v>0</v>
      </c>
      <c r="W3462" t="s">
        <v>62</v>
      </c>
      <c r="AS3462" t="s">
        <v>375</v>
      </c>
    </row>
    <row r="3463" spans="1:45" x14ac:dyDescent="0.35">
      <c r="A3463" t="s">
        <v>45</v>
      </c>
      <c r="B3463" t="s">
        <v>7804</v>
      </c>
      <c r="C3463" t="s">
        <v>47</v>
      </c>
      <c r="D3463" t="s">
        <v>7879</v>
      </c>
      <c r="E3463" t="s">
        <v>7879</v>
      </c>
      <c r="F3463" t="s">
        <v>49</v>
      </c>
      <c r="G3463" t="s">
        <v>7986</v>
      </c>
      <c r="H3463" t="s">
        <v>7987</v>
      </c>
      <c r="J3463" t="str">
        <f>HYPERLINK("https://www.facebook.com/454965103328545/videos/3697954183759550?comment_id=767518178733431","https://www.facebook.com/454965103328545/videos/3697954183759550?comment_id=767518178733431")</f>
        <v>https://www.facebook.com/454965103328545/videos/3697954183759550?comment_id=767518178733431</v>
      </c>
      <c r="O3463">
        <v>0</v>
      </c>
      <c r="P3463">
        <v>0</v>
      </c>
      <c r="Q3463">
        <v>0</v>
      </c>
      <c r="S3463">
        <v>0</v>
      </c>
      <c r="T3463">
        <v>0</v>
      </c>
      <c r="U3463">
        <v>0</v>
      </c>
      <c r="W3463" t="s">
        <v>62</v>
      </c>
    </row>
    <row r="3464" spans="1:45" x14ac:dyDescent="0.35">
      <c r="A3464" t="s">
        <v>45</v>
      </c>
      <c r="B3464" t="s">
        <v>7804</v>
      </c>
      <c r="C3464" t="s">
        <v>47</v>
      </c>
      <c r="D3464" t="s">
        <v>7988</v>
      </c>
      <c r="E3464" t="s">
        <v>7988</v>
      </c>
      <c r="F3464" t="s">
        <v>49</v>
      </c>
      <c r="G3464" t="s">
        <v>7989</v>
      </c>
      <c r="H3464" t="s">
        <v>7990</v>
      </c>
      <c r="J3464" t="str">
        <f>HYPERLINK("https://www.facebook.com/454965103328545/videos/3697954183759550?comment_id=1585521975581593","https://www.facebook.com/454965103328545/videos/3697954183759550?comment_id=1585521975581593")</f>
        <v>https://www.facebook.com/454965103328545/videos/3697954183759550?comment_id=1585521975581593</v>
      </c>
      <c r="O3464">
        <v>0</v>
      </c>
      <c r="P3464">
        <v>0</v>
      </c>
      <c r="Q3464">
        <v>0</v>
      </c>
      <c r="S3464">
        <v>0</v>
      </c>
      <c r="T3464">
        <v>0</v>
      </c>
      <c r="U3464">
        <v>0</v>
      </c>
      <c r="W3464" t="s">
        <v>62</v>
      </c>
    </row>
    <row r="3465" spans="1:45" x14ac:dyDescent="0.35">
      <c r="A3465" t="s">
        <v>45</v>
      </c>
      <c r="B3465" t="s">
        <v>7804</v>
      </c>
      <c r="C3465" t="s">
        <v>47</v>
      </c>
      <c r="D3465" t="s">
        <v>7596</v>
      </c>
      <c r="E3465" t="s">
        <v>7596</v>
      </c>
      <c r="F3465" t="s">
        <v>49</v>
      </c>
      <c r="G3465" t="s">
        <v>7991</v>
      </c>
      <c r="H3465" t="s">
        <v>7992</v>
      </c>
      <c r="J3465" t="str">
        <f>HYPERLINK("https://www.facebook.com/454965103328545/videos/3697954183759550?comment_id=1067231627887344","https://www.facebook.com/454965103328545/videos/3697954183759550?comment_id=1067231627887344")</f>
        <v>https://www.facebook.com/454965103328545/videos/3697954183759550?comment_id=1067231627887344</v>
      </c>
      <c r="O3465">
        <v>0</v>
      </c>
      <c r="P3465">
        <v>0</v>
      </c>
      <c r="Q3465">
        <v>0</v>
      </c>
      <c r="S3465">
        <v>0</v>
      </c>
      <c r="T3465">
        <v>0</v>
      </c>
      <c r="U3465">
        <v>0</v>
      </c>
      <c r="W3465" t="s">
        <v>62</v>
      </c>
    </row>
    <row r="3466" spans="1:45" x14ac:dyDescent="0.35">
      <c r="A3466" t="s">
        <v>45</v>
      </c>
      <c r="B3466" t="s">
        <v>7804</v>
      </c>
      <c r="C3466" t="s">
        <v>47</v>
      </c>
      <c r="D3466" t="s">
        <v>1029</v>
      </c>
      <c r="E3466" t="s">
        <v>1029</v>
      </c>
      <c r="F3466" t="s">
        <v>49</v>
      </c>
      <c r="G3466" t="s">
        <v>7993</v>
      </c>
      <c r="H3466" t="s">
        <v>7994</v>
      </c>
      <c r="J3466" t="str">
        <f>HYPERLINK("https://www.facebook.com/454965103328545/videos/3697954183759550?comment_id=1312079042802839","https://www.facebook.com/454965103328545/videos/3697954183759550?comment_id=1312079042802839")</f>
        <v>https://www.facebook.com/454965103328545/videos/3697954183759550?comment_id=1312079042802839</v>
      </c>
      <c r="O3466">
        <v>0</v>
      </c>
      <c r="P3466">
        <v>0</v>
      </c>
      <c r="Q3466">
        <v>0</v>
      </c>
      <c r="S3466">
        <v>0</v>
      </c>
      <c r="T3466">
        <v>0</v>
      </c>
      <c r="U3466">
        <v>0</v>
      </c>
      <c r="W3466" t="s">
        <v>62</v>
      </c>
      <c r="AP3466" t="s">
        <v>101</v>
      </c>
    </row>
    <row r="3467" spans="1:45" x14ac:dyDescent="0.35">
      <c r="A3467" t="s">
        <v>45</v>
      </c>
      <c r="B3467" t="s">
        <v>7804</v>
      </c>
      <c r="C3467" t="s">
        <v>47</v>
      </c>
      <c r="D3467" t="s">
        <v>7851</v>
      </c>
      <c r="E3467" t="s">
        <v>7851</v>
      </c>
      <c r="F3467" t="s">
        <v>76</v>
      </c>
      <c r="G3467" t="s">
        <v>7995</v>
      </c>
      <c r="H3467" t="s">
        <v>7996</v>
      </c>
      <c r="J3467" t="str">
        <f>HYPERLINK("https://www.facebook.com/454965103328545/videos/3697954183759550?comment_id=919701582689467","https://www.facebook.com/454965103328545/videos/3697954183759550?comment_id=919701582689467")</f>
        <v>https://www.facebook.com/454965103328545/videos/3697954183759550?comment_id=919701582689467</v>
      </c>
      <c r="O3467">
        <v>0</v>
      </c>
      <c r="P3467">
        <v>0</v>
      </c>
      <c r="Q3467">
        <v>0</v>
      </c>
      <c r="S3467">
        <v>0</v>
      </c>
      <c r="T3467">
        <v>0</v>
      </c>
      <c r="U3467">
        <v>0</v>
      </c>
      <c r="W3467" t="s">
        <v>62</v>
      </c>
      <c r="AP3467" t="s">
        <v>101</v>
      </c>
    </row>
    <row r="3468" spans="1:45" x14ac:dyDescent="0.35">
      <c r="A3468" t="s">
        <v>45</v>
      </c>
      <c r="B3468" t="s">
        <v>7804</v>
      </c>
      <c r="C3468" t="s">
        <v>47</v>
      </c>
      <c r="D3468" t="s">
        <v>7997</v>
      </c>
      <c r="E3468" t="s">
        <v>7997</v>
      </c>
      <c r="F3468" t="s">
        <v>49</v>
      </c>
      <c r="G3468" t="s">
        <v>7998</v>
      </c>
      <c r="H3468" t="s">
        <v>7999</v>
      </c>
      <c r="J3468" t="str">
        <f>HYPERLINK("https://www.facebook.com/454965103328545/posts/763871475771238?comment_id=342131952131788","https://www.facebook.com/454965103328545/posts/763871475771238?comment_id=342131952131788")</f>
        <v>https://www.facebook.com/454965103328545/posts/763871475771238?comment_id=342131952131788</v>
      </c>
      <c r="O3468">
        <v>0</v>
      </c>
      <c r="P3468">
        <v>0</v>
      </c>
      <c r="Q3468">
        <v>0</v>
      </c>
      <c r="S3468">
        <v>0</v>
      </c>
      <c r="T3468">
        <v>0</v>
      </c>
      <c r="U3468">
        <v>0</v>
      </c>
      <c r="W3468" t="s">
        <v>62</v>
      </c>
    </row>
    <row r="3469" spans="1:45" x14ac:dyDescent="0.35">
      <c r="A3469" t="s">
        <v>45</v>
      </c>
      <c r="B3469" t="s">
        <v>7804</v>
      </c>
      <c r="C3469" t="s">
        <v>47</v>
      </c>
      <c r="D3469" t="s">
        <v>8000</v>
      </c>
      <c r="E3469" t="s">
        <v>8000</v>
      </c>
      <c r="F3469" t="s">
        <v>49</v>
      </c>
      <c r="G3469">
        <v>8800912765</v>
      </c>
      <c r="H3469" t="s">
        <v>8001</v>
      </c>
      <c r="J3469" t="str">
        <f>HYPERLINK("https://www.facebook.com/photo.php?fbid=658491756309211&amp;set=a.454957329995989&amp;type=3&amp;comment_id=360473353368313","https://www.facebook.com/photo.php?fbid=658491756309211&amp;set=a.454957329995989&amp;type=3&amp;comment_id=360473353368313")</f>
        <v>https://www.facebook.com/photo.php?fbid=658491756309211&amp;set=a.454957329995989&amp;type=3&amp;comment_id=360473353368313</v>
      </c>
      <c r="O3469">
        <v>0</v>
      </c>
      <c r="P3469">
        <v>0</v>
      </c>
      <c r="Q3469">
        <v>0</v>
      </c>
      <c r="S3469">
        <v>0</v>
      </c>
      <c r="T3469">
        <v>0</v>
      </c>
      <c r="U3469">
        <v>0</v>
      </c>
      <c r="W3469" t="s">
        <v>62</v>
      </c>
    </row>
    <row r="3470" spans="1:45" x14ac:dyDescent="0.35">
      <c r="A3470" t="s">
        <v>45</v>
      </c>
      <c r="B3470" t="s">
        <v>7804</v>
      </c>
      <c r="C3470" t="s">
        <v>58</v>
      </c>
      <c r="D3470" t="s">
        <v>7887</v>
      </c>
      <c r="E3470" t="s">
        <v>7887</v>
      </c>
      <c r="F3470" t="s">
        <v>49</v>
      </c>
      <c r="G3470" t="s">
        <v>8002</v>
      </c>
      <c r="H3470" t="s">
        <v>8003</v>
      </c>
      <c r="J3470" t="str">
        <f>HYPERLINK("https://www.youtube.com/watch?v=TEahVtyagCA","https://www.youtube.com/watch?v=TEahVtyagCA")</f>
        <v>https://www.youtube.com/watch?v=TEahVtyagCA</v>
      </c>
      <c r="O3470">
        <v>0</v>
      </c>
      <c r="P3470">
        <v>0</v>
      </c>
      <c r="Q3470">
        <v>0</v>
      </c>
      <c r="S3470">
        <v>0</v>
      </c>
      <c r="T3470">
        <v>0</v>
      </c>
      <c r="U3470">
        <v>0</v>
      </c>
      <c r="W3470" t="s">
        <v>106</v>
      </c>
      <c r="AO3470" t="s">
        <v>67</v>
      </c>
    </row>
    <row r="3471" spans="1:45" x14ac:dyDescent="0.35">
      <c r="A3471" t="s">
        <v>45</v>
      </c>
      <c r="B3471" t="s">
        <v>7804</v>
      </c>
      <c r="C3471" t="s">
        <v>47</v>
      </c>
      <c r="D3471" t="s">
        <v>4488</v>
      </c>
      <c r="E3471" t="s">
        <v>4488</v>
      </c>
      <c r="F3471" t="s">
        <v>49</v>
      </c>
      <c r="G3471" t="s">
        <v>8004</v>
      </c>
      <c r="H3471" t="s">
        <v>8005</v>
      </c>
      <c r="J3471" t="str">
        <f>HYPERLINK("https://www.facebook.com/454965103328545/videos/3697954183759550?comment_id=1159257881710358","https://www.facebook.com/454965103328545/videos/3697954183759550?comment_id=1159257881710358")</f>
        <v>https://www.facebook.com/454965103328545/videos/3697954183759550?comment_id=1159257881710358</v>
      </c>
      <c r="O3471">
        <v>0</v>
      </c>
      <c r="P3471">
        <v>0</v>
      </c>
      <c r="Q3471">
        <v>0</v>
      </c>
      <c r="S3471">
        <v>0</v>
      </c>
      <c r="T3471">
        <v>0</v>
      </c>
      <c r="U3471">
        <v>0</v>
      </c>
      <c r="W3471" t="s">
        <v>62</v>
      </c>
    </row>
    <row r="3472" spans="1:45" x14ac:dyDescent="0.35">
      <c r="A3472" t="s">
        <v>45</v>
      </c>
      <c r="B3472" t="s">
        <v>7804</v>
      </c>
      <c r="C3472" t="s">
        <v>47</v>
      </c>
      <c r="D3472" t="s">
        <v>8006</v>
      </c>
      <c r="E3472" t="s">
        <v>8006</v>
      </c>
      <c r="F3472" t="s">
        <v>49</v>
      </c>
      <c r="G3472" t="s">
        <v>7706</v>
      </c>
      <c r="H3472" t="s">
        <v>8007</v>
      </c>
      <c r="J3472" t="str">
        <f>HYPERLINK("https://www.facebook.com/454965103328545/videos/3697954183759550?comment_id=700983638909090","https://www.facebook.com/454965103328545/videos/3697954183759550?comment_id=700983638909090")</f>
        <v>https://www.facebook.com/454965103328545/videos/3697954183759550?comment_id=700983638909090</v>
      </c>
      <c r="O3472">
        <v>0</v>
      </c>
      <c r="P3472">
        <v>0</v>
      </c>
      <c r="Q3472">
        <v>0</v>
      </c>
      <c r="S3472">
        <v>0</v>
      </c>
      <c r="T3472">
        <v>0</v>
      </c>
      <c r="U3472">
        <v>0</v>
      </c>
      <c r="W3472" t="s">
        <v>62</v>
      </c>
    </row>
    <row r="3473" spans="1:23" x14ac:dyDescent="0.35">
      <c r="A3473" t="s">
        <v>45</v>
      </c>
      <c r="B3473" t="s">
        <v>7804</v>
      </c>
      <c r="C3473" t="s">
        <v>47</v>
      </c>
      <c r="D3473" t="s">
        <v>4488</v>
      </c>
      <c r="E3473" t="s">
        <v>4488</v>
      </c>
      <c r="F3473" t="s">
        <v>49</v>
      </c>
      <c r="G3473" t="s">
        <v>45</v>
      </c>
      <c r="H3473" t="s">
        <v>8008</v>
      </c>
      <c r="J3473" t="str">
        <f>HYPERLINK("https://www.facebook.com/454965103328545/posts/763902162434836?comment_id=1312107259487698&amp;reply_comment_id=356802477119174","https://www.facebook.com/454965103328545/posts/763902162434836?comment_id=1312107259487698&amp;reply_comment_id=356802477119174")</f>
        <v>https://www.facebook.com/454965103328545/posts/763902162434836?comment_id=1312107259487698&amp;reply_comment_id=356802477119174</v>
      </c>
      <c r="O3473">
        <v>0</v>
      </c>
      <c r="P3473">
        <v>0</v>
      </c>
      <c r="Q3473">
        <v>0</v>
      </c>
      <c r="S3473">
        <v>0</v>
      </c>
      <c r="T3473">
        <v>0</v>
      </c>
      <c r="U3473">
        <v>0</v>
      </c>
      <c r="W3473" t="s">
        <v>62</v>
      </c>
    </row>
    <row r="3474" spans="1:23" x14ac:dyDescent="0.35">
      <c r="A3474" t="s">
        <v>45</v>
      </c>
      <c r="B3474" t="s">
        <v>7804</v>
      </c>
      <c r="C3474" t="s">
        <v>47</v>
      </c>
      <c r="D3474" t="s">
        <v>8009</v>
      </c>
      <c r="E3474" t="s">
        <v>8009</v>
      </c>
      <c r="F3474" t="s">
        <v>49</v>
      </c>
      <c r="G3474" t="s">
        <v>8010</v>
      </c>
      <c r="H3474" t="s">
        <v>8011</v>
      </c>
      <c r="J3474" t="str">
        <f>HYPERLINK("https://www.facebook.com/454965103328545/videos/3697954183759550?comment_id=1505560010293170","https://www.facebook.com/454965103328545/videos/3697954183759550?comment_id=1505560010293170")</f>
        <v>https://www.facebook.com/454965103328545/videos/3697954183759550?comment_id=1505560010293170</v>
      </c>
      <c r="O3474">
        <v>0</v>
      </c>
      <c r="P3474">
        <v>0</v>
      </c>
      <c r="Q3474">
        <v>0</v>
      </c>
      <c r="S3474">
        <v>0</v>
      </c>
      <c r="T3474">
        <v>0</v>
      </c>
      <c r="U3474">
        <v>0</v>
      </c>
      <c r="W3474" t="s">
        <v>62</v>
      </c>
    </row>
    <row r="3475" spans="1:23" x14ac:dyDescent="0.35">
      <c r="A3475" t="s">
        <v>45</v>
      </c>
      <c r="B3475" t="s">
        <v>7804</v>
      </c>
      <c r="C3475" t="s">
        <v>47</v>
      </c>
      <c r="D3475" t="s">
        <v>45</v>
      </c>
      <c r="E3475" t="s">
        <v>45</v>
      </c>
      <c r="F3475" t="s">
        <v>49</v>
      </c>
      <c r="G3475" t="s">
        <v>7259</v>
      </c>
      <c r="H3475" t="s">
        <v>8012</v>
      </c>
      <c r="J3475" t="str">
        <f>HYPERLINK("https://www.facebook.com/454965103328545/posts/763902162434836?comment_id=339340409082692&amp;reply_comment_id=2031799590536563","https://www.facebook.com/454965103328545/posts/763902162434836?comment_id=339340409082692&amp;reply_comment_id=2031799590536563")</f>
        <v>https://www.facebook.com/454965103328545/posts/763902162434836?comment_id=339340409082692&amp;reply_comment_id=2031799590536563</v>
      </c>
      <c r="O3475">
        <v>0</v>
      </c>
      <c r="P3475">
        <v>0</v>
      </c>
      <c r="Q3475">
        <v>0</v>
      </c>
      <c r="S3475">
        <v>0</v>
      </c>
      <c r="T3475">
        <v>0</v>
      </c>
      <c r="U3475">
        <v>0</v>
      </c>
      <c r="W3475" t="s">
        <v>62</v>
      </c>
    </row>
    <row r="3476" spans="1:23" x14ac:dyDescent="0.35">
      <c r="A3476" t="s">
        <v>45</v>
      </c>
      <c r="B3476" t="s">
        <v>7804</v>
      </c>
      <c r="C3476" t="s">
        <v>47</v>
      </c>
      <c r="D3476" t="s">
        <v>8013</v>
      </c>
      <c r="E3476" t="s">
        <v>8013</v>
      </c>
      <c r="F3476" t="s">
        <v>49</v>
      </c>
      <c r="G3476" t="s">
        <v>8014</v>
      </c>
      <c r="H3476" t="s">
        <v>8015</v>
      </c>
      <c r="J3476" t="str">
        <f>HYPERLINK("https://www.facebook.com/454965103328545/videos/3697954183759550?comment_id=911198183747491","https://www.facebook.com/454965103328545/videos/3697954183759550?comment_id=911198183747491")</f>
        <v>https://www.facebook.com/454965103328545/videos/3697954183759550?comment_id=911198183747491</v>
      </c>
      <c r="O3476">
        <v>0</v>
      </c>
      <c r="P3476">
        <v>0</v>
      </c>
      <c r="Q3476">
        <v>0</v>
      </c>
      <c r="S3476">
        <v>0</v>
      </c>
      <c r="T3476">
        <v>0</v>
      </c>
      <c r="U3476">
        <v>0</v>
      </c>
      <c r="W3476" t="s">
        <v>62</v>
      </c>
    </row>
    <row r="3477" spans="1:23" x14ac:dyDescent="0.35">
      <c r="A3477" t="s">
        <v>45</v>
      </c>
      <c r="B3477" t="s">
        <v>7804</v>
      </c>
      <c r="C3477" t="s">
        <v>47</v>
      </c>
      <c r="D3477" t="s">
        <v>8016</v>
      </c>
      <c r="E3477" t="s">
        <v>8016</v>
      </c>
      <c r="F3477" t="s">
        <v>49</v>
      </c>
      <c r="G3477" t="s">
        <v>7706</v>
      </c>
      <c r="H3477" t="s">
        <v>8017</v>
      </c>
      <c r="J3477" t="str">
        <f>HYPERLINK("https://www.facebook.com/454965103328545/videos/3697954183759550?comment_id=1035825331052290","https://www.facebook.com/454965103328545/videos/3697954183759550?comment_id=1035825331052290")</f>
        <v>https://www.facebook.com/454965103328545/videos/3697954183759550?comment_id=1035825331052290</v>
      </c>
      <c r="O3477">
        <v>0</v>
      </c>
      <c r="P3477">
        <v>0</v>
      </c>
      <c r="Q3477">
        <v>0</v>
      </c>
      <c r="S3477">
        <v>0</v>
      </c>
      <c r="T3477">
        <v>0</v>
      </c>
      <c r="U3477">
        <v>0</v>
      </c>
      <c r="W3477" t="s">
        <v>62</v>
      </c>
    </row>
    <row r="3478" spans="1:23" x14ac:dyDescent="0.35">
      <c r="A3478" t="s">
        <v>45</v>
      </c>
      <c r="B3478" t="s">
        <v>7804</v>
      </c>
      <c r="C3478" t="s">
        <v>47</v>
      </c>
      <c r="D3478" t="s">
        <v>45</v>
      </c>
      <c r="E3478" t="s">
        <v>45</v>
      </c>
      <c r="F3478" t="s">
        <v>49</v>
      </c>
      <c r="G3478" t="s">
        <v>8018</v>
      </c>
      <c r="H3478" t="s">
        <v>8019</v>
      </c>
      <c r="J3478" t="str">
        <f>HYPERLINK("https://www.facebook.com/454965103328545/videos/3697954183759550?comment_id=1118095532879486&amp;reply_comment_id=357856820446944","https://www.facebook.com/454965103328545/videos/3697954183759550?comment_id=1118095532879486&amp;reply_comment_id=357856820446944")</f>
        <v>https://www.facebook.com/454965103328545/videos/3697954183759550?comment_id=1118095532879486&amp;reply_comment_id=357856820446944</v>
      </c>
      <c r="O3478">
        <v>0</v>
      </c>
      <c r="P3478">
        <v>0</v>
      </c>
      <c r="Q3478">
        <v>0</v>
      </c>
      <c r="S3478">
        <v>0</v>
      </c>
      <c r="T3478">
        <v>0</v>
      </c>
      <c r="U3478">
        <v>0</v>
      </c>
      <c r="W3478" t="s">
        <v>62</v>
      </c>
    </row>
    <row r="3479" spans="1:23" x14ac:dyDescent="0.35">
      <c r="A3479" t="s">
        <v>45</v>
      </c>
      <c r="B3479" t="s">
        <v>7804</v>
      </c>
      <c r="C3479" t="s">
        <v>47</v>
      </c>
      <c r="D3479" t="s">
        <v>45</v>
      </c>
      <c r="E3479" t="s">
        <v>45</v>
      </c>
      <c r="F3479" t="s">
        <v>49</v>
      </c>
      <c r="G3479" t="s">
        <v>8020</v>
      </c>
      <c r="H3479" t="s">
        <v>8021</v>
      </c>
      <c r="J3479" t="str">
        <f>HYPERLINK("https://www.facebook.com/454965103328545/videos/3697954183759550?comment_id=349174141413132&amp;reply_comment_id=765897438242922","https://www.facebook.com/454965103328545/videos/3697954183759550?comment_id=349174141413132&amp;reply_comment_id=765897438242922")</f>
        <v>https://www.facebook.com/454965103328545/videos/3697954183759550?comment_id=349174141413132&amp;reply_comment_id=765897438242922</v>
      </c>
      <c r="O3479">
        <v>0</v>
      </c>
      <c r="P3479">
        <v>0</v>
      </c>
      <c r="Q3479">
        <v>0</v>
      </c>
      <c r="S3479">
        <v>0</v>
      </c>
      <c r="T3479">
        <v>0</v>
      </c>
      <c r="U3479">
        <v>0</v>
      </c>
      <c r="W3479" t="s">
        <v>62</v>
      </c>
    </row>
    <row r="3480" spans="1:23" x14ac:dyDescent="0.35">
      <c r="A3480" t="s">
        <v>45</v>
      </c>
      <c r="B3480" t="s">
        <v>7804</v>
      </c>
      <c r="C3480" t="s">
        <v>47</v>
      </c>
      <c r="D3480" t="s">
        <v>8022</v>
      </c>
      <c r="E3480" t="s">
        <v>8022</v>
      </c>
      <c r="F3480" t="s">
        <v>49</v>
      </c>
      <c r="G3480" t="s">
        <v>8023</v>
      </c>
      <c r="H3480" t="s">
        <v>8024</v>
      </c>
      <c r="J3480" t="str">
        <f>HYPERLINK("https://www.facebook.com/454965103328545/videos/3697954183759550?comment_id=1434554237138199","https://www.facebook.com/454965103328545/videos/3697954183759550?comment_id=1434554237138199")</f>
        <v>https://www.facebook.com/454965103328545/videos/3697954183759550?comment_id=1434554237138199</v>
      </c>
      <c r="O3480">
        <v>0</v>
      </c>
      <c r="P3480">
        <v>0</v>
      </c>
      <c r="Q3480">
        <v>0</v>
      </c>
      <c r="S3480">
        <v>0</v>
      </c>
      <c r="T3480">
        <v>0</v>
      </c>
      <c r="U3480">
        <v>0</v>
      </c>
      <c r="W3480" t="s">
        <v>62</v>
      </c>
    </row>
    <row r="3481" spans="1:23" x14ac:dyDescent="0.35">
      <c r="A3481" t="s">
        <v>45</v>
      </c>
      <c r="B3481" t="s">
        <v>7804</v>
      </c>
      <c r="C3481" t="s">
        <v>47</v>
      </c>
      <c r="D3481" t="s">
        <v>8022</v>
      </c>
      <c r="E3481" t="s">
        <v>8022</v>
      </c>
      <c r="F3481" t="s">
        <v>49</v>
      </c>
      <c r="G3481" t="s">
        <v>8025</v>
      </c>
      <c r="H3481" t="s">
        <v>8026</v>
      </c>
      <c r="J3481" t="str">
        <f>HYPERLINK("https://www.facebook.com/454965103328545/videos/3697954183759550?comment_id=1428017187783455","https://www.facebook.com/454965103328545/videos/3697954183759550?comment_id=1428017187783455")</f>
        <v>https://www.facebook.com/454965103328545/videos/3697954183759550?comment_id=1428017187783455</v>
      </c>
      <c r="O3481">
        <v>0</v>
      </c>
      <c r="P3481">
        <v>0</v>
      </c>
      <c r="Q3481">
        <v>0</v>
      </c>
      <c r="S3481">
        <v>0</v>
      </c>
      <c r="T3481">
        <v>0</v>
      </c>
      <c r="U3481">
        <v>0</v>
      </c>
      <c r="W3481" t="s">
        <v>62</v>
      </c>
    </row>
    <row r="3482" spans="1:23" x14ac:dyDescent="0.35">
      <c r="A3482" t="s">
        <v>45</v>
      </c>
      <c r="B3482" t="s">
        <v>7804</v>
      </c>
      <c r="C3482" t="s">
        <v>47</v>
      </c>
      <c r="D3482" t="s">
        <v>8022</v>
      </c>
      <c r="E3482" t="s">
        <v>8022</v>
      </c>
      <c r="F3482" t="s">
        <v>49</v>
      </c>
      <c r="G3482" t="s">
        <v>8027</v>
      </c>
      <c r="H3482" t="s">
        <v>8028</v>
      </c>
      <c r="J3482" t="str">
        <f>HYPERLINK("https://www.facebook.com/454965103328545/videos/3697954183759550?comment_id=930644984711944","https://www.facebook.com/454965103328545/videos/3697954183759550?comment_id=930644984711944")</f>
        <v>https://www.facebook.com/454965103328545/videos/3697954183759550?comment_id=930644984711944</v>
      </c>
      <c r="O3482">
        <v>0</v>
      </c>
      <c r="P3482">
        <v>0</v>
      </c>
      <c r="Q3482">
        <v>0</v>
      </c>
      <c r="S3482">
        <v>0</v>
      </c>
      <c r="T3482">
        <v>0</v>
      </c>
      <c r="U3482">
        <v>0</v>
      </c>
      <c r="W3482" t="s">
        <v>62</v>
      </c>
    </row>
    <row r="3483" spans="1:23" x14ac:dyDescent="0.35">
      <c r="A3483" t="s">
        <v>45</v>
      </c>
      <c r="B3483" t="s">
        <v>7804</v>
      </c>
      <c r="C3483" t="s">
        <v>47</v>
      </c>
      <c r="D3483" t="s">
        <v>8022</v>
      </c>
      <c r="E3483" t="s">
        <v>8022</v>
      </c>
      <c r="F3483" t="s">
        <v>49</v>
      </c>
      <c r="G3483" t="s">
        <v>8029</v>
      </c>
      <c r="H3483" t="s">
        <v>8030</v>
      </c>
      <c r="J3483" t="str">
        <f>HYPERLINK("https://www.facebook.com/454965103328545/videos/3697954183759550?comment_id=334318519581609","https://www.facebook.com/454965103328545/videos/3697954183759550?comment_id=334318519581609")</f>
        <v>https://www.facebook.com/454965103328545/videos/3697954183759550?comment_id=334318519581609</v>
      </c>
      <c r="O3483">
        <v>0</v>
      </c>
      <c r="P3483">
        <v>0</v>
      </c>
      <c r="Q3483">
        <v>0</v>
      </c>
      <c r="S3483">
        <v>0</v>
      </c>
      <c r="T3483">
        <v>0</v>
      </c>
      <c r="U3483">
        <v>0</v>
      </c>
      <c r="W3483" t="s">
        <v>62</v>
      </c>
    </row>
    <row r="3484" spans="1:23" x14ac:dyDescent="0.35">
      <c r="A3484" t="s">
        <v>45</v>
      </c>
      <c r="B3484" t="s">
        <v>7804</v>
      </c>
      <c r="C3484" t="s">
        <v>47</v>
      </c>
      <c r="D3484" t="s">
        <v>8022</v>
      </c>
      <c r="E3484" t="s">
        <v>8022</v>
      </c>
      <c r="F3484" t="s">
        <v>49</v>
      </c>
      <c r="G3484" t="s">
        <v>8031</v>
      </c>
      <c r="H3484" t="s">
        <v>8032</v>
      </c>
      <c r="J3484" t="str">
        <f>HYPERLINK("https://www.facebook.com/454965103328545/videos/3697954183759550?comment_id=1099542247740544","https://www.facebook.com/454965103328545/videos/3697954183759550?comment_id=1099542247740544")</f>
        <v>https://www.facebook.com/454965103328545/videos/3697954183759550?comment_id=1099542247740544</v>
      </c>
      <c r="O3484">
        <v>0</v>
      </c>
      <c r="P3484">
        <v>0</v>
      </c>
      <c r="Q3484">
        <v>0</v>
      </c>
      <c r="S3484">
        <v>0</v>
      </c>
      <c r="T3484">
        <v>0</v>
      </c>
      <c r="U3484">
        <v>0</v>
      </c>
      <c r="W3484" t="s">
        <v>62</v>
      </c>
    </row>
    <row r="3485" spans="1:23" x14ac:dyDescent="0.35">
      <c r="A3485" t="s">
        <v>45</v>
      </c>
      <c r="B3485" t="s">
        <v>7804</v>
      </c>
      <c r="C3485" t="s">
        <v>47</v>
      </c>
      <c r="D3485" t="s">
        <v>8022</v>
      </c>
      <c r="E3485" t="s">
        <v>8022</v>
      </c>
      <c r="F3485" t="s">
        <v>49</v>
      </c>
      <c r="G3485" t="s">
        <v>8033</v>
      </c>
      <c r="H3485" t="s">
        <v>8034</v>
      </c>
      <c r="J3485" t="str">
        <f>HYPERLINK("https://www.facebook.com/454965103328545/videos/3697954183759550?comment_id=834806855028680","https://www.facebook.com/454965103328545/videos/3697954183759550?comment_id=834806855028680")</f>
        <v>https://www.facebook.com/454965103328545/videos/3697954183759550?comment_id=834806855028680</v>
      </c>
      <c r="O3485">
        <v>0</v>
      </c>
      <c r="P3485">
        <v>0</v>
      </c>
      <c r="Q3485">
        <v>0</v>
      </c>
      <c r="S3485">
        <v>0</v>
      </c>
      <c r="T3485">
        <v>0</v>
      </c>
      <c r="U3485">
        <v>0</v>
      </c>
      <c r="W3485" t="s">
        <v>62</v>
      </c>
    </row>
    <row r="3486" spans="1:23" x14ac:dyDescent="0.35">
      <c r="A3486" t="s">
        <v>45</v>
      </c>
      <c r="B3486" t="s">
        <v>7804</v>
      </c>
      <c r="C3486" t="s">
        <v>47</v>
      </c>
      <c r="D3486" t="s">
        <v>8022</v>
      </c>
      <c r="E3486" t="s">
        <v>8022</v>
      </c>
      <c r="F3486" t="s">
        <v>49</v>
      </c>
      <c r="G3486" t="s">
        <v>8035</v>
      </c>
      <c r="H3486" t="s">
        <v>8036</v>
      </c>
      <c r="J3486" t="str">
        <f>HYPERLINK("https://www.facebook.com/454965103328545/videos/3697954183759550?comment_id=356219797343857","https://www.facebook.com/454965103328545/videos/3697954183759550?comment_id=356219797343857")</f>
        <v>https://www.facebook.com/454965103328545/videos/3697954183759550?comment_id=356219797343857</v>
      </c>
      <c r="O3486">
        <v>0</v>
      </c>
      <c r="P3486">
        <v>0</v>
      </c>
      <c r="Q3486">
        <v>0</v>
      </c>
      <c r="S3486">
        <v>0</v>
      </c>
      <c r="T3486">
        <v>0</v>
      </c>
      <c r="U3486">
        <v>0</v>
      </c>
      <c r="W3486" t="s">
        <v>62</v>
      </c>
    </row>
    <row r="3487" spans="1:23" x14ac:dyDescent="0.35">
      <c r="A3487" t="s">
        <v>45</v>
      </c>
      <c r="B3487" t="s">
        <v>7804</v>
      </c>
      <c r="C3487" t="s">
        <v>47</v>
      </c>
      <c r="D3487" t="s">
        <v>8022</v>
      </c>
      <c r="E3487" t="s">
        <v>8022</v>
      </c>
      <c r="F3487" t="s">
        <v>49</v>
      </c>
      <c r="G3487" t="s">
        <v>8037</v>
      </c>
      <c r="H3487" t="s">
        <v>8038</v>
      </c>
      <c r="J3487" t="str">
        <f>HYPERLINK("https://www.facebook.com/454965103328545/videos/3697954183759550?comment_id=369465589137452","https://www.facebook.com/454965103328545/videos/3697954183759550?comment_id=369465589137452")</f>
        <v>https://www.facebook.com/454965103328545/videos/3697954183759550?comment_id=369465589137452</v>
      </c>
      <c r="O3487">
        <v>0</v>
      </c>
      <c r="P3487">
        <v>0</v>
      </c>
      <c r="Q3487">
        <v>0</v>
      </c>
      <c r="S3487">
        <v>0</v>
      </c>
      <c r="T3487">
        <v>0</v>
      </c>
      <c r="U3487">
        <v>0</v>
      </c>
      <c r="W3487" t="s">
        <v>62</v>
      </c>
    </row>
    <row r="3488" spans="1:23" x14ac:dyDescent="0.35">
      <c r="A3488" t="s">
        <v>45</v>
      </c>
      <c r="B3488" t="s">
        <v>7804</v>
      </c>
      <c r="C3488" t="s">
        <v>47</v>
      </c>
      <c r="D3488" t="s">
        <v>8022</v>
      </c>
      <c r="E3488" t="s">
        <v>8022</v>
      </c>
      <c r="F3488" t="s">
        <v>49</v>
      </c>
      <c r="G3488" t="s">
        <v>8039</v>
      </c>
      <c r="H3488" t="s">
        <v>8040</v>
      </c>
      <c r="J3488" t="str">
        <f>HYPERLINK("https://www.facebook.com/454965103328545/videos/3697954183759550?comment_id=673480274730963","https://www.facebook.com/454965103328545/videos/3697954183759550?comment_id=673480274730963")</f>
        <v>https://www.facebook.com/454965103328545/videos/3697954183759550?comment_id=673480274730963</v>
      </c>
      <c r="O3488">
        <v>0</v>
      </c>
      <c r="P3488">
        <v>0</v>
      </c>
      <c r="Q3488">
        <v>0</v>
      </c>
      <c r="S3488">
        <v>0</v>
      </c>
      <c r="T3488">
        <v>0</v>
      </c>
      <c r="U3488">
        <v>0</v>
      </c>
      <c r="W3488" t="s">
        <v>62</v>
      </c>
    </row>
    <row r="3489" spans="1:45" x14ac:dyDescent="0.35">
      <c r="A3489" t="s">
        <v>45</v>
      </c>
      <c r="B3489" t="s">
        <v>7804</v>
      </c>
      <c r="C3489" t="s">
        <v>47</v>
      </c>
      <c r="D3489" t="s">
        <v>8022</v>
      </c>
      <c r="E3489" t="s">
        <v>8022</v>
      </c>
      <c r="F3489" t="s">
        <v>49</v>
      </c>
      <c r="G3489" t="s">
        <v>8041</v>
      </c>
      <c r="H3489" t="s">
        <v>8042</v>
      </c>
      <c r="J3489" t="str">
        <f>HYPERLINK("https://www.facebook.com/454965103328545/videos/3697954183759550?comment_id=1831430343956458","https://www.facebook.com/454965103328545/videos/3697954183759550?comment_id=1831430343956458")</f>
        <v>https://www.facebook.com/454965103328545/videos/3697954183759550?comment_id=1831430343956458</v>
      </c>
      <c r="O3489">
        <v>0</v>
      </c>
      <c r="P3489">
        <v>0</v>
      </c>
      <c r="Q3489">
        <v>0</v>
      </c>
      <c r="S3489">
        <v>0</v>
      </c>
      <c r="T3489">
        <v>0</v>
      </c>
      <c r="U3489">
        <v>0</v>
      </c>
      <c r="W3489" t="s">
        <v>62</v>
      </c>
    </row>
    <row r="3490" spans="1:45" x14ac:dyDescent="0.35">
      <c r="A3490" t="s">
        <v>45</v>
      </c>
      <c r="B3490" t="s">
        <v>7804</v>
      </c>
      <c r="C3490" t="s">
        <v>47</v>
      </c>
      <c r="D3490" t="s">
        <v>8022</v>
      </c>
      <c r="E3490" t="s">
        <v>8022</v>
      </c>
      <c r="F3490" t="s">
        <v>49</v>
      </c>
      <c r="G3490" t="s">
        <v>8043</v>
      </c>
      <c r="H3490" t="s">
        <v>8044</v>
      </c>
      <c r="J3490" t="str">
        <f>HYPERLINK("https://www.facebook.com/454965103328545/videos/3697954183759550?comment_id=918262559572957","https://www.facebook.com/454965103328545/videos/3697954183759550?comment_id=918262559572957")</f>
        <v>https://www.facebook.com/454965103328545/videos/3697954183759550?comment_id=918262559572957</v>
      </c>
      <c r="O3490">
        <v>0</v>
      </c>
      <c r="P3490">
        <v>0</v>
      </c>
      <c r="Q3490">
        <v>0</v>
      </c>
      <c r="S3490">
        <v>0</v>
      </c>
      <c r="T3490">
        <v>0</v>
      </c>
      <c r="U3490">
        <v>0</v>
      </c>
      <c r="W3490" t="s">
        <v>62</v>
      </c>
    </row>
    <row r="3491" spans="1:45" x14ac:dyDescent="0.35">
      <c r="A3491" t="s">
        <v>45</v>
      </c>
      <c r="B3491" t="s">
        <v>7804</v>
      </c>
      <c r="C3491" t="s">
        <v>47</v>
      </c>
      <c r="D3491" t="s">
        <v>45</v>
      </c>
      <c r="E3491" t="s">
        <v>45</v>
      </c>
      <c r="F3491" t="s">
        <v>49</v>
      </c>
      <c r="G3491" t="s">
        <v>8045</v>
      </c>
      <c r="H3491" t="s">
        <v>8046</v>
      </c>
      <c r="J3491" t="str">
        <f>HYPERLINK("https://www.facebook.com/454965103328545/videos/3697954183759550?comment_id=407669448443072&amp;reply_comment_id=1418571772079804","https://www.facebook.com/454965103328545/videos/3697954183759550?comment_id=407669448443072&amp;reply_comment_id=1418571772079804")</f>
        <v>https://www.facebook.com/454965103328545/videos/3697954183759550?comment_id=407669448443072&amp;reply_comment_id=1418571772079804</v>
      </c>
      <c r="O3491">
        <v>0</v>
      </c>
      <c r="P3491">
        <v>0</v>
      </c>
      <c r="Q3491">
        <v>0</v>
      </c>
      <c r="S3491">
        <v>0</v>
      </c>
      <c r="T3491">
        <v>0</v>
      </c>
      <c r="U3491">
        <v>0</v>
      </c>
      <c r="W3491" t="s">
        <v>62</v>
      </c>
    </row>
    <row r="3492" spans="1:45" x14ac:dyDescent="0.35">
      <c r="A3492" t="s">
        <v>45</v>
      </c>
      <c r="B3492" t="s">
        <v>7804</v>
      </c>
      <c r="C3492" t="s">
        <v>47</v>
      </c>
      <c r="D3492" t="s">
        <v>8047</v>
      </c>
      <c r="E3492" t="s">
        <v>8047</v>
      </c>
      <c r="F3492" t="s">
        <v>49</v>
      </c>
      <c r="G3492" t="s">
        <v>8048</v>
      </c>
      <c r="H3492" t="s">
        <v>8049</v>
      </c>
      <c r="J3492" t="str">
        <f>HYPERLINK("https://www.facebook.com/454965103328545/videos/3697954183759550?comment_id=820853676467588","https://www.facebook.com/454965103328545/videos/3697954183759550?comment_id=820853676467588")</f>
        <v>https://www.facebook.com/454965103328545/videos/3697954183759550?comment_id=820853676467588</v>
      </c>
      <c r="O3492">
        <v>0</v>
      </c>
      <c r="P3492">
        <v>0</v>
      </c>
      <c r="Q3492">
        <v>0</v>
      </c>
      <c r="S3492">
        <v>0</v>
      </c>
      <c r="T3492">
        <v>0</v>
      </c>
      <c r="U3492">
        <v>0</v>
      </c>
      <c r="W3492" t="s">
        <v>62</v>
      </c>
    </row>
    <row r="3493" spans="1:45" x14ac:dyDescent="0.35">
      <c r="A3493" t="s">
        <v>45</v>
      </c>
      <c r="B3493" t="s">
        <v>7804</v>
      </c>
      <c r="C3493" t="s">
        <v>47</v>
      </c>
      <c r="D3493" t="s">
        <v>45</v>
      </c>
      <c r="E3493" t="s">
        <v>45</v>
      </c>
      <c r="F3493" t="s">
        <v>49</v>
      </c>
      <c r="G3493" t="s">
        <v>8050</v>
      </c>
      <c r="H3493" t="s">
        <v>8051</v>
      </c>
      <c r="J3493" t="str">
        <f>HYPERLINK("https://www.facebook.com/454965103328545/posts/763899692435083?comment_id=7175285955859527&amp;reply_comment_id=1072949253912110","https://www.facebook.com/454965103328545/posts/763899692435083?comment_id=7175285955859527&amp;reply_comment_id=1072949253912110")</f>
        <v>https://www.facebook.com/454965103328545/posts/763899692435083?comment_id=7175285955859527&amp;reply_comment_id=1072949253912110</v>
      </c>
      <c r="O3493">
        <v>0</v>
      </c>
      <c r="P3493">
        <v>0</v>
      </c>
      <c r="Q3493">
        <v>0</v>
      </c>
      <c r="S3493">
        <v>0</v>
      </c>
      <c r="T3493">
        <v>0</v>
      </c>
      <c r="U3493">
        <v>0</v>
      </c>
      <c r="W3493" t="s">
        <v>62</v>
      </c>
    </row>
    <row r="3494" spans="1:45" x14ac:dyDescent="0.35">
      <c r="A3494" t="s">
        <v>45</v>
      </c>
      <c r="B3494" t="s">
        <v>7804</v>
      </c>
      <c r="C3494" t="s">
        <v>47</v>
      </c>
      <c r="D3494" t="s">
        <v>8052</v>
      </c>
      <c r="E3494" t="s">
        <v>8052</v>
      </c>
      <c r="F3494" t="s">
        <v>49</v>
      </c>
      <c r="G3494" t="s">
        <v>8053</v>
      </c>
      <c r="H3494" t="s">
        <v>8054</v>
      </c>
      <c r="J3494" t="str">
        <f>HYPERLINK("https://www.facebook.com/454965103328545/videos/3697954183759550?comment_id=349174141413132","https://www.facebook.com/454965103328545/videos/3697954183759550?comment_id=349174141413132")</f>
        <v>https://www.facebook.com/454965103328545/videos/3697954183759550?comment_id=349174141413132</v>
      </c>
      <c r="O3494">
        <v>0</v>
      </c>
      <c r="P3494">
        <v>0</v>
      </c>
      <c r="Q3494">
        <v>0</v>
      </c>
      <c r="S3494">
        <v>0</v>
      </c>
      <c r="T3494">
        <v>0</v>
      </c>
      <c r="U3494">
        <v>0</v>
      </c>
      <c r="W3494" t="s">
        <v>62</v>
      </c>
      <c r="AP3494" t="s">
        <v>101</v>
      </c>
      <c r="AS3494" t="s">
        <v>375</v>
      </c>
    </row>
    <row r="3495" spans="1:45" x14ac:dyDescent="0.35">
      <c r="A3495" t="s">
        <v>45</v>
      </c>
      <c r="B3495" t="s">
        <v>7804</v>
      </c>
      <c r="C3495" t="s">
        <v>47</v>
      </c>
      <c r="D3495" t="s">
        <v>45</v>
      </c>
      <c r="E3495" t="s">
        <v>45</v>
      </c>
      <c r="F3495" t="s">
        <v>49</v>
      </c>
      <c r="G3495" t="s">
        <v>8055</v>
      </c>
      <c r="H3495" t="s">
        <v>8056</v>
      </c>
      <c r="J3495" t="str">
        <f>HYPERLINK("https://www.facebook.com/454965103328545/videos/3697954183759550?comment_id=303696889351962&amp;reply_comment_id=425403773384037","https://www.facebook.com/454965103328545/videos/3697954183759550?comment_id=303696889351962&amp;reply_comment_id=425403773384037")</f>
        <v>https://www.facebook.com/454965103328545/videos/3697954183759550?comment_id=303696889351962&amp;reply_comment_id=425403773384037</v>
      </c>
      <c r="O3495">
        <v>0</v>
      </c>
      <c r="P3495">
        <v>0</v>
      </c>
      <c r="Q3495">
        <v>0</v>
      </c>
      <c r="S3495">
        <v>0</v>
      </c>
      <c r="T3495">
        <v>0</v>
      </c>
      <c r="U3495">
        <v>0</v>
      </c>
      <c r="W3495" t="s">
        <v>62</v>
      </c>
    </row>
    <row r="3496" spans="1:45" x14ac:dyDescent="0.35">
      <c r="A3496" t="s">
        <v>45</v>
      </c>
      <c r="B3496" t="s">
        <v>7804</v>
      </c>
      <c r="C3496" t="s">
        <v>47</v>
      </c>
      <c r="F3496" t="s">
        <v>49</v>
      </c>
      <c r="G3496" t="s">
        <v>8057</v>
      </c>
      <c r="H3496" t="s">
        <v>8058</v>
      </c>
      <c r="J3496" t="str">
        <f>HYPERLINK("https://www.facebook.com/8385714741501362_691756066483885","https://www.facebook.com/8385714741501362_691756066483885")</f>
        <v>https://www.facebook.com/8385714741501362_691756066483885</v>
      </c>
      <c r="O3496">
        <v>0</v>
      </c>
      <c r="P3496">
        <v>0</v>
      </c>
      <c r="Q3496">
        <v>0</v>
      </c>
      <c r="S3496">
        <v>0</v>
      </c>
      <c r="T3496">
        <v>0</v>
      </c>
      <c r="U3496">
        <v>0</v>
      </c>
      <c r="W3496" t="s">
        <v>106</v>
      </c>
      <c r="AP3496" t="s">
        <v>101</v>
      </c>
    </row>
    <row r="3497" spans="1:45" x14ac:dyDescent="0.35">
      <c r="A3497" t="s">
        <v>45</v>
      </c>
      <c r="B3497" t="s">
        <v>7804</v>
      </c>
      <c r="C3497" t="s">
        <v>47</v>
      </c>
      <c r="D3497" t="s">
        <v>45</v>
      </c>
      <c r="E3497" t="s">
        <v>45</v>
      </c>
      <c r="F3497" t="s">
        <v>49</v>
      </c>
      <c r="G3497" t="s">
        <v>8059</v>
      </c>
      <c r="H3497" t="s">
        <v>8060</v>
      </c>
      <c r="J3497" t="str">
        <f>HYPERLINK("https://www.facebook.com/454965103328545/videos/3697954183759550?comment_id=1744347596063021&amp;reply_comment_id=3681721895448588","https://www.facebook.com/454965103328545/videos/3697954183759550?comment_id=1744347596063021&amp;reply_comment_id=3681721895448588")</f>
        <v>https://www.facebook.com/454965103328545/videos/3697954183759550?comment_id=1744347596063021&amp;reply_comment_id=3681721895448588</v>
      </c>
      <c r="O3497">
        <v>0</v>
      </c>
      <c r="P3497">
        <v>0</v>
      </c>
      <c r="Q3497">
        <v>0</v>
      </c>
      <c r="S3497">
        <v>0</v>
      </c>
      <c r="T3497">
        <v>0</v>
      </c>
      <c r="U3497">
        <v>0</v>
      </c>
      <c r="W3497" t="s">
        <v>62</v>
      </c>
    </row>
    <row r="3498" spans="1:45" x14ac:dyDescent="0.35">
      <c r="A3498" t="s">
        <v>45</v>
      </c>
      <c r="B3498" t="s">
        <v>7804</v>
      </c>
      <c r="C3498" t="s">
        <v>47</v>
      </c>
      <c r="D3498" t="s">
        <v>1861</v>
      </c>
      <c r="E3498" t="s">
        <v>1861</v>
      </c>
      <c r="F3498" t="s">
        <v>49</v>
      </c>
      <c r="G3498" t="s">
        <v>8061</v>
      </c>
      <c r="H3498" t="s">
        <v>8062</v>
      </c>
      <c r="J3498" t="str">
        <f>HYPERLINK("https://www.facebook.com/454965103328545/videos/3697954183759550?comment_id=1118095532879486","https://www.facebook.com/454965103328545/videos/3697954183759550?comment_id=1118095532879486")</f>
        <v>https://www.facebook.com/454965103328545/videos/3697954183759550?comment_id=1118095532879486</v>
      </c>
      <c r="O3498">
        <v>0</v>
      </c>
      <c r="P3498">
        <v>0</v>
      </c>
      <c r="Q3498">
        <v>0</v>
      </c>
      <c r="S3498">
        <v>0</v>
      </c>
      <c r="T3498">
        <v>0</v>
      </c>
      <c r="U3498">
        <v>0</v>
      </c>
      <c r="W3498" t="s">
        <v>62</v>
      </c>
      <c r="AS3498" t="s">
        <v>375</v>
      </c>
    </row>
    <row r="3499" spans="1:45" x14ac:dyDescent="0.35">
      <c r="A3499" t="s">
        <v>45</v>
      </c>
      <c r="B3499" t="s">
        <v>7804</v>
      </c>
      <c r="C3499" t="s">
        <v>47</v>
      </c>
      <c r="D3499" t="s">
        <v>45</v>
      </c>
      <c r="E3499" t="s">
        <v>45</v>
      </c>
      <c r="F3499" t="s">
        <v>49</v>
      </c>
      <c r="G3499" t="s">
        <v>8063</v>
      </c>
      <c r="H3499" t="s">
        <v>8064</v>
      </c>
      <c r="J3499" t="str">
        <f>HYPERLINK("https://www.facebook.com/454965103328545/videos/3697954183759550?comment_id=1623541318417545&amp;reply_comment_id=1048518866369162","https://www.facebook.com/454965103328545/videos/3697954183759550?comment_id=1623541318417545&amp;reply_comment_id=1048518866369162")</f>
        <v>https://www.facebook.com/454965103328545/videos/3697954183759550?comment_id=1623541318417545&amp;reply_comment_id=1048518866369162</v>
      </c>
      <c r="O3499">
        <v>0</v>
      </c>
      <c r="P3499">
        <v>0</v>
      </c>
      <c r="Q3499">
        <v>0</v>
      </c>
      <c r="S3499">
        <v>0</v>
      </c>
      <c r="T3499">
        <v>0</v>
      </c>
      <c r="U3499">
        <v>0</v>
      </c>
      <c r="W3499" t="s">
        <v>62</v>
      </c>
    </row>
    <row r="3500" spans="1:45" x14ac:dyDescent="0.35">
      <c r="A3500" t="s">
        <v>45</v>
      </c>
      <c r="B3500" t="s">
        <v>7804</v>
      </c>
      <c r="C3500" t="s">
        <v>47</v>
      </c>
      <c r="D3500" t="s">
        <v>8065</v>
      </c>
      <c r="E3500" t="s">
        <v>8065</v>
      </c>
      <c r="F3500" t="s">
        <v>49</v>
      </c>
      <c r="G3500" t="s">
        <v>8066</v>
      </c>
      <c r="H3500" t="s">
        <v>8067</v>
      </c>
      <c r="J3500" t="str">
        <f>HYPERLINK("https://www.facebook.com/454965103328545/videos/3697954183759550?comment_id=771940191634155","https://www.facebook.com/454965103328545/videos/3697954183759550?comment_id=771940191634155")</f>
        <v>https://www.facebook.com/454965103328545/videos/3697954183759550?comment_id=771940191634155</v>
      </c>
      <c r="O3500">
        <v>0</v>
      </c>
      <c r="P3500">
        <v>0</v>
      </c>
      <c r="Q3500">
        <v>0</v>
      </c>
      <c r="S3500">
        <v>0</v>
      </c>
      <c r="T3500">
        <v>0</v>
      </c>
      <c r="U3500">
        <v>0</v>
      </c>
      <c r="W3500" t="s">
        <v>62</v>
      </c>
    </row>
    <row r="3501" spans="1:45" x14ac:dyDescent="0.35">
      <c r="A3501" t="s">
        <v>45</v>
      </c>
      <c r="B3501" t="s">
        <v>7804</v>
      </c>
      <c r="C3501" t="s">
        <v>47</v>
      </c>
      <c r="D3501" t="s">
        <v>45</v>
      </c>
      <c r="E3501" t="s">
        <v>45</v>
      </c>
      <c r="F3501" t="s">
        <v>49</v>
      </c>
      <c r="G3501" t="s">
        <v>8068</v>
      </c>
      <c r="H3501" t="s">
        <v>8069</v>
      </c>
      <c r="J3501" t="str">
        <f>HYPERLINK("https://www.facebook.com/454965103328545/videos/3697954183759550?comment_id=1571042706767869&amp;reply_comment_id=2069203670101012","https://www.facebook.com/454965103328545/videos/3697954183759550?comment_id=1571042706767869&amp;reply_comment_id=2069203670101012")</f>
        <v>https://www.facebook.com/454965103328545/videos/3697954183759550?comment_id=1571042706767869&amp;reply_comment_id=2069203670101012</v>
      </c>
      <c r="O3501">
        <v>0</v>
      </c>
      <c r="P3501">
        <v>0</v>
      </c>
      <c r="Q3501">
        <v>0</v>
      </c>
      <c r="S3501">
        <v>0</v>
      </c>
      <c r="T3501">
        <v>0</v>
      </c>
      <c r="U3501">
        <v>0</v>
      </c>
      <c r="W3501" t="s">
        <v>62</v>
      </c>
    </row>
    <row r="3502" spans="1:45" x14ac:dyDescent="0.35">
      <c r="A3502" t="s">
        <v>45</v>
      </c>
      <c r="B3502" t="s">
        <v>7804</v>
      </c>
      <c r="C3502" t="s">
        <v>47</v>
      </c>
      <c r="D3502" t="s">
        <v>45</v>
      </c>
      <c r="E3502" t="s">
        <v>45</v>
      </c>
      <c r="F3502" t="s">
        <v>49</v>
      </c>
      <c r="G3502" t="s">
        <v>8070</v>
      </c>
      <c r="H3502" t="s">
        <v>8071</v>
      </c>
      <c r="J3502" t="str">
        <f>HYPERLINK("https://www.facebook.com/454965103328545/videos/3697954183759550?comment_id=1572505553562223&amp;reply_comment_id=349654441313457","https://www.facebook.com/454965103328545/videos/3697954183759550?comment_id=1572505553562223&amp;reply_comment_id=349654441313457")</f>
        <v>https://www.facebook.com/454965103328545/videos/3697954183759550?comment_id=1572505553562223&amp;reply_comment_id=349654441313457</v>
      </c>
      <c r="O3502">
        <v>0</v>
      </c>
      <c r="P3502">
        <v>0</v>
      </c>
      <c r="Q3502">
        <v>0</v>
      </c>
      <c r="S3502">
        <v>0</v>
      </c>
      <c r="T3502">
        <v>0</v>
      </c>
      <c r="U3502">
        <v>0</v>
      </c>
      <c r="W3502" t="s">
        <v>62</v>
      </c>
    </row>
    <row r="3503" spans="1:45" x14ac:dyDescent="0.35">
      <c r="A3503" t="s">
        <v>45</v>
      </c>
      <c r="B3503" t="s">
        <v>7804</v>
      </c>
      <c r="C3503" t="s">
        <v>47</v>
      </c>
      <c r="D3503" t="s">
        <v>45</v>
      </c>
      <c r="E3503" t="s">
        <v>45</v>
      </c>
      <c r="F3503" t="s">
        <v>49</v>
      </c>
      <c r="G3503" t="s">
        <v>8072</v>
      </c>
      <c r="H3503" t="s">
        <v>8073</v>
      </c>
      <c r="J3503" t="str">
        <f>HYPERLINK("https://www.facebook.com/454965103328545/videos/3697954183759550?comment_id=889653859618270&amp;reply_comment_id=1059022415376361","https://www.facebook.com/454965103328545/videos/3697954183759550?comment_id=889653859618270&amp;reply_comment_id=1059022415376361")</f>
        <v>https://www.facebook.com/454965103328545/videos/3697954183759550?comment_id=889653859618270&amp;reply_comment_id=1059022415376361</v>
      </c>
      <c r="O3503">
        <v>0</v>
      </c>
      <c r="P3503">
        <v>0</v>
      </c>
      <c r="Q3503">
        <v>0</v>
      </c>
      <c r="S3503">
        <v>0</v>
      </c>
      <c r="T3503">
        <v>0</v>
      </c>
      <c r="U3503">
        <v>0</v>
      </c>
      <c r="W3503" t="s">
        <v>62</v>
      </c>
    </row>
    <row r="3504" spans="1:45" x14ac:dyDescent="0.35">
      <c r="A3504" t="s">
        <v>45</v>
      </c>
      <c r="B3504" t="s">
        <v>7804</v>
      </c>
      <c r="C3504" t="s">
        <v>47</v>
      </c>
      <c r="D3504" t="s">
        <v>45</v>
      </c>
      <c r="E3504" t="s">
        <v>45</v>
      </c>
      <c r="F3504" t="s">
        <v>49</v>
      </c>
      <c r="G3504" s="1" t="s">
        <v>8074</v>
      </c>
      <c r="H3504" t="s">
        <v>8075</v>
      </c>
      <c r="J3504" t="str">
        <f>HYPERLINK("https://www.facebook.com/454965103328545/posts/763899692435083?comment_id=1078251773419507&amp;reply_comment_id=1054311995824096","https://www.facebook.com/454965103328545/posts/763899692435083?comment_id=1078251773419507&amp;reply_comment_id=1054311995824096")</f>
        <v>https://www.facebook.com/454965103328545/posts/763899692435083?comment_id=1078251773419507&amp;reply_comment_id=1054311995824096</v>
      </c>
      <c r="O3504">
        <v>0</v>
      </c>
      <c r="P3504">
        <v>0</v>
      </c>
      <c r="Q3504">
        <v>0</v>
      </c>
      <c r="S3504">
        <v>0</v>
      </c>
      <c r="T3504">
        <v>0</v>
      </c>
      <c r="U3504">
        <v>0</v>
      </c>
      <c r="W3504" t="s">
        <v>62</v>
      </c>
    </row>
    <row r="3505" spans="1:23" x14ac:dyDescent="0.35">
      <c r="A3505" t="s">
        <v>45</v>
      </c>
      <c r="B3505" t="s">
        <v>7804</v>
      </c>
      <c r="C3505" t="s">
        <v>47</v>
      </c>
      <c r="D3505" t="s">
        <v>45</v>
      </c>
      <c r="E3505" t="s">
        <v>45</v>
      </c>
      <c r="F3505" t="s">
        <v>49</v>
      </c>
      <c r="G3505" t="s">
        <v>8076</v>
      </c>
      <c r="H3505" t="s">
        <v>8077</v>
      </c>
      <c r="J3505" t="str">
        <f>HYPERLINK("https://www.facebook.com/454965103328545/videos/3697954183759550?comment_id=1289402001922823&amp;reply_comment_id=1132923534744621","https://www.facebook.com/454965103328545/videos/3697954183759550?comment_id=1289402001922823&amp;reply_comment_id=1132923534744621")</f>
        <v>https://www.facebook.com/454965103328545/videos/3697954183759550?comment_id=1289402001922823&amp;reply_comment_id=1132923534744621</v>
      </c>
      <c r="O3505">
        <v>0</v>
      </c>
      <c r="P3505">
        <v>0</v>
      </c>
      <c r="Q3505">
        <v>0</v>
      </c>
      <c r="S3505">
        <v>0</v>
      </c>
      <c r="T3505">
        <v>0</v>
      </c>
      <c r="U3505">
        <v>0</v>
      </c>
      <c r="W3505" t="s">
        <v>62</v>
      </c>
    </row>
    <row r="3506" spans="1:23" x14ac:dyDescent="0.35">
      <c r="A3506" t="s">
        <v>45</v>
      </c>
      <c r="B3506" t="s">
        <v>7804</v>
      </c>
      <c r="C3506" t="s">
        <v>47</v>
      </c>
      <c r="D3506" t="s">
        <v>45</v>
      </c>
      <c r="E3506" t="s">
        <v>45</v>
      </c>
      <c r="F3506" t="s">
        <v>49</v>
      </c>
      <c r="G3506" t="s">
        <v>8078</v>
      </c>
      <c r="H3506" t="s">
        <v>8079</v>
      </c>
      <c r="J3506" t="str">
        <f>HYPERLINK("https://www.facebook.com/454965103328545/videos/3697954183759550?comment_id=200821709742699&amp;reply_comment_id=1820566648462631","https://www.facebook.com/454965103328545/videos/3697954183759550?comment_id=200821709742699&amp;reply_comment_id=1820566648462631")</f>
        <v>https://www.facebook.com/454965103328545/videos/3697954183759550?comment_id=200821709742699&amp;reply_comment_id=1820566648462631</v>
      </c>
      <c r="O3506">
        <v>0</v>
      </c>
      <c r="P3506">
        <v>0</v>
      </c>
      <c r="Q3506">
        <v>0</v>
      </c>
      <c r="S3506">
        <v>0</v>
      </c>
      <c r="T3506">
        <v>0</v>
      </c>
      <c r="U3506">
        <v>0</v>
      </c>
      <c r="W3506" t="s">
        <v>62</v>
      </c>
    </row>
    <row r="3507" spans="1:23" x14ac:dyDescent="0.35">
      <c r="A3507" t="s">
        <v>45</v>
      </c>
      <c r="B3507" t="s">
        <v>7804</v>
      </c>
      <c r="C3507" t="s">
        <v>47</v>
      </c>
      <c r="D3507" t="s">
        <v>8080</v>
      </c>
      <c r="E3507" t="s">
        <v>8080</v>
      </c>
      <c r="F3507" t="s">
        <v>76</v>
      </c>
      <c r="G3507" t="s">
        <v>8081</v>
      </c>
      <c r="H3507" t="s">
        <v>8082</v>
      </c>
      <c r="J3507" t="str">
        <f>HYPERLINK("https://www.facebook.com/454965103328545/posts/763871475771238?comment_id=244921488662725","https://www.facebook.com/454965103328545/posts/763871475771238?comment_id=244921488662725")</f>
        <v>https://www.facebook.com/454965103328545/posts/763871475771238?comment_id=244921488662725</v>
      </c>
      <c r="O3507">
        <v>0</v>
      </c>
      <c r="P3507">
        <v>0</v>
      </c>
      <c r="Q3507">
        <v>0</v>
      </c>
      <c r="S3507">
        <v>0</v>
      </c>
      <c r="T3507">
        <v>0</v>
      </c>
      <c r="U3507">
        <v>0</v>
      </c>
      <c r="W3507" t="s">
        <v>62</v>
      </c>
    </row>
    <row r="3508" spans="1:23" x14ac:dyDescent="0.35">
      <c r="A3508" t="s">
        <v>45</v>
      </c>
      <c r="B3508" t="s">
        <v>7804</v>
      </c>
      <c r="C3508" t="s">
        <v>47</v>
      </c>
      <c r="D3508" t="s">
        <v>45</v>
      </c>
      <c r="E3508" t="s">
        <v>45</v>
      </c>
      <c r="F3508" t="s">
        <v>49</v>
      </c>
      <c r="G3508" t="s">
        <v>8083</v>
      </c>
      <c r="H3508" t="s">
        <v>8084</v>
      </c>
      <c r="J3508" t="str">
        <f>HYPERLINK("https://www.facebook.com/454965103328545/videos/3697954183759550?comment_id=7096843173731459&amp;reply_comment_id=3704537696540838","https://www.facebook.com/454965103328545/videos/3697954183759550?comment_id=7096843173731459&amp;reply_comment_id=3704537696540838")</f>
        <v>https://www.facebook.com/454965103328545/videos/3697954183759550?comment_id=7096843173731459&amp;reply_comment_id=3704537696540838</v>
      </c>
      <c r="O3508">
        <v>0</v>
      </c>
      <c r="P3508">
        <v>0</v>
      </c>
      <c r="Q3508">
        <v>0</v>
      </c>
      <c r="S3508">
        <v>0</v>
      </c>
      <c r="T3508">
        <v>0</v>
      </c>
      <c r="U3508">
        <v>0</v>
      </c>
      <c r="W3508" t="s">
        <v>62</v>
      </c>
    </row>
    <row r="3509" spans="1:23" x14ac:dyDescent="0.35">
      <c r="A3509" t="s">
        <v>45</v>
      </c>
      <c r="B3509" t="s">
        <v>7804</v>
      </c>
      <c r="C3509" t="s">
        <v>47</v>
      </c>
      <c r="D3509" t="s">
        <v>45</v>
      </c>
      <c r="E3509" t="s">
        <v>45</v>
      </c>
      <c r="F3509" t="s">
        <v>49</v>
      </c>
      <c r="G3509" t="s">
        <v>8085</v>
      </c>
      <c r="H3509" t="s">
        <v>8086</v>
      </c>
      <c r="J3509" t="str">
        <f>HYPERLINK("https://www.facebook.com/454965103328545/videos/3697954183759550?comment_id=760035516032908&amp;reply_comment_id=637873495093938","https://www.facebook.com/454965103328545/videos/3697954183759550?comment_id=760035516032908&amp;reply_comment_id=637873495093938")</f>
        <v>https://www.facebook.com/454965103328545/videos/3697954183759550?comment_id=760035516032908&amp;reply_comment_id=637873495093938</v>
      </c>
      <c r="O3509">
        <v>0</v>
      </c>
      <c r="P3509">
        <v>0</v>
      </c>
      <c r="Q3509">
        <v>0</v>
      </c>
      <c r="S3509">
        <v>0</v>
      </c>
      <c r="T3509">
        <v>0</v>
      </c>
      <c r="U3509">
        <v>0</v>
      </c>
      <c r="W3509" t="s">
        <v>62</v>
      </c>
    </row>
    <row r="3510" spans="1:23" x14ac:dyDescent="0.35">
      <c r="A3510" t="s">
        <v>45</v>
      </c>
      <c r="B3510" t="s">
        <v>7804</v>
      </c>
      <c r="C3510" t="s">
        <v>47</v>
      </c>
      <c r="D3510" t="s">
        <v>45</v>
      </c>
      <c r="E3510" t="s">
        <v>45</v>
      </c>
      <c r="F3510" t="s">
        <v>49</v>
      </c>
      <c r="G3510" t="s">
        <v>8087</v>
      </c>
      <c r="H3510" t="s">
        <v>8088</v>
      </c>
      <c r="J3510" t="str">
        <f>HYPERLINK("https://www.facebook.com/357267201017935/inbox/6992165497528039/","https://www.facebook.com/357267201017935/inbox/6992165497528039/")</f>
        <v>https://www.facebook.com/357267201017935/inbox/6992165497528039/</v>
      </c>
      <c r="O3510">
        <v>0</v>
      </c>
      <c r="P3510">
        <v>0</v>
      </c>
      <c r="Q3510">
        <v>0</v>
      </c>
      <c r="S3510">
        <v>0</v>
      </c>
      <c r="T3510">
        <v>0</v>
      </c>
      <c r="U3510">
        <v>0</v>
      </c>
      <c r="W3510" t="s">
        <v>52</v>
      </c>
    </row>
    <row r="3511" spans="1:23" x14ac:dyDescent="0.35">
      <c r="A3511" t="s">
        <v>45</v>
      </c>
      <c r="B3511" t="s">
        <v>7804</v>
      </c>
      <c r="C3511" t="s">
        <v>139</v>
      </c>
      <c r="D3511" t="s">
        <v>8089</v>
      </c>
      <c r="E3511" t="s">
        <v>8090</v>
      </c>
      <c r="F3511" t="s">
        <v>49</v>
      </c>
      <c r="G3511" t="s">
        <v>8091</v>
      </c>
      <c r="H3511" t="s">
        <v>8092</v>
      </c>
      <c r="J3511" t="str">
        <f>HYPERLINK("https://twitter.com/Mastrammeena_/status/1753684502613008707","https://twitter.com/Mastrammeena_/status/1753684502613008707")</f>
        <v>https://twitter.com/Mastrammeena_/status/1753684502613008707</v>
      </c>
      <c r="K3511" t="s">
        <v>145</v>
      </c>
      <c r="O3511">
        <v>0</v>
      </c>
      <c r="P3511">
        <v>0</v>
      </c>
      <c r="Q3511">
        <v>1726</v>
      </c>
      <c r="R3511" t="s">
        <v>8093</v>
      </c>
      <c r="S3511">
        <v>0</v>
      </c>
      <c r="T3511">
        <v>0</v>
      </c>
      <c r="U3511">
        <v>0</v>
      </c>
      <c r="W3511" t="s">
        <v>146</v>
      </c>
    </row>
    <row r="3512" spans="1:23" x14ac:dyDescent="0.35">
      <c r="A3512" t="s">
        <v>45</v>
      </c>
      <c r="B3512" t="s">
        <v>7804</v>
      </c>
      <c r="C3512" t="s">
        <v>139</v>
      </c>
      <c r="D3512" t="s">
        <v>8089</v>
      </c>
      <c r="E3512" t="s">
        <v>8090</v>
      </c>
      <c r="F3512" t="s">
        <v>76</v>
      </c>
      <c r="G3512" t="s">
        <v>8094</v>
      </c>
      <c r="H3512" t="s">
        <v>8095</v>
      </c>
      <c r="J3512" t="str">
        <f>HYPERLINK("https://twitter.com/Mastrammeena_/status/1753683824754741366","https://twitter.com/Mastrammeena_/status/1753683824754741366")</f>
        <v>https://twitter.com/Mastrammeena_/status/1753683824754741366</v>
      </c>
      <c r="K3512" t="s">
        <v>145</v>
      </c>
      <c r="O3512">
        <v>0</v>
      </c>
      <c r="P3512">
        <v>0</v>
      </c>
      <c r="Q3512">
        <v>1726</v>
      </c>
      <c r="R3512" t="s">
        <v>8093</v>
      </c>
      <c r="S3512">
        <v>0</v>
      </c>
      <c r="T3512">
        <v>0</v>
      </c>
      <c r="U3512">
        <v>0</v>
      </c>
      <c r="W3512" t="s">
        <v>146</v>
      </c>
    </row>
    <row r="3513" spans="1:23" x14ac:dyDescent="0.35">
      <c r="A3513" t="s">
        <v>45</v>
      </c>
      <c r="B3513" t="s">
        <v>7804</v>
      </c>
      <c r="C3513" t="s">
        <v>47</v>
      </c>
      <c r="D3513" t="s">
        <v>8096</v>
      </c>
      <c r="E3513" t="s">
        <v>8096</v>
      </c>
      <c r="F3513" t="s">
        <v>49</v>
      </c>
      <c r="G3513" t="s">
        <v>8097</v>
      </c>
      <c r="H3513" t="s">
        <v>8098</v>
      </c>
      <c r="J3513" t="str">
        <f>HYPERLINK("https://www.facebook.com/454965103328545/posts/763902162434836?comment_id=1312107259487698&amp;reply_comment_id=406668885265782","https://www.facebook.com/454965103328545/posts/763902162434836?comment_id=1312107259487698&amp;reply_comment_id=406668885265782")</f>
        <v>https://www.facebook.com/454965103328545/posts/763902162434836?comment_id=1312107259487698&amp;reply_comment_id=406668885265782</v>
      </c>
      <c r="O3513">
        <v>0</v>
      </c>
      <c r="P3513">
        <v>0</v>
      </c>
      <c r="Q3513">
        <v>0</v>
      </c>
      <c r="S3513">
        <v>0</v>
      </c>
      <c r="T3513">
        <v>0</v>
      </c>
      <c r="U3513">
        <v>0</v>
      </c>
      <c r="W3513" t="s">
        <v>62</v>
      </c>
    </row>
    <row r="3514" spans="1:23" x14ac:dyDescent="0.35">
      <c r="A3514" t="s">
        <v>45</v>
      </c>
      <c r="B3514" t="s">
        <v>7804</v>
      </c>
      <c r="C3514" t="s">
        <v>47</v>
      </c>
      <c r="D3514" t="s">
        <v>45</v>
      </c>
      <c r="E3514" t="s">
        <v>45</v>
      </c>
      <c r="F3514" t="s">
        <v>49</v>
      </c>
      <c r="G3514" t="s">
        <v>8099</v>
      </c>
      <c r="H3514" t="s">
        <v>8100</v>
      </c>
      <c r="J3514" t="str">
        <f>HYPERLINK("https://www.facebook.com/357267201017935/inbox/6992218457522743/","https://www.facebook.com/357267201017935/inbox/6992218457522743/")</f>
        <v>https://www.facebook.com/357267201017935/inbox/6992218457522743/</v>
      </c>
      <c r="O3514">
        <v>0</v>
      </c>
      <c r="P3514">
        <v>0</v>
      </c>
      <c r="Q3514">
        <v>0</v>
      </c>
      <c r="S3514">
        <v>0</v>
      </c>
      <c r="T3514">
        <v>0</v>
      </c>
      <c r="U3514">
        <v>0</v>
      </c>
      <c r="W3514" t="s">
        <v>52</v>
      </c>
    </row>
    <row r="3515" spans="1:23" x14ac:dyDescent="0.35">
      <c r="A3515" t="s">
        <v>45</v>
      </c>
      <c r="B3515" t="s">
        <v>7804</v>
      </c>
      <c r="C3515" t="s">
        <v>47</v>
      </c>
      <c r="D3515" t="s">
        <v>45</v>
      </c>
      <c r="E3515" t="s">
        <v>45</v>
      </c>
      <c r="F3515" t="s">
        <v>49</v>
      </c>
      <c r="G3515" t="s">
        <v>8101</v>
      </c>
      <c r="H3515" t="s">
        <v>8102</v>
      </c>
      <c r="J3515" t="str">
        <f>HYPERLINK("https://www.facebook.com/454965103328545/posts/763871475771238?comment_id=275120192066737&amp;reply_comment_id=406436888517185","https://www.facebook.com/454965103328545/posts/763871475771238?comment_id=275120192066737&amp;reply_comment_id=406436888517185")</f>
        <v>https://www.facebook.com/454965103328545/posts/763871475771238?comment_id=275120192066737&amp;reply_comment_id=406436888517185</v>
      </c>
      <c r="O3515">
        <v>0</v>
      </c>
      <c r="P3515">
        <v>0</v>
      </c>
      <c r="Q3515">
        <v>0</v>
      </c>
      <c r="S3515">
        <v>0</v>
      </c>
      <c r="T3515">
        <v>0</v>
      </c>
      <c r="U3515">
        <v>0</v>
      </c>
      <c r="W3515" t="s">
        <v>62</v>
      </c>
    </row>
    <row r="3516" spans="1:23" x14ac:dyDescent="0.35">
      <c r="A3516" t="s">
        <v>45</v>
      </c>
      <c r="B3516" t="s">
        <v>7804</v>
      </c>
      <c r="C3516" t="s">
        <v>47</v>
      </c>
      <c r="D3516" t="s">
        <v>8096</v>
      </c>
      <c r="E3516" t="s">
        <v>8096</v>
      </c>
      <c r="F3516" t="s">
        <v>49</v>
      </c>
      <c r="G3516" t="s">
        <v>8103</v>
      </c>
      <c r="H3516" t="s">
        <v>8104</v>
      </c>
      <c r="J3516" t="str">
        <f>HYPERLINK("https://www.facebook.com/454965103328545/posts/763902162434836?comment_id=1312107259487698&amp;reply_comment_id=1601748920589201","https://www.facebook.com/454965103328545/posts/763902162434836?comment_id=1312107259487698&amp;reply_comment_id=1601748920589201")</f>
        <v>https://www.facebook.com/454965103328545/posts/763902162434836?comment_id=1312107259487698&amp;reply_comment_id=1601748920589201</v>
      </c>
      <c r="O3516">
        <v>0</v>
      </c>
      <c r="P3516">
        <v>0</v>
      </c>
      <c r="Q3516">
        <v>0</v>
      </c>
      <c r="S3516">
        <v>0</v>
      </c>
      <c r="T3516">
        <v>0</v>
      </c>
      <c r="U3516">
        <v>0</v>
      </c>
      <c r="W3516" t="s">
        <v>62</v>
      </c>
    </row>
    <row r="3517" spans="1:23" x14ac:dyDescent="0.35">
      <c r="A3517" t="s">
        <v>45</v>
      </c>
      <c r="B3517" t="s">
        <v>7804</v>
      </c>
      <c r="C3517" t="s">
        <v>47</v>
      </c>
      <c r="D3517" t="s">
        <v>45</v>
      </c>
      <c r="E3517" t="s">
        <v>45</v>
      </c>
      <c r="F3517" t="s">
        <v>49</v>
      </c>
      <c r="G3517" t="s">
        <v>8105</v>
      </c>
      <c r="H3517" t="s">
        <v>8106</v>
      </c>
      <c r="J3517" t="str">
        <f>HYPERLINK("https://www.facebook.com/454965103328545/videos/3697954183759550?comment_id=1505291576918042&amp;reply_comment_id=407228135213850","https://www.facebook.com/454965103328545/videos/3697954183759550?comment_id=1505291576918042&amp;reply_comment_id=407228135213850")</f>
        <v>https://www.facebook.com/454965103328545/videos/3697954183759550?comment_id=1505291576918042&amp;reply_comment_id=407228135213850</v>
      </c>
      <c r="O3517">
        <v>0</v>
      </c>
      <c r="P3517">
        <v>0</v>
      </c>
      <c r="Q3517">
        <v>0</v>
      </c>
      <c r="S3517">
        <v>0</v>
      </c>
      <c r="T3517">
        <v>0</v>
      </c>
      <c r="U3517">
        <v>0</v>
      </c>
      <c r="W3517" t="s">
        <v>62</v>
      </c>
    </row>
    <row r="3518" spans="1:23" x14ac:dyDescent="0.35">
      <c r="A3518" t="s">
        <v>45</v>
      </c>
      <c r="B3518" t="s">
        <v>7804</v>
      </c>
      <c r="C3518" t="s">
        <v>47</v>
      </c>
      <c r="D3518" t="s">
        <v>45</v>
      </c>
      <c r="E3518" t="s">
        <v>45</v>
      </c>
      <c r="F3518" t="s">
        <v>49</v>
      </c>
      <c r="G3518" t="s">
        <v>8107</v>
      </c>
      <c r="H3518" t="s">
        <v>8108</v>
      </c>
      <c r="J3518" t="str">
        <f>HYPERLINK("https://www.facebook.com/454965103328545/videos/3697954183759550?comment_id=578711314469783&amp;reply_comment_id=1132400194598711","https://www.facebook.com/454965103328545/videos/3697954183759550?comment_id=578711314469783&amp;reply_comment_id=1132400194598711")</f>
        <v>https://www.facebook.com/454965103328545/videos/3697954183759550?comment_id=578711314469783&amp;reply_comment_id=1132400194598711</v>
      </c>
      <c r="O3518">
        <v>0</v>
      </c>
      <c r="P3518">
        <v>0</v>
      </c>
      <c r="Q3518">
        <v>0</v>
      </c>
      <c r="S3518">
        <v>0</v>
      </c>
      <c r="T3518">
        <v>0</v>
      </c>
      <c r="U3518">
        <v>0</v>
      </c>
      <c r="W3518" t="s">
        <v>62</v>
      </c>
    </row>
    <row r="3519" spans="1:23" x14ac:dyDescent="0.35">
      <c r="A3519" t="s">
        <v>45</v>
      </c>
      <c r="B3519" t="s">
        <v>7804</v>
      </c>
      <c r="C3519" t="s">
        <v>47</v>
      </c>
      <c r="D3519" t="s">
        <v>45</v>
      </c>
      <c r="E3519" t="s">
        <v>45</v>
      </c>
      <c r="F3519" t="s">
        <v>49</v>
      </c>
      <c r="G3519" t="s">
        <v>8109</v>
      </c>
      <c r="H3519" t="s">
        <v>8110</v>
      </c>
      <c r="J3519" t="str">
        <f>HYPERLINK("https://www.facebook.com/454965103328545/videos/3697954183759550?comment_id=920876076153687&amp;reply_comment_id=1531446967423975","https://www.facebook.com/454965103328545/videos/3697954183759550?comment_id=920876076153687&amp;reply_comment_id=1531446967423975")</f>
        <v>https://www.facebook.com/454965103328545/videos/3697954183759550?comment_id=920876076153687&amp;reply_comment_id=1531446967423975</v>
      </c>
      <c r="O3519">
        <v>0</v>
      </c>
      <c r="P3519">
        <v>0</v>
      </c>
      <c r="Q3519">
        <v>0</v>
      </c>
      <c r="S3519">
        <v>0</v>
      </c>
      <c r="T3519">
        <v>0</v>
      </c>
      <c r="U3519">
        <v>0</v>
      </c>
      <c r="W3519" t="s">
        <v>62</v>
      </c>
    </row>
    <row r="3520" spans="1:23" x14ac:dyDescent="0.35">
      <c r="A3520" t="s">
        <v>45</v>
      </c>
      <c r="B3520" t="s">
        <v>7804</v>
      </c>
      <c r="C3520" t="s">
        <v>47</v>
      </c>
      <c r="D3520" t="s">
        <v>45</v>
      </c>
      <c r="E3520" t="s">
        <v>45</v>
      </c>
      <c r="F3520" t="s">
        <v>49</v>
      </c>
      <c r="G3520" t="s">
        <v>8111</v>
      </c>
      <c r="H3520" t="s">
        <v>8112</v>
      </c>
      <c r="J3520" t="str">
        <f>HYPERLINK("https://www.facebook.com/454965103328545/videos/3697954183759550?comment_id=704332278452384&amp;reply_comment_id=3254328678208621","https://www.facebook.com/454965103328545/videos/3697954183759550?comment_id=704332278452384&amp;reply_comment_id=3254328678208621")</f>
        <v>https://www.facebook.com/454965103328545/videos/3697954183759550?comment_id=704332278452384&amp;reply_comment_id=3254328678208621</v>
      </c>
      <c r="O3520">
        <v>0</v>
      </c>
      <c r="P3520">
        <v>0</v>
      </c>
      <c r="Q3520">
        <v>0</v>
      </c>
      <c r="S3520">
        <v>0</v>
      </c>
      <c r="T3520">
        <v>0</v>
      </c>
      <c r="U3520">
        <v>0</v>
      </c>
      <c r="W3520" t="s">
        <v>62</v>
      </c>
    </row>
    <row r="3521" spans="1:45" x14ac:dyDescent="0.35">
      <c r="A3521" t="s">
        <v>45</v>
      </c>
      <c r="B3521" t="s">
        <v>7804</v>
      </c>
      <c r="C3521" t="s">
        <v>47</v>
      </c>
      <c r="D3521" t="s">
        <v>45</v>
      </c>
      <c r="E3521" t="s">
        <v>45</v>
      </c>
      <c r="F3521" t="s">
        <v>49</v>
      </c>
      <c r="G3521" t="s">
        <v>8113</v>
      </c>
      <c r="H3521" t="s">
        <v>8114</v>
      </c>
      <c r="J3521" t="str">
        <f>HYPERLINK("https://www.facebook.com/454965103328545/videos/3697954183759550?comment_id=1329165487782570&amp;reply_comment_id=3718358648444027","https://www.facebook.com/454965103328545/videos/3697954183759550?comment_id=1329165487782570&amp;reply_comment_id=3718358648444027")</f>
        <v>https://www.facebook.com/454965103328545/videos/3697954183759550?comment_id=1329165487782570&amp;reply_comment_id=3718358648444027</v>
      </c>
      <c r="O3521">
        <v>0</v>
      </c>
      <c r="P3521">
        <v>0</v>
      </c>
      <c r="Q3521">
        <v>0</v>
      </c>
      <c r="S3521">
        <v>0</v>
      </c>
      <c r="T3521">
        <v>0</v>
      </c>
      <c r="U3521">
        <v>0</v>
      </c>
      <c r="W3521" t="s">
        <v>62</v>
      </c>
    </row>
    <row r="3522" spans="1:45" x14ac:dyDescent="0.35">
      <c r="A3522" t="s">
        <v>45</v>
      </c>
      <c r="B3522" t="s">
        <v>7804</v>
      </c>
      <c r="C3522" t="s">
        <v>47</v>
      </c>
      <c r="D3522" t="s">
        <v>45</v>
      </c>
      <c r="E3522" t="s">
        <v>45</v>
      </c>
      <c r="F3522" t="s">
        <v>49</v>
      </c>
      <c r="G3522" t="s">
        <v>8115</v>
      </c>
      <c r="H3522" t="s">
        <v>8116</v>
      </c>
      <c r="J3522" t="str">
        <f>HYPERLINK("https://www.facebook.com/357267201017935/inbox/6992334217511167/","https://www.facebook.com/357267201017935/inbox/6992334217511167/")</f>
        <v>https://www.facebook.com/357267201017935/inbox/6992334217511167/</v>
      </c>
      <c r="O3522">
        <v>0</v>
      </c>
      <c r="P3522">
        <v>0</v>
      </c>
      <c r="Q3522">
        <v>0</v>
      </c>
      <c r="S3522">
        <v>0</v>
      </c>
      <c r="T3522">
        <v>0</v>
      </c>
      <c r="U3522">
        <v>0</v>
      </c>
      <c r="W3522" t="s">
        <v>52</v>
      </c>
    </row>
    <row r="3523" spans="1:45" x14ac:dyDescent="0.35">
      <c r="A3523" t="s">
        <v>45</v>
      </c>
      <c r="B3523" t="s">
        <v>7804</v>
      </c>
      <c r="C3523" t="s">
        <v>47</v>
      </c>
      <c r="D3523" t="s">
        <v>45</v>
      </c>
      <c r="E3523" t="s">
        <v>45</v>
      </c>
      <c r="F3523" t="s">
        <v>49</v>
      </c>
      <c r="G3523" t="s">
        <v>8117</v>
      </c>
      <c r="H3523" t="s">
        <v>8118</v>
      </c>
      <c r="J3523" t="str">
        <f>HYPERLINK("https://www.facebook.com/454965103328545/videos/3697954183759550?comment_id=2113936962273924&amp;reply_comment_id=228440527003191","https://www.facebook.com/454965103328545/videos/3697954183759550?comment_id=2113936962273924&amp;reply_comment_id=228440527003191")</f>
        <v>https://www.facebook.com/454965103328545/videos/3697954183759550?comment_id=2113936962273924&amp;reply_comment_id=228440527003191</v>
      </c>
      <c r="O3523">
        <v>0</v>
      </c>
      <c r="P3523">
        <v>0</v>
      </c>
      <c r="Q3523">
        <v>0</v>
      </c>
      <c r="S3523">
        <v>0</v>
      </c>
      <c r="T3523">
        <v>0</v>
      </c>
      <c r="U3523">
        <v>0</v>
      </c>
      <c r="W3523" t="s">
        <v>62</v>
      </c>
    </row>
    <row r="3524" spans="1:45" x14ac:dyDescent="0.35">
      <c r="A3524" t="s">
        <v>45</v>
      </c>
      <c r="B3524" t="s">
        <v>7804</v>
      </c>
      <c r="C3524" t="s">
        <v>47</v>
      </c>
      <c r="D3524" t="s">
        <v>45</v>
      </c>
      <c r="E3524" t="s">
        <v>45</v>
      </c>
      <c r="F3524" t="s">
        <v>49</v>
      </c>
      <c r="G3524" t="s">
        <v>8119</v>
      </c>
      <c r="H3524" t="s">
        <v>8120</v>
      </c>
      <c r="J3524" t="str">
        <f>HYPERLINK("https://www.facebook.com/454965103328545/videos/3697954183759550?comment_id=3988065311444866&amp;reply_comment_id=1411424236152752","https://www.facebook.com/454965103328545/videos/3697954183759550?comment_id=3988065311444866&amp;reply_comment_id=1411424236152752")</f>
        <v>https://www.facebook.com/454965103328545/videos/3697954183759550?comment_id=3988065311444866&amp;reply_comment_id=1411424236152752</v>
      </c>
      <c r="O3524">
        <v>0</v>
      </c>
      <c r="P3524">
        <v>0</v>
      </c>
      <c r="Q3524">
        <v>0</v>
      </c>
      <c r="S3524">
        <v>0</v>
      </c>
      <c r="T3524">
        <v>0</v>
      </c>
      <c r="U3524">
        <v>0</v>
      </c>
      <c r="W3524" t="s">
        <v>62</v>
      </c>
    </row>
    <row r="3525" spans="1:45" x14ac:dyDescent="0.35">
      <c r="A3525" t="s">
        <v>45</v>
      </c>
      <c r="B3525" t="s">
        <v>7804</v>
      </c>
      <c r="C3525" t="s">
        <v>47</v>
      </c>
      <c r="D3525" t="s">
        <v>45</v>
      </c>
      <c r="E3525" t="s">
        <v>45</v>
      </c>
      <c r="F3525" t="s">
        <v>49</v>
      </c>
      <c r="G3525" t="s">
        <v>8121</v>
      </c>
      <c r="H3525" t="s">
        <v>8122</v>
      </c>
      <c r="J3525" t="str">
        <f>HYPERLINK("https://www.facebook.com/454965103328545/videos/3697954183759550?comment_id=922658002798703&amp;reply_comment_id=1917482728667110","https://www.facebook.com/454965103328545/videos/3697954183759550?comment_id=922658002798703&amp;reply_comment_id=1917482728667110")</f>
        <v>https://www.facebook.com/454965103328545/videos/3697954183759550?comment_id=922658002798703&amp;reply_comment_id=1917482728667110</v>
      </c>
      <c r="O3525">
        <v>0</v>
      </c>
      <c r="P3525">
        <v>0</v>
      </c>
      <c r="Q3525">
        <v>0</v>
      </c>
      <c r="S3525">
        <v>0</v>
      </c>
      <c r="T3525">
        <v>0</v>
      </c>
      <c r="U3525">
        <v>0</v>
      </c>
      <c r="W3525" t="s">
        <v>62</v>
      </c>
    </row>
    <row r="3526" spans="1:45" x14ac:dyDescent="0.35">
      <c r="A3526" t="s">
        <v>45</v>
      </c>
      <c r="B3526" t="s">
        <v>7804</v>
      </c>
      <c r="C3526" t="s">
        <v>47</v>
      </c>
      <c r="D3526" t="s">
        <v>4488</v>
      </c>
      <c r="E3526" t="s">
        <v>4488</v>
      </c>
      <c r="F3526" t="s">
        <v>49</v>
      </c>
      <c r="G3526" t="s">
        <v>8123</v>
      </c>
      <c r="H3526" t="s">
        <v>8124</v>
      </c>
      <c r="J3526" t="str">
        <f>HYPERLINK("https://www.facebook.com/454965103328545/posts/763902162434836?comment_id=1312107259487698&amp;reply_comment_id=339340409082692","https://www.facebook.com/454965103328545/posts/763902162434836?comment_id=1312107259487698&amp;reply_comment_id=339340409082692")</f>
        <v>https://www.facebook.com/454965103328545/posts/763902162434836?comment_id=1312107259487698&amp;reply_comment_id=339340409082692</v>
      </c>
      <c r="O3526">
        <v>0</v>
      </c>
      <c r="P3526">
        <v>0</v>
      </c>
      <c r="Q3526">
        <v>0</v>
      </c>
      <c r="S3526">
        <v>0</v>
      </c>
      <c r="T3526">
        <v>0</v>
      </c>
      <c r="U3526">
        <v>0</v>
      </c>
      <c r="W3526" t="s">
        <v>62</v>
      </c>
      <c r="AS3526" t="s">
        <v>375</v>
      </c>
    </row>
    <row r="3527" spans="1:45" x14ac:dyDescent="0.35">
      <c r="A3527" t="s">
        <v>45</v>
      </c>
      <c r="B3527" t="s">
        <v>7804</v>
      </c>
      <c r="C3527" t="s">
        <v>47</v>
      </c>
      <c r="D3527" t="s">
        <v>4488</v>
      </c>
      <c r="E3527" t="s">
        <v>4488</v>
      </c>
      <c r="F3527" t="s">
        <v>49</v>
      </c>
      <c r="G3527" t="s">
        <v>8125</v>
      </c>
      <c r="H3527" t="s">
        <v>8126</v>
      </c>
      <c r="J3527" t="str">
        <f>HYPERLINK("https://www.facebook.com/454965103328545/posts/763902162434836?comment_id=1312107259487698&amp;reply_comment_id=377270924920080","https://www.facebook.com/454965103328545/posts/763902162434836?comment_id=1312107259487698&amp;reply_comment_id=377270924920080")</f>
        <v>https://www.facebook.com/454965103328545/posts/763902162434836?comment_id=1312107259487698&amp;reply_comment_id=377270924920080</v>
      </c>
      <c r="O3527">
        <v>0</v>
      </c>
      <c r="P3527">
        <v>0</v>
      </c>
      <c r="Q3527">
        <v>0</v>
      </c>
      <c r="S3527">
        <v>0</v>
      </c>
      <c r="T3527">
        <v>0</v>
      </c>
      <c r="U3527">
        <v>0</v>
      </c>
      <c r="W3527" t="s">
        <v>62</v>
      </c>
      <c r="AP3527" t="s">
        <v>147</v>
      </c>
    </row>
    <row r="3528" spans="1:45" x14ac:dyDescent="0.35">
      <c r="A3528" t="s">
        <v>45</v>
      </c>
      <c r="B3528" t="s">
        <v>7804</v>
      </c>
      <c r="C3528" t="s">
        <v>47</v>
      </c>
      <c r="D3528" t="s">
        <v>8127</v>
      </c>
      <c r="E3528" t="s">
        <v>8127</v>
      </c>
      <c r="F3528" t="s">
        <v>49</v>
      </c>
      <c r="G3528" t="s">
        <v>50</v>
      </c>
      <c r="H3528" t="s">
        <v>8128</v>
      </c>
      <c r="J3528" t="str">
        <f>HYPERLINK("https://www.facebook.com/357267201017935/inbox/4348980201846595/","https://www.facebook.com/357267201017935/inbox/4348980201846595/")</f>
        <v>https://www.facebook.com/357267201017935/inbox/4348980201846595/</v>
      </c>
      <c r="O3528">
        <v>0</v>
      </c>
      <c r="P3528">
        <v>0</v>
      </c>
      <c r="Q3528">
        <v>0</v>
      </c>
      <c r="S3528">
        <v>0</v>
      </c>
      <c r="T3528">
        <v>0</v>
      </c>
      <c r="U3528">
        <v>0</v>
      </c>
      <c r="W3528" t="s">
        <v>52</v>
      </c>
    </row>
    <row r="3529" spans="1:45" x14ac:dyDescent="0.35">
      <c r="A3529" t="s">
        <v>45</v>
      </c>
      <c r="B3529" t="s">
        <v>7804</v>
      </c>
      <c r="C3529" t="s">
        <v>47</v>
      </c>
      <c r="D3529" t="s">
        <v>45</v>
      </c>
      <c r="E3529" t="s">
        <v>45</v>
      </c>
      <c r="F3529" t="s">
        <v>49</v>
      </c>
      <c r="G3529" t="s">
        <v>8129</v>
      </c>
      <c r="H3529" t="s">
        <v>8130</v>
      </c>
      <c r="J3529" t="str">
        <f>HYPERLINK("https://www.facebook.com/454965103328545/posts/763233329168386?comment_id=3618902478428732&amp;reply_comment_id=298633273214732","https://www.facebook.com/454965103328545/posts/763233329168386?comment_id=3618902478428732&amp;reply_comment_id=298633273214732")</f>
        <v>https://www.facebook.com/454965103328545/posts/763233329168386?comment_id=3618902478428732&amp;reply_comment_id=298633273214732</v>
      </c>
      <c r="O3529">
        <v>0</v>
      </c>
      <c r="P3529">
        <v>0</v>
      </c>
      <c r="Q3529">
        <v>0</v>
      </c>
      <c r="S3529">
        <v>0</v>
      </c>
      <c r="T3529">
        <v>0</v>
      </c>
      <c r="U3529">
        <v>0</v>
      </c>
      <c r="W3529" t="s">
        <v>62</v>
      </c>
    </row>
    <row r="3530" spans="1:45" x14ac:dyDescent="0.35">
      <c r="A3530" t="s">
        <v>45</v>
      </c>
      <c r="B3530" t="s">
        <v>7804</v>
      </c>
      <c r="C3530" t="s">
        <v>47</v>
      </c>
      <c r="D3530" t="s">
        <v>45</v>
      </c>
      <c r="E3530" t="s">
        <v>45</v>
      </c>
      <c r="F3530" t="s">
        <v>49</v>
      </c>
      <c r="G3530" t="s">
        <v>7259</v>
      </c>
      <c r="H3530" t="s">
        <v>8131</v>
      </c>
      <c r="J3530" t="str">
        <f>HYPERLINK("https://www.facebook.com/454965103328545/posts/763902162434836?comment_id=1312107259487698&amp;reply_comment_id=1108232920521996","https://www.facebook.com/454965103328545/posts/763902162434836?comment_id=1312107259487698&amp;reply_comment_id=1108232920521996")</f>
        <v>https://www.facebook.com/454965103328545/posts/763902162434836?comment_id=1312107259487698&amp;reply_comment_id=1108232920521996</v>
      </c>
      <c r="O3530">
        <v>0</v>
      </c>
      <c r="P3530">
        <v>0</v>
      </c>
      <c r="Q3530">
        <v>0</v>
      </c>
      <c r="S3530">
        <v>0</v>
      </c>
      <c r="T3530">
        <v>0</v>
      </c>
      <c r="U3530">
        <v>0</v>
      </c>
      <c r="W3530" t="s">
        <v>62</v>
      </c>
    </row>
    <row r="3531" spans="1:45" x14ac:dyDescent="0.35">
      <c r="A3531" t="s">
        <v>45</v>
      </c>
      <c r="B3531" t="s">
        <v>7804</v>
      </c>
      <c r="C3531" t="s">
        <v>47</v>
      </c>
      <c r="D3531" t="s">
        <v>45</v>
      </c>
      <c r="E3531" t="s">
        <v>45</v>
      </c>
      <c r="F3531" t="s">
        <v>49</v>
      </c>
      <c r="G3531" t="s">
        <v>8132</v>
      </c>
      <c r="H3531" t="s">
        <v>8133</v>
      </c>
      <c r="J3531" t="str">
        <f>HYPERLINK("https://www.facebook.com/454965103328545/videos/3697954183759550?comment_id=1376943083189393&amp;reply_comment_id=6945227262271704","https://www.facebook.com/454965103328545/videos/3697954183759550?comment_id=1376943083189393&amp;reply_comment_id=6945227262271704")</f>
        <v>https://www.facebook.com/454965103328545/videos/3697954183759550?comment_id=1376943083189393&amp;reply_comment_id=6945227262271704</v>
      </c>
      <c r="O3531">
        <v>0</v>
      </c>
      <c r="P3531">
        <v>0</v>
      </c>
      <c r="Q3531">
        <v>0</v>
      </c>
      <c r="S3531">
        <v>0</v>
      </c>
      <c r="T3531">
        <v>0</v>
      </c>
      <c r="U3531">
        <v>0</v>
      </c>
      <c r="W3531" t="s">
        <v>62</v>
      </c>
    </row>
    <row r="3532" spans="1:45" x14ac:dyDescent="0.35">
      <c r="A3532" t="s">
        <v>45</v>
      </c>
      <c r="B3532" t="s">
        <v>7804</v>
      </c>
      <c r="C3532" t="s">
        <v>47</v>
      </c>
      <c r="D3532" t="s">
        <v>45</v>
      </c>
      <c r="E3532" t="s">
        <v>45</v>
      </c>
      <c r="F3532" t="s">
        <v>49</v>
      </c>
      <c r="G3532" t="s">
        <v>8134</v>
      </c>
      <c r="H3532" t="s">
        <v>8135</v>
      </c>
      <c r="J3532" t="str">
        <f>HYPERLINK("https://www.facebook.com/454965103328545/videos/3697954183759550?comment_id=869075238299948&amp;reply_comment_id=278475191703952","https://www.facebook.com/454965103328545/videos/3697954183759550?comment_id=869075238299948&amp;reply_comment_id=278475191703952")</f>
        <v>https://www.facebook.com/454965103328545/videos/3697954183759550?comment_id=869075238299948&amp;reply_comment_id=278475191703952</v>
      </c>
      <c r="O3532">
        <v>0</v>
      </c>
      <c r="P3532">
        <v>0</v>
      </c>
      <c r="Q3532">
        <v>0</v>
      </c>
      <c r="S3532">
        <v>0</v>
      </c>
      <c r="T3532">
        <v>0</v>
      </c>
      <c r="U3532">
        <v>0</v>
      </c>
      <c r="W3532" t="s">
        <v>62</v>
      </c>
    </row>
    <row r="3533" spans="1:45" x14ac:dyDescent="0.35">
      <c r="A3533" t="s">
        <v>45</v>
      </c>
      <c r="B3533" t="s">
        <v>7804</v>
      </c>
      <c r="C3533" t="s">
        <v>47</v>
      </c>
      <c r="D3533" t="s">
        <v>45</v>
      </c>
      <c r="E3533" t="s">
        <v>45</v>
      </c>
      <c r="F3533" t="s">
        <v>49</v>
      </c>
      <c r="G3533" t="s">
        <v>8136</v>
      </c>
      <c r="H3533" t="s">
        <v>8137</v>
      </c>
      <c r="J3533" t="str">
        <f>HYPERLINK("https://www.facebook.com/454965103328545/videos/3697954183759550?comment_id=343831898615024&amp;reply_comment_id=1357237041452547","https://www.facebook.com/454965103328545/videos/3697954183759550?comment_id=343831898615024&amp;reply_comment_id=1357237041452547")</f>
        <v>https://www.facebook.com/454965103328545/videos/3697954183759550?comment_id=343831898615024&amp;reply_comment_id=1357237041452547</v>
      </c>
      <c r="O3533">
        <v>0</v>
      </c>
      <c r="P3533">
        <v>0</v>
      </c>
      <c r="Q3533">
        <v>0</v>
      </c>
      <c r="S3533">
        <v>0</v>
      </c>
      <c r="T3533">
        <v>0</v>
      </c>
      <c r="U3533">
        <v>0</v>
      </c>
      <c r="W3533" t="s">
        <v>62</v>
      </c>
    </row>
    <row r="3534" spans="1:45" x14ac:dyDescent="0.35">
      <c r="A3534" t="s">
        <v>45</v>
      </c>
      <c r="B3534" t="s">
        <v>7804</v>
      </c>
      <c r="C3534" t="s">
        <v>47</v>
      </c>
      <c r="D3534" t="s">
        <v>45</v>
      </c>
      <c r="E3534" t="s">
        <v>45</v>
      </c>
      <c r="F3534" t="s">
        <v>49</v>
      </c>
      <c r="G3534" t="s">
        <v>8138</v>
      </c>
      <c r="H3534" t="s">
        <v>8139</v>
      </c>
      <c r="J3534" t="str">
        <f>HYPERLINK("https://www.facebook.com/357267201017935/inbox/6992692514142004/","https://www.facebook.com/357267201017935/inbox/6992692514142004/")</f>
        <v>https://www.facebook.com/357267201017935/inbox/6992692514142004/</v>
      </c>
      <c r="O3534">
        <v>0</v>
      </c>
      <c r="P3534">
        <v>0</v>
      </c>
      <c r="Q3534">
        <v>0</v>
      </c>
      <c r="S3534">
        <v>0</v>
      </c>
      <c r="T3534">
        <v>0</v>
      </c>
      <c r="U3534">
        <v>0</v>
      </c>
      <c r="W3534" t="s">
        <v>52</v>
      </c>
    </row>
    <row r="3535" spans="1:45" x14ac:dyDescent="0.35">
      <c r="A3535" t="s">
        <v>45</v>
      </c>
      <c r="B3535" t="s">
        <v>7804</v>
      </c>
      <c r="C3535" t="s">
        <v>47</v>
      </c>
      <c r="D3535" t="s">
        <v>8140</v>
      </c>
      <c r="E3535" t="s">
        <v>8140</v>
      </c>
      <c r="F3535" t="s">
        <v>49</v>
      </c>
      <c r="G3535" t="s">
        <v>459</v>
      </c>
      <c r="H3535" t="s">
        <v>8141</v>
      </c>
      <c r="J3535" t="str">
        <f>HYPERLINK("https://www.facebook.com/454965103328545/videos/3697954183759550?comment_id=7380987795286454","https://www.facebook.com/454965103328545/videos/3697954183759550?comment_id=7380987795286454")</f>
        <v>https://www.facebook.com/454965103328545/videos/3697954183759550?comment_id=7380987795286454</v>
      </c>
      <c r="O3535">
        <v>0</v>
      </c>
      <c r="P3535">
        <v>0</v>
      </c>
      <c r="Q3535">
        <v>0</v>
      </c>
      <c r="S3535">
        <v>0</v>
      </c>
      <c r="T3535">
        <v>0</v>
      </c>
      <c r="U3535">
        <v>0</v>
      </c>
      <c r="W3535" t="s">
        <v>62</v>
      </c>
    </row>
    <row r="3536" spans="1:45" x14ac:dyDescent="0.35">
      <c r="A3536" t="s">
        <v>45</v>
      </c>
      <c r="B3536" t="s">
        <v>7804</v>
      </c>
      <c r="C3536" t="s">
        <v>47</v>
      </c>
      <c r="D3536" t="s">
        <v>45</v>
      </c>
      <c r="E3536" t="s">
        <v>45</v>
      </c>
      <c r="F3536" t="s">
        <v>49</v>
      </c>
      <c r="G3536" t="s">
        <v>8142</v>
      </c>
      <c r="H3536" t="s">
        <v>8143</v>
      </c>
      <c r="J3536" t="str">
        <f>HYPERLINK("https://www.facebook.com/454965103328545/videos/3697954183759550?comment_id=421567817047252&amp;reply_comment_id=751391276916360","https://www.facebook.com/454965103328545/videos/3697954183759550?comment_id=421567817047252&amp;reply_comment_id=751391276916360")</f>
        <v>https://www.facebook.com/454965103328545/videos/3697954183759550?comment_id=421567817047252&amp;reply_comment_id=751391276916360</v>
      </c>
      <c r="O3536">
        <v>0</v>
      </c>
      <c r="P3536">
        <v>0</v>
      </c>
      <c r="Q3536">
        <v>0</v>
      </c>
      <c r="S3536">
        <v>0</v>
      </c>
      <c r="T3536">
        <v>0</v>
      </c>
      <c r="U3536">
        <v>0</v>
      </c>
      <c r="W3536" t="s">
        <v>62</v>
      </c>
    </row>
    <row r="3537" spans="1:23" x14ac:dyDescent="0.35">
      <c r="A3537" t="s">
        <v>45</v>
      </c>
      <c r="B3537" t="s">
        <v>7804</v>
      </c>
      <c r="C3537" t="s">
        <v>47</v>
      </c>
      <c r="D3537" t="s">
        <v>45</v>
      </c>
      <c r="E3537" t="s">
        <v>45</v>
      </c>
      <c r="F3537" t="s">
        <v>49</v>
      </c>
      <c r="G3537" t="s">
        <v>8144</v>
      </c>
      <c r="H3537" t="s">
        <v>8145</v>
      </c>
      <c r="J3537" t="str">
        <f>HYPERLINK("https://www.facebook.com/454965103328545/videos/3697954183759550?comment_id=1311632246201651&amp;reply_comment_id=321389374231861","https://www.facebook.com/454965103328545/videos/3697954183759550?comment_id=1311632246201651&amp;reply_comment_id=321389374231861")</f>
        <v>https://www.facebook.com/454965103328545/videos/3697954183759550?comment_id=1311632246201651&amp;reply_comment_id=321389374231861</v>
      </c>
      <c r="O3537">
        <v>0</v>
      </c>
      <c r="P3537">
        <v>0</v>
      </c>
      <c r="Q3537">
        <v>0</v>
      </c>
      <c r="S3537">
        <v>0</v>
      </c>
      <c r="T3537">
        <v>0</v>
      </c>
      <c r="U3537">
        <v>0</v>
      </c>
      <c r="W3537" t="s">
        <v>62</v>
      </c>
    </row>
    <row r="3538" spans="1:23" x14ac:dyDescent="0.35">
      <c r="A3538" t="s">
        <v>45</v>
      </c>
      <c r="B3538" t="s">
        <v>7804</v>
      </c>
      <c r="C3538" t="s">
        <v>47</v>
      </c>
      <c r="D3538" t="s">
        <v>45</v>
      </c>
      <c r="E3538" t="s">
        <v>45</v>
      </c>
      <c r="F3538" t="s">
        <v>49</v>
      </c>
      <c r="G3538" t="s">
        <v>8146</v>
      </c>
      <c r="H3538" t="s">
        <v>8147</v>
      </c>
      <c r="J3538" t="str">
        <f>HYPERLINK("https://www.facebook.com/454965103328545/videos/3697954183759550?comment_id=1704494366959253&amp;reply_comment_id=400148002539739","https://www.facebook.com/454965103328545/videos/3697954183759550?comment_id=1704494366959253&amp;reply_comment_id=400148002539739")</f>
        <v>https://www.facebook.com/454965103328545/videos/3697954183759550?comment_id=1704494366959253&amp;reply_comment_id=400148002539739</v>
      </c>
      <c r="O3538">
        <v>0</v>
      </c>
      <c r="P3538">
        <v>0</v>
      </c>
      <c r="Q3538">
        <v>0</v>
      </c>
      <c r="S3538">
        <v>0</v>
      </c>
      <c r="T3538">
        <v>0</v>
      </c>
      <c r="U3538">
        <v>0</v>
      </c>
      <c r="W3538" t="s">
        <v>62</v>
      </c>
    </row>
    <row r="3539" spans="1:23" x14ac:dyDescent="0.35">
      <c r="A3539" t="s">
        <v>45</v>
      </c>
      <c r="B3539" t="s">
        <v>7804</v>
      </c>
      <c r="C3539" t="s">
        <v>47</v>
      </c>
      <c r="D3539" t="s">
        <v>45</v>
      </c>
      <c r="E3539" t="s">
        <v>45</v>
      </c>
      <c r="F3539" t="s">
        <v>49</v>
      </c>
      <c r="G3539" t="s">
        <v>8148</v>
      </c>
      <c r="H3539" t="s">
        <v>8149</v>
      </c>
      <c r="J3539" t="str">
        <f>HYPERLINK("https://www.facebook.com/454965103328545/posts/763899692435083?comment_id=945214650368870&amp;reply_comment_id=1717680695386740","https://www.facebook.com/454965103328545/posts/763899692435083?comment_id=945214650368870&amp;reply_comment_id=1717680695386740")</f>
        <v>https://www.facebook.com/454965103328545/posts/763899692435083?comment_id=945214650368870&amp;reply_comment_id=1717680695386740</v>
      </c>
      <c r="O3539">
        <v>0</v>
      </c>
      <c r="P3539">
        <v>0</v>
      </c>
      <c r="Q3539">
        <v>0</v>
      </c>
      <c r="S3539">
        <v>0</v>
      </c>
      <c r="T3539">
        <v>0</v>
      </c>
      <c r="U3539">
        <v>0</v>
      </c>
      <c r="W3539" t="s">
        <v>62</v>
      </c>
    </row>
    <row r="3540" spans="1:23" x14ac:dyDescent="0.35">
      <c r="A3540" t="s">
        <v>45</v>
      </c>
      <c r="B3540" t="s">
        <v>7804</v>
      </c>
      <c r="C3540" t="s">
        <v>47</v>
      </c>
      <c r="D3540" t="s">
        <v>45</v>
      </c>
      <c r="E3540" t="s">
        <v>45</v>
      </c>
      <c r="F3540" t="s">
        <v>49</v>
      </c>
      <c r="G3540" t="s">
        <v>8150</v>
      </c>
      <c r="H3540" t="s">
        <v>8151</v>
      </c>
      <c r="J3540" t="str">
        <f>HYPERLINK("https://www.facebook.com/357267201017935/inbox/6992751124136143/","https://www.facebook.com/357267201017935/inbox/6992751124136143/")</f>
        <v>https://www.facebook.com/357267201017935/inbox/6992751124136143/</v>
      </c>
      <c r="O3540">
        <v>0</v>
      </c>
      <c r="P3540">
        <v>0</v>
      </c>
      <c r="Q3540">
        <v>0</v>
      </c>
      <c r="S3540">
        <v>0</v>
      </c>
      <c r="T3540">
        <v>0</v>
      </c>
      <c r="U3540">
        <v>0</v>
      </c>
      <c r="W3540" t="s">
        <v>52</v>
      </c>
    </row>
    <row r="3541" spans="1:23" x14ac:dyDescent="0.35">
      <c r="A3541" t="s">
        <v>45</v>
      </c>
      <c r="B3541" t="s">
        <v>7804</v>
      </c>
      <c r="C3541" t="s">
        <v>47</v>
      </c>
      <c r="D3541" t="s">
        <v>45</v>
      </c>
      <c r="E3541" t="s">
        <v>45</v>
      </c>
      <c r="F3541" t="s">
        <v>49</v>
      </c>
      <c r="G3541" t="s">
        <v>8152</v>
      </c>
      <c r="H3541" t="s">
        <v>8153</v>
      </c>
      <c r="J3541" t="str">
        <f>HYPERLINK("https://www.facebook.com/454965103328545/videos/3697954183759550?comment_id=938525101025225&amp;reply_comment_id=1446476459639383","https://www.facebook.com/454965103328545/videos/3697954183759550?comment_id=938525101025225&amp;reply_comment_id=1446476459639383")</f>
        <v>https://www.facebook.com/454965103328545/videos/3697954183759550?comment_id=938525101025225&amp;reply_comment_id=1446476459639383</v>
      </c>
      <c r="O3541">
        <v>0</v>
      </c>
      <c r="P3541">
        <v>0</v>
      </c>
      <c r="Q3541">
        <v>0</v>
      </c>
      <c r="S3541">
        <v>0</v>
      </c>
      <c r="T3541">
        <v>0</v>
      </c>
      <c r="U3541">
        <v>0</v>
      </c>
      <c r="W3541" t="s">
        <v>62</v>
      </c>
    </row>
    <row r="3542" spans="1:23" x14ac:dyDescent="0.35">
      <c r="A3542" t="s">
        <v>45</v>
      </c>
      <c r="B3542" t="s">
        <v>7804</v>
      </c>
      <c r="C3542" t="s">
        <v>47</v>
      </c>
      <c r="D3542" t="s">
        <v>8154</v>
      </c>
      <c r="E3542" t="s">
        <v>8154</v>
      </c>
      <c r="F3542" t="s">
        <v>49</v>
      </c>
      <c r="G3542" t="s">
        <v>8155</v>
      </c>
      <c r="H3542" t="s">
        <v>8156</v>
      </c>
      <c r="J3542" t="str">
        <f>HYPERLINK("https://www.facebook.com/454965103328545/posts/763899692435083?comment_id=304686429268872&amp;reply_comment_id=406851655125544","https://www.facebook.com/454965103328545/posts/763899692435083?comment_id=304686429268872&amp;reply_comment_id=406851655125544")</f>
        <v>https://www.facebook.com/454965103328545/posts/763899692435083?comment_id=304686429268872&amp;reply_comment_id=406851655125544</v>
      </c>
      <c r="O3542">
        <v>0</v>
      </c>
      <c r="P3542">
        <v>0</v>
      </c>
      <c r="Q3542">
        <v>0</v>
      </c>
      <c r="S3542">
        <v>0</v>
      </c>
      <c r="T3542">
        <v>0</v>
      </c>
      <c r="U3542">
        <v>0</v>
      </c>
      <c r="W3542" t="s">
        <v>62</v>
      </c>
    </row>
    <row r="3543" spans="1:23" x14ac:dyDescent="0.35">
      <c r="A3543" t="s">
        <v>45</v>
      </c>
      <c r="B3543" t="s">
        <v>7804</v>
      </c>
      <c r="C3543" t="s">
        <v>47</v>
      </c>
      <c r="D3543" t="s">
        <v>45</v>
      </c>
      <c r="E3543" t="s">
        <v>45</v>
      </c>
      <c r="F3543" t="s">
        <v>49</v>
      </c>
      <c r="G3543" t="s">
        <v>8157</v>
      </c>
      <c r="H3543" t="s">
        <v>8158</v>
      </c>
      <c r="J3543" t="str">
        <f>HYPERLINK("https://www.facebook.com/357267201017935/inbox/6992775500800372/","https://www.facebook.com/357267201017935/inbox/6992775500800372/")</f>
        <v>https://www.facebook.com/357267201017935/inbox/6992775500800372/</v>
      </c>
      <c r="O3543">
        <v>0</v>
      </c>
      <c r="P3543">
        <v>0</v>
      </c>
      <c r="Q3543">
        <v>0</v>
      </c>
      <c r="S3543">
        <v>0</v>
      </c>
      <c r="T3543">
        <v>0</v>
      </c>
      <c r="U3543">
        <v>0</v>
      </c>
      <c r="W3543" t="s">
        <v>52</v>
      </c>
    </row>
    <row r="3544" spans="1:23" x14ac:dyDescent="0.35">
      <c r="A3544" t="s">
        <v>45</v>
      </c>
      <c r="B3544" t="s">
        <v>7804</v>
      </c>
      <c r="C3544" t="s">
        <v>47</v>
      </c>
      <c r="D3544" t="s">
        <v>8154</v>
      </c>
      <c r="E3544" t="s">
        <v>8154</v>
      </c>
      <c r="F3544" t="s">
        <v>49</v>
      </c>
      <c r="G3544" t="s">
        <v>8159</v>
      </c>
      <c r="H3544" t="s">
        <v>8160</v>
      </c>
      <c r="J3544" t="str">
        <f>HYPERLINK("https://www.facebook.com/454965103328545/posts/763899692435083?comment_id=304686429268872&amp;reply_comment_id=367298099373136","https://www.facebook.com/454965103328545/posts/763899692435083?comment_id=304686429268872&amp;reply_comment_id=367298099373136")</f>
        <v>https://www.facebook.com/454965103328545/posts/763899692435083?comment_id=304686429268872&amp;reply_comment_id=367298099373136</v>
      </c>
      <c r="O3544">
        <v>0</v>
      </c>
      <c r="P3544">
        <v>0</v>
      </c>
      <c r="Q3544">
        <v>0</v>
      </c>
      <c r="S3544">
        <v>0</v>
      </c>
      <c r="T3544">
        <v>0</v>
      </c>
      <c r="U3544">
        <v>0</v>
      </c>
      <c r="W3544" t="s">
        <v>62</v>
      </c>
    </row>
    <row r="3545" spans="1:23" x14ac:dyDescent="0.35">
      <c r="A3545" t="s">
        <v>45</v>
      </c>
      <c r="B3545" t="s">
        <v>7804</v>
      </c>
      <c r="C3545" t="s">
        <v>47</v>
      </c>
      <c r="D3545" t="s">
        <v>7381</v>
      </c>
      <c r="E3545" t="s">
        <v>7381</v>
      </c>
      <c r="F3545" t="s">
        <v>49</v>
      </c>
      <c r="G3545" t="s">
        <v>8161</v>
      </c>
      <c r="H3545" t="s">
        <v>8162</v>
      </c>
      <c r="J3545" t="str">
        <f>HYPERLINK("https://www.facebook.com/454965103328545/posts/763307319160987?comment_id=1062528368332996&amp;reply_comment_id=7144732898939473","https://www.facebook.com/454965103328545/posts/763307319160987?comment_id=1062528368332996&amp;reply_comment_id=7144732898939473")</f>
        <v>https://www.facebook.com/454965103328545/posts/763307319160987?comment_id=1062528368332996&amp;reply_comment_id=7144732898939473</v>
      </c>
      <c r="O3545">
        <v>0</v>
      </c>
      <c r="P3545">
        <v>0</v>
      </c>
      <c r="Q3545">
        <v>0</v>
      </c>
      <c r="S3545">
        <v>0</v>
      </c>
      <c r="T3545">
        <v>0</v>
      </c>
      <c r="U3545">
        <v>0</v>
      </c>
      <c r="W3545" t="s">
        <v>62</v>
      </c>
    </row>
    <row r="3546" spans="1:23" x14ac:dyDescent="0.35">
      <c r="A3546" t="s">
        <v>45</v>
      </c>
      <c r="B3546" t="s">
        <v>7804</v>
      </c>
      <c r="C3546" t="s">
        <v>47</v>
      </c>
      <c r="D3546" t="s">
        <v>45</v>
      </c>
      <c r="E3546" t="s">
        <v>45</v>
      </c>
      <c r="F3546" t="s">
        <v>49</v>
      </c>
      <c r="G3546" t="s">
        <v>8163</v>
      </c>
      <c r="H3546" t="s">
        <v>8164</v>
      </c>
      <c r="J3546" t="str">
        <f>HYPERLINK("https://www.facebook.com/454965103328545/videos/3697954183759550?comment_id=1554054248704674&amp;reply_comment_id=780642313880456","https://www.facebook.com/454965103328545/videos/3697954183759550?comment_id=1554054248704674&amp;reply_comment_id=780642313880456")</f>
        <v>https://www.facebook.com/454965103328545/videos/3697954183759550?comment_id=1554054248704674&amp;reply_comment_id=780642313880456</v>
      </c>
      <c r="O3546">
        <v>0</v>
      </c>
      <c r="P3546">
        <v>0</v>
      </c>
      <c r="Q3546">
        <v>0</v>
      </c>
      <c r="S3546">
        <v>0</v>
      </c>
      <c r="T3546">
        <v>0</v>
      </c>
      <c r="U3546">
        <v>0</v>
      </c>
      <c r="W3546" t="s">
        <v>62</v>
      </c>
    </row>
    <row r="3547" spans="1:23" x14ac:dyDescent="0.35">
      <c r="A3547" t="s">
        <v>45</v>
      </c>
      <c r="B3547" t="s">
        <v>7804</v>
      </c>
      <c r="C3547" t="s">
        <v>47</v>
      </c>
      <c r="D3547" t="s">
        <v>8165</v>
      </c>
      <c r="E3547" t="s">
        <v>8165</v>
      </c>
      <c r="F3547" t="s">
        <v>49</v>
      </c>
      <c r="G3547" t="s">
        <v>8166</v>
      </c>
      <c r="H3547" t="s">
        <v>8167</v>
      </c>
      <c r="J3547" t="str">
        <f>HYPERLINK("https://www.facebook.com/454965103328545/videos/3697954183759550?comment_id=286469834145521","https://www.facebook.com/454965103328545/videos/3697954183759550?comment_id=286469834145521")</f>
        <v>https://www.facebook.com/454965103328545/videos/3697954183759550?comment_id=286469834145521</v>
      </c>
      <c r="O3547">
        <v>0</v>
      </c>
      <c r="P3547">
        <v>0</v>
      </c>
      <c r="Q3547">
        <v>0</v>
      </c>
      <c r="S3547">
        <v>0</v>
      </c>
      <c r="T3547">
        <v>0</v>
      </c>
      <c r="U3547">
        <v>0</v>
      </c>
      <c r="W3547" t="s">
        <v>62</v>
      </c>
    </row>
    <row r="3548" spans="1:23" x14ac:dyDescent="0.35">
      <c r="A3548" t="s">
        <v>45</v>
      </c>
      <c r="B3548" t="s">
        <v>7804</v>
      </c>
      <c r="C3548" t="s">
        <v>47</v>
      </c>
      <c r="D3548" t="s">
        <v>8168</v>
      </c>
      <c r="E3548" t="s">
        <v>8168</v>
      </c>
      <c r="F3548" t="s">
        <v>49</v>
      </c>
      <c r="G3548" t="s">
        <v>8169</v>
      </c>
      <c r="H3548" t="s">
        <v>8170</v>
      </c>
      <c r="J3548" t="str">
        <f>HYPERLINK("https://www.facebook.com/454965103328545/videos/3697954183759550?comment_id=866939338507947","https://www.facebook.com/454965103328545/videos/3697954183759550?comment_id=866939338507947")</f>
        <v>https://www.facebook.com/454965103328545/videos/3697954183759550?comment_id=866939338507947</v>
      </c>
      <c r="O3548">
        <v>0</v>
      </c>
      <c r="P3548">
        <v>0</v>
      </c>
      <c r="Q3548">
        <v>0</v>
      </c>
      <c r="S3548">
        <v>0</v>
      </c>
      <c r="T3548">
        <v>0</v>
      </c>
      <c r="U3548">
        <v>0</v>
      </c>
      <c r="W3548" t="s">
        <v>62</v>
      </c>
    </row>
    <row r="3549" spans="1:23" x14ac:dyDescent="0.35">
      <c r="A3549" t="s">
        <v>45</v>
      </c>
      <c r="B3549" t="s">
        <v>7804</v>
      </c>
      <c r="C3549" t="s">
        <v>47</v>
      </c>
      <c r="D3549" t="s">
        <v>8168</v>
      </c>
      <c r="E3549" t="s">
        <v>8168</v>
      </c>
      <c r="F3549" t="s">
        <v>49</v>
      </c>
      <c r="G3549" t="s">
        <v>8171</v>
      </c>
      <c r="H3549" t="s">
        <v>8172</v>
      </c>
      <c r="J3549" t="str">
        <f>HYPERLINK("https://www.facebook.com/454965103328545/videos/3697954183759550?comment_id=1061648295069041","https://www.facebook.com/454965103328545/videos/3697954183759550?comment_id=1061648295069041")</f>
        <v>https://www.facebook.com/454965103328545/videos/3697954183759550?comment_id=1061648295069041</v>
      </c>
      <c r="O3549">
        <v>0</v>
      </c>
      <c r="P3549">
        <v>0</v>
      </c>
      <c r="Q3549">
        <v>0</v>
      </c>
      <c r="S3549">
        <v>0</v>
      </c>
      <c r="T3549">
        <v>0</v>
      </c>
      <c r="U3549">
        <v>0</v>
      </c>
      <c r="W3549" t="s">
        <v>62</v>
      </c>
    </row>
    <row r="3550" spans="1:23" x14ac:dyDescent="0.35">
      <c r="A3550" t="s">
        <v>45</v>
      </c>
      <c r="B3550" t="s">
        <v>7804</v>
      </c>
      <c r="C3550" t="s">
        <v>47</v>
      </c>
      <c r="D3550" t="s">
        <v>4488</v>
      </c>
      <c r="E3550" t="s">
        <v>4488</v>
      </c>
      <c r="F3550" t="s">
        <v>49</v>
      </c>
      <c r="G3550" t="s">
        <v>45</v>
      </c>
      <c r="H3550" t="s">
        <v>8173</v>
      </c>
      <c r="J3550" t="str">
        <f>HYPERLINK("https://www.facebook.com/454965103328545/posts/763871475771238?comment_id=344754785123274&amp;reply_comment_id=956663782461748","https://www.facebook.com/454965103328545/posts/763871475771238?comment_id=344754785123274&amp;reply_comment_id=956663782461748")</f>
        <v>https://www.facebook.com/454965103328545/posts/763871475771238?comment_id=344754785123274&amp;reply_comment_id=956663782461748</v>
      </c>
      <c r="O3550">
        <v>0</v>
      </c>
      <c r="P3550">
        <v>0</v>
      </c>
      <c r="Q3550">
        <v>0</v>
      </c>
      <c r="S3550">
        <v>0</v>
      </c>
      <c r="T3550">
        <v>0</v>
      </c>
      <c r="U3550">
        <v>0</v>
      </c>
      <c r="W3550" t="s">
        <v>62</v>
      </c>
    </row>
    <row r="3551" spans="1:23" x14ac:dyDescent="0.35">
      <c r="A3551" t="s">
        <v>45</v>
      </c>
      <c r="B3551" t="s">
        <v>7804</v>
      </c>
      <c r="C3551" t="s">
        <v>47</v>
      </c>
      <c r="D3551" t="s">
        <v>8174</v>
      </c>
      <c r="E3551" t="s">
        <v>8174</v>
      </c>
      <c r="F3551" t="s">
        <v>49</v>
      </c>
      <c r="G3551" t="s">
        <v>8175</v>
      </c>
      <c r="H3551" t="s">
        <v>8176</v>
      </c>
      <c r="J3551" t="str">
        <f>HYPERLINK("https://www.facebook.com/454965103328545/videos/3697954183759550?comment_id=256445070820808&amp;reply_comment_id=1624781894594954","https://www.facebook.com/454965103328545/videos/3697954183759550?comment_id=256445070820808&amp;reply_comment_id=1624781894594954")</f>
        <v>https://www.facebook.com/454965103328545/videos/3697954183759550?comment_id=256445070820808&amp;reply_comment_id=1624781894594954</v>
      </c>
      <c r="O3551">
        <v>0</v>
      </c>
      <c r="P3551">
        <v>0</v>
      </c>
      <c r="Q3551">
        <v>0</v>
      </c>
      <c r="S3551">
        <v>0</v>
      </c>
      <c r="T3551">
        <v>0</v>
      </c>
      <c r="U3551">
        <v>0</v>
      </c>
      <c r="W3551" t="s">
        <v>106</v>
      </c>
    </row>
    <row r="3552" spans="1:23" x14ac:dyDescent="0.35">
      <c r="A3552" t="s">
        <v>45</v>
      </c>
      <c r="B3552" t="s">
        <v>7804</v>
      </c>
      <c r="C3552" t="s">
        <v>47</v>
      </c>
      <c r="D3552" t="s">
        <v>45</v>
      </c>
      <c r="E3552" t="s">
        <v>45</v>
      </c>
      <c r="F3552" t="s">
        <v>49</v>
      </c>
      <c r="G3552" t="s">
        <v>8177</v>
      </c>
      <c r="H3552" t="s">
        <v>8178</v>
      </c>
      <c r="J3552" t="str">
        <f>HYPERLINK("https://www.facebook.com/454965103328545/posts/763307319160987?comment_id=1062528368332996&amp;reply_comment_id=306915382389382","https://www.facebook.com/454965103328545/posts/763307319160987?comment_id=1062528368332996&amp;reply_comment_id=306915382389382")</f>
        <v>https://www.facebook.com/454965103328545/posts/763307319160987?comment_id=1062528368332996&amp;reply_comment_id=306915382389382</v>
      </c>
      <c r="O3552">
        <v>0</v>
      </c>
      <c r="P3552">
        <v>0</v>
      </c>
      <c r="Q3552">
        <v>0</v>
      </c>
      <c r="S3552">
        <v>0</v>
      </c>
      <c r="T3552">
        <v>0</v>
      </c>
      <c r="U3552">
        <v>0</v>
      </c>
      <c r="W3552" t="s">
        <v>62</v>
      </c>
    </row>
    <row r="3553" spans="1:42" x14ac:dyDescent="0.35">
      <c r="A3553" t="s">
        <v>45</v>
      </c>
      <c r="B3553" t="s">
        <v>7804</v>
      </c>
      <c r="C3553" t="s">
        <v>47</v>
      </c>
      <c r="D3553" t="s">
        <v>45</v>
      </c>
      <c r="E3553" t="s">
        <v>45</v>
      </c>
      <c r="F3553" t="s">
        <v>49</v>
      </c>
      <c r="G3553" t="s">
        <v>8179</v>
      </c>
      <c r="H3553" t="s">
        <v>8180</v>
      </c>
      <c r="J3553" t="str">
        <f>HYPERLINK("https://www.facebook.com/454965103328545/videos/3697954183759550?comment_id=256445070820808&amp;reply_comment_id=941674737322575","https://www.facebook.com/454965103328545/videos/3697954183759550?comment_id=256445070820808&amp;reply_comment_id=941674737322575")</f>
        <v>https://www.facebook.com/454965103328545/videos/3697954183759550?comment_id=256445070820808&amp;reply_comment_id=941674737322575</v>
      </c>
      <c r="O3553">
        <v>0</v>
      </c>
      <c r="P3553">
        <v>0</v>
      </c>
      <c r="Q3553">
        <v>0</v>
      </c>
      <c r="S3553">
        <v>0</v>
      </c>
      <c r="T3553">
        <v>0</v>
      </c>
      <c r="U3553">
        <v>0</v>
      </c>
      <c r="W3553" t="s">
        <v>62</v>
      </c>
    </row>
    <row r="3554" spans="1:42" x14ac:dyDescent="0.35">
      <c r="A3554" t="s">
        <v>45</v>
      </c>
      <c r="B3554" t="s">
        <v>7804</v>
      </c>
      <c r="C3554" t="s">
        <v>47</v>
      </c>
      <c r="D3554" t="s">
        <v>45</v>
      </c>
      <c r="E3554" t="s">
        <v>45</v>
      </c>
      <c r="F3554" t="s">
        <v>49</v>
      </c>
      <c r="G3554" t="s">
        <v>8181</v>
      </c>
      <c r="H3554" t="s">
        <v>8182</v>
      </c>
      <c r="J3554" t="str">
        <f>HYPERLINK("https://www.facebook.com/454965103328545/videos/3697954183759550?comment_id=756463696017507&amp;reply_comment_id=341861105485843","https://www.facebook.com/454965103328545/videos/3697954183759550?comment_id=756463696017507&amp;reply_comment_id=341861105485843")</f>
        <v>https://www.facebook.com/454965103328545/videos/3697954183759550?comment_id=756463696017507&amp;reply_comment_id=341861105485843</v>
      </c>
      <c r="O3554">
        <v>0</v>
      </c>
      <c r="P3554">
        <v>0</v>
      </c>
      <c r="Q3554">
        <v>0</v>
      </c>
      <c r="S3554">
        <v>0</v>
      </c>
      <c r="T3554">
        <v>0</v>
      </c>
      <c r="U3554">
        <v>0</v>
      </c>
      <c r="W3554" t="s">
        <v>62</v>
      </c>
    </row>
    <row r="3555" spans="1:42" x14ac:dyDescent="0.35">
      <c r="A3555" t="s">
        <v>45</v>
      </c>
      <c r="B3555" t="s">
        <v>7804</v>
      </c>
      <c r="C3555" t="s">
        <v>47</v>
      </c>
      <c r="D3555" t="s">
        <v>45</v>
      </c>
      <c r="E3555" t="s">
        <v>45</v>
      </c>
      <c r="F3555" t="s">
        <v>49</v>
      </c>
      <c r="G3555" t="s">
        <v>8183</v>
      </c>
      <c r="H3555" t="s">
        <v>8184</v>
      </c>
      <c r="J3555" t="str">
        <f>HYPERLINK("https://www.facebook.com/454965103328545/posts/763899692435083?comment_id=304686429268872&amp;reply_comment_id=1102674714077684","https://www.facebook.com/454965103328545/posts/763899692435083?comment_id=304686429268872&amp;reply_comment_id=1102674714077684")</f>
        <v>https://www.facebook.com/454965103328545/posts/763899692435083?comment_id=304686429268872&amp;reply_comment_id=1102674714077684</v>
      </c>
      <c r="O3555">
        <v>0</v>
      </c>
      <c r="P3555">
        <v>0</v>
      </c>
      <c r="Q3555">
        <v>0</v>
      </c>
      <c r="S3555">
        <v>0</v>
      </c>
      <c r="T3555">
        <v>0</v>
      </c>
      <c r="U3555">
        <v>0</v>
      </c>
      <c r="W3555" t="s">
        <v>62</v>
      </c>
    </row>
    <row r="3556" spans="1:42" x14ac:dyDescent="0.35">
      <c r="A3556" t="s">
        <v>45</v>
      </c>
      <c r="B3556" t="s">
        <v>7804</v>
      </c>
      <c r="C3556" t="s">
        <v>47</v>
      </c>
      <c r="D3556" t="s">
        <v>45</v>
      </c>
      <c r="E3556" t="s">
        <v>45</v>
      </c>
      <c r="F3556" t="s">
        <v>49</v>
      </c>
      <c r="G3556" t="s">
        <v>8185</v>
      </c>
      <c r="H3556" t="s">
        <v>8186</v>
      </c>
      <c r="J3556" t="str">
        <f>HYPERLINK("https://www.facebook.com/454965103328545/posts/763899692435083?comment_id=5411216819002429&amp;reply_comment_id=2123983444612360","https://www.facebook.com/454965103328545/posts/763899692435083?comment_id=5411216819002429&amp;reply_comment_id=2123983444612360")</f>
        <v>https://www.facebook.com/454965103328545/posts/763899692435083?comment_id=5411216819002429&amp;reply_comment_id=2123983444612360</v>
      </c>
      <c r="O3556">
        <v>0</v>
      </c>
      <c r="P3556">
        <v>0</v>
      </c>
      <c r="Q3556">
        <v>0</v>
      </c>
      <c r="S3556">
        <v>0</v>
      </c>
      <c r="T3556">
        <v>0</v>
      </c>
      <c r="U3556">
        <v>0</v>
      </c>
      <c r="W3556" t="s">
        <v>62</v>
      </c>
    </row>
    <row r="3557" spans="1:42" x14ac:dyDescent="0.35">
      <c r="A3557" t="s">
        <v>45</v>
      </c>
      <c r="B3557" t="s">
        <v>7804</v>
      </c>
      <c r="C3557" t="s">
        <v>47</v>
      </c>
      <c r="D3557" t="s">
        <v>45</v>
      </c>
      <c r="E3557" t="s">
        <v>45</v>
      </c>
      <c r="F3557" t="s">
        <v>49</v>
      </c>
      <c r="G3557" t="s">
        <v>8187</v>
      </c>
      <c r="H3557" t="s">
        <v>8188</v>
      </c>
      <c r="J3557" t="str">
        <f>HYPERLINK("https://www.facebook.com/454965103328545/videos/3697954183759550?comment_id=6758688497569067&amp;reply_comment_id=1118626302830885","https://www.facebook.com/454965103328545/videos/3697954183759550?comment_id=6758688497569067&amp;reply_comment_id=1118626302830885")</f>
        <v>https://www.facebook.com/454965103328545/videos/3697954183759550?comment_id=6758688497569067&amp;reply_comment_id=1118626302830885</v>
      </c>
      <c r="O3557">
        <v>0</v>
      </c>
      <c r="P3557">
        <v>0</v>
      </c>
      <c r="Q3557">
        <v>0</v>
      </c>
      <c r="S3557">
        <v>0</v>
      </c>
      <c r="T3557">
        <v>0</v>
      </c>
      <c r="U3557">
        <v>0</v>
      </c>
      <c r="W3557" t="s">
        <v>62</v>
      </c>
    </row>
    <row r="3558" spans="1:42" x14ac:dyDescent="0.35">
      <c r="A3558" t="s">
        <v>45</v>
      </c>
      <c r="B3558" t="s">
        <v>7804</v>
      </c>
      <c r="C3558" t="s">
        <v>47</v>
      </c>
      <c r="D3558" t="s">
        <v>45</v>
      </c>
      <c r="E3558" t="s">
        <v>45</v>
      </c>
      <c r="F3558" t="s">
        <v>49</v>
      </c>
      <c r="G3558" t="s">
        <v>7259</v>
      </c>
      <c r="H3558" t="s">
        <v>8189</v>
      </c>
      <c r="J3558" t="str">
        <f>HYPERLINK("https://www.facebook.com/454965103328545/posts/763871475771238?comment_id=344754785123274&amp;reply_comment_id=773207664834204","https://www.facebook.com/454965103328545/posts/763871475771238?comment_id=344754785123274&amp;reply_comment_id=773207664834204")</f>
        <v>https://www.facebook.com/454965103328545/posts/763871475771238?comment_id=344754785123274&amp;reply_comment_id=773207664834204</v>
      </c>
      <c r="O3558">
        <v>0</v>
      </c>
      <c r="P3558">
        <v>0</v>
      </c>
      <c r="Q3558">
        <v>0</v>
      </c>
      <c r="S3558">
        <v>0</v>
      </c>
      <c r="T3558">
        <v>0</v>
      </c>
      <c r="U3558">
        <v>0</v>
      </c>
      <c r="W3558" t="s">
        <v>62</v>
      </c>
    </row>
    <row r="3559" spans="1:42" x14ac:dyDescent="0.35">
      <c r="A3559" t="s">
        <v>45</v>
      </c>
      <c r="B3559" t="s">
        <v>7804</v>
      </c>
      <c r="C3559" t="s">
        <v>47</v>
      </c>
      <c r="D3559" t="s">
        <v>45</v>
      </c>
      <c r="E3559" t="s">
        <v>45</v>
      </c>
      <c r="F3559" t="s">
        <v>49</v>
      </c>
      <c r="G3559" t="s">
        <v>8190</v>
      </c>
      <c r="H3559" t="s">
        <v>8191</v>
      </c>
      <c r="J3559" t="str">
        <f>HYPERLINK("https://www.facebook.com/454965103328545/posts/763307319160987?comment_id=1440272473507148&amp;reply_comment_id=7144069902350357","https://www.facebook.com/454965103328545/posts/763307319160987?comment_id=1440272473507148&amp;reply_comment_id=7144069902350357")</f>
        <v>https://www.facebook.com/454965103328545/posts/763307319160987?comment_id=1440272473507148&amp;reply_comment_id=7144069902350357</v>
      </c>
      <c r="O3559">
        <v>0</v>
      </c>
      <c r="P3559">
        <v>0</v>
      </c>
      <c r="Q3559">
        <v>0</v>
      </c>
      <c r="S3559">
        <v>0</v>
      </c>
      <c r="T3559">
        <v>0</v>
      </c>
      <c r="U3559">
        <v>0</v>
      </c>
      <c r="W3559" t="s">
        <v>62</v>
      </c>
    </row>
    <row r="3560" spans="1:42" x14ac:dyDescent="0.35">
      <c r="A3560" t="s">
        <v>45</v>
      </c>
      <c r="B3560" t="s">
        <v>7804</v>
      </c>
      <c r="C3560" t="s">
        <v>47</v>
      </c>
      <c r="D3560" t="s">
        <v>8192</v>
      </c>
      <c r="E3560" t="s">
        <v>8192</v>
      </c>
      <c r="F3560" t="s">
        <v>49</v>
      </c>
      <c r="G3560" t="s">
        <v>8193</v>
      </c>
      <c r="H3560" t="s">
        <v>8194</v>
      </c>
      <c r="J3560" t="str">
        <f>HYPERLINK("https://www.facebook.com/454965103328545/videos/3697954183759550?comment_id=234836853014110","https://www.facebook.com/454965103328545/videos/3697954183759550?comment_id=234836853014110")</f>
        <v>https://www.facebook.com/454965103328545/videos/3697954183759550?comment_id=234836853014110</v>
      </c>
      <c r="O3560">
        <v>0</v>
      </c>
      <c r="P3560">
        <v>0</v>
      </c>
      <c r="Q3560">
        <v>0</v>
      </c>
      <c r="S3560">
        <v>0</v>
      </c>
      <c r="T3560">
        <v>0</v>
      </c>
      <c r="U3560">
        <v>0</v>
      </c>
      <c r="W3560" t="s">
        <v>62</v>
      </c>
    </row>
    <row r="3561" spans="1:42" x14ac:dyDescent="0.35">
      <c r="A3561" t="s">
        <v>45</v>
      </c>
      <c r="B3561" t="s">
        <v>7804</v>
      </c>
      <c r="C3561" t="s">
        <v>139</v>
      </c>
      <c r="D3561" t="s">
        <v>5888</v>
      </c>
      <c r="E3561" t="s">
        <v>5889</v>
      </c>
      <c r="F3561" t="s">
        <v>49</v>
      </c>
      <c r="G3561" t="s">
        <v>8195</v>
      </c>
      <c r="H3561" t="s">
        <v>8196</v>
      </c>
      <c r="J3561" t="str">
        <f>HYPERLINK("https://twitter.com/Priyankagangati/status/1753663312053645820","https://twitter.com/Priyankagangati/status/1753663312053645820")</f>
        <v>https://twitter.com/Priyankagangati/status/1753663312053645820</v>
      </c>
      <c r="K3561" t="s">
        <v>1769</v>
      </c>
      <c r="O3561">
        <v>0</v>
      </c>
      <c r="P3561">
        <v>0</v>
      </c>
      <c r="Q3561">
        <v>1</v>
      </c>
      <c r="R3561" t="s">
        <v>5892</v>
      </c>
      <c r="S3561">
        <v>0</v>
      </c>
      <c r="T3561">
        <v>0</v>
      </c>
      <c r="U3561">
        <v>0</v>
      </c>
      <c r="W3561" t="s">
        <v>146</v>
      </c>
    </row>
    <row r="3562" spans="1:42" x14ac:dyDescent="0.35">
      <c r="A3562" t="s">
        <v>45</v>
      </c>
      <c r="B3562" t="s">
        <v>7804</v>
      </c>
      <c r="C3562" t="s">
        <v>139</v>
      </c>
      <c r="D3562" t="s">
        <v>5888</v>
      </c>
      <c r="E3562" t="s">
        <v>5889</v>
      </c>
      <c r="F3562" t="s">
        <v>76</v>
      </c>
      <c r="G3562" t="s">
        <v>8197</v>
      </c>
      <c r="H3562" t="s">
        <v>8198</v>
      </c>
      <c r="J3562" t="str">
        <f>HYPERLINK("https://twitter.com/Priyankagangati/status/1753662666193690889","https://twitter.com/Priyankagangati/status/1753662666193690889")</f>
        <v>https://twitter.com/Priyankagangati/status/1753662666193690889</v>
      </c>
      <c r="K3562" t="s">
        <v>1769</v>
      </c>
      <c r="O3562">
        <v>0</v>
      </c>
      <c r="P3562">
        <v>0</v>
      </c>
      <c r="Q3562">
        <v>1</v>
      </c>
      <c r="R3562" t="s">
        <v>5892</v>
      </c>
      <c r="S3562">
        <v>0</v>
      </c>
      <c r="T3562">
        <v>0</v>
      </c>
      <c r="U3562">
        <v>0</v>
      </c>
      <c r="W3562" t="s">
        <v>146</v>
      </c>
    </row>
    <row r="3563" spans="1:42" x14ac:dyDescent="0.35">
      <c r="A3563" t="s">
        <v>45</v>
      </c>
      <c r="B3563" t="s">
        <v>7804</v>
      </c>
      <c r="C3563" t="s">
        <v>47</v>
      </c>
      <c r="D3563" t="s">
        <v>4488</v>
      </c>
      <c r="E3563" t="s">
        <v>4488</v>
      </c>
      <c r="F3563" t="s">
        <v>49</v>
      </c>
      <c r="G3563" t="s">
        <v>8199</v>
      </c>
      <c r="H3563" t="s">
        <v>8200</v>
      </c>
      <c r="J3563" t="str">
        <f>HYPERLINK("https://www.facebook.com/454965103328545/posts/762566475901738?comment_id=2363814924006271&amp;reply_comment_id=274639405456869","https://www.facebook.com/454965103328545/posts/762566475901738?comment_id=2363814924006271&amp;reply_comment_id=274639405456869")</f>
        <v>https://www.facebook.com/454965103328545/posts/762566475901738?comment_id=2363814924006271&amp;reply_comment_id=274639405456869</v>
      </c>
      <c r="O3563">
        <v>0</v>
      </c>
      <c r="P3563">
        <v>0</v>
      </c>
      <c r="Q3563">
        <v>0</v>
      </c>
      <c r="S3563">
        <v>0</v>
      </c>
      <c r="T3563">
        <v>0</v>
      </c>
      <c r="U3563">
        <v>0</v>
      </c>
      <c r="W3563" t="s">
        <v>62</v>
      </c>
    </row>
    <row r="3564" spans="1:42" x14ac:dyDescent="0.35">
      <c r="A3564" t="s">
        <v>45</v>
      </c>
      <c r="B3564" t="s">
        <v>7804</v>
      </c>
      <c r="C3564" t="s">
        <v>47</v>
      </c>
      <c r="D3564" t="s">
        <v>4488</v>
      </c>
      <c r="E3564" t="s">
        <v>4488</v>
      </c>
      <c r="F3564" t="s">
        <v>49</v>
      </c>
      <c r="G3564" t="s">
        <v>45</v>
      </c>
      <c r="H3564" t="s">
        <v>8201</v>
      </c>
      <c r="J3564" t="str">
        <f>HYPERLINK("https://www.facebook.com/454965103328545/posts/762566475901738?comment_id=2363814924006271&amp;reply_comment_id=1616979068835645","https://www.facebook.com/454965103328545/posts/762566475901738?comment_id=2363814924006271&amp;reply_comment_id=1616979068835645")</f>
        <v>https://www.facebook.com/454965103328545/posts/762566475901738?comment_id=2363814924006271&amp;reply_comment_id=1616979068835645</v>
      </c>
      <c r="O3564">
        <v>0</v>
      </c>
      <c r="P3564">
        <v>0</v>
      </c>
      <c r="Q3564">
        <v>0</v>
      </c>
      <c r="S3564">
        <v>0</v>
      </c>
      <c r="T3564">
        <v>0</v>
      </c>
      <c r="U3564">
        <v>0</v>
      </c>
      <c r="W3564" t="s">
        <v>62</v>
      </c>
    </row>
    <row r="3565" spans="1:42" x14ac:dyDescent="0.35">
      <c r="A3565" t="s">
        <v>45</v>
      </c>
      <c r="B3565" t="s">
        <v>7804</v>
      </c>
      <c r="C3565" t="s">
        <v>47</v>
      </c>
      <c r="D3565" t="s">
        <v>398</v>
      </c>
      <c r="E3565" t="s">
        <v>398</v>
      </c>
      <c r="F3565" t="s">
        <v>49</v>
      </c>
      <c r="G3565" t="s">
        <v>8202</v>
      </c>
      <c r="H3565" t="s">
        <v>8203</v>
      </c>
      <c r="J3565" t="str">
        <f>HYPERLINK("https://www.facebook.com/454965103328545/videos/3697954183759550?comment_id=1111686290151006","https://www.facebook.com/454965103328545/videos/3697954183759550?comment_id=1111686290151006")</f>
        <v>https://www.facebook.com/454965103328545/videos/3697954183759550?comment_id=1111686290151006</v>
      </c>
      <c r="O3565">
        <v>0</v>
      </c>
      <c r="P3565">
        <v>0</v>
      </c>
      <c r="Q3565">
        <v>0</v>
      </c>
      <c r="S3565">
        <v>0</v>
      </c>
      <c r="T3565">
        <v>0</v>
      </c>
      <c r="U3565">
        <v>0</v>
      </c>
      <c r="W3565" t="s">
        <v>62</v>
      </c>
    </row>
    <row r="3566" spans="1:42" x14ac:dyDescent="0.35">
      <c r="A3566" t="s">
        <v>45</v>
      </c>
      <c r="B3566" t="s">
        <v>7804</v>
      </c>
      <c r="C3566" t="s">
        <v>47</v>
      </c>
      <c r="D3566" t="s">
        <v>8204</v>
      </c>
      <c r="E3566" t="s">
        <v>8204</v>
      </c>
      <c r="F3566" t="s">
        <v>49</v>
      </c>
      <c r="G3566" t="s">
        <v>8205</v>
      </c>
      <c r="H3566" t="s">
        <v>8206</v>
      </c>
      <c r="J3566" t="str">
        <f>HYPERLINK("https://www.facebook.com/454965103328545/videos/3697954183759550?comment_id=366776359481968","https://www.facebook.com/454965103328545/videos/3697954183759550?comment_id=366776359481968")</f>
        <v>https://www.facebook.com/454965103328545/videos/3697954183759550?comment_id=366776359481968</v>
      </c>
      <c r="O3566">
        <v>0</v>
      </c>
      <c r="P3566">
        <v>0</v>
      </c>
      <c r="Q3566">
        <v>0</v>
      </c>
      <c r="S3566">
        <v>0</v>
      </c>
      <c r="T3566">
        <v>0</v>
      </c>
      <c r="U3566">
        <v>0</v>
      </c>
      <c r="W3566" t="s">
        <v>62</v>
      </c>
    </row>
    <row r="3567" spans="1:42" x14ac:dyDescent="0.35">
      <c r="A3567" t="s">
        <v>45</v>
      </c>
      <c r="B3567" t="s">
        <v>7804</v>
      </c>
      <c r="C3567" t="s">
        <v>139</v>
      </c>
      <c r="D3567" t="s">
        <v>1765</v>
      </c>
      <c r="E3567" t="s">
        <v>1766</v>
      </c>
      <c r="F3567" t="s">
        <v>49</v>
      </c>
      <c r="G3567" t="s">
        <v>8207</v>
      </c>
      <c r="H3567" t="s">
        <v>8208</v>
      </c>
      <c r="J3567" t="str">
        <f>HYPERLINK("https://twitter.com/PrincyG39657148/status/1753650830677627175","https://twitter.com/PrincyG39657148/status/1753650830677627175")</f>
        <v>https://twitter.com/PrincyG39657148/status/1753650830677627175</v>
      </c>
      <c r="K3567" t="s">
        <v>1769</v>
      </c>
      <c r="O3567">
        <v>0</v>
      </c>
      <c r="P3567">
        <v>0</v>
      </c>
      <c r="Q3567">
        <v>0</v>
      </c>
      <c r="S3567">
        <v>0</v>
      </c>
      <c r="T3567">
        <v>0</v>
      </c>
      <c r="U3567">
        <v>0</v>
      </c>
      <c r="W3567" t="s">
        <v>146</v>
      </c>
      <c r="AP3567" t="s">
        <v>147</v>
      </c>
    </row>
    <row r="3568" spans="1:42" x14ac:dyDescent="0.35">
      <c r="A3568" t="s">
        <v>45</v>
      </c>
      <c r="B3568" t="s">
        <v>7804</v>
      </c>
      <c r="C3568" t="s">
        <v>139</v>
      </c>
      <c r="D3568" t="s">
        <v>1765</v>
      </c>
      <c r="E3568" t="s">
        <v>1766</v>
      </c>
      <c r="F3568" t="s">
        <v>49</v>
      </c>
      <c r="G3568" t="s">
        <v>8209</v>
      </c>
      <c r="H3568" t="s">
        <v>8210</v>
      </c>
      <c r="J3568" t="str">
        <f>HYPERLINK("https://twitter.com/PrincyG39657148/status/1753649536537690343","https://twitter.com/PrincyG39657148/status/1753649536537690343")</f>
        <v>https://twitter.com/PrincyG39657148/status/1753649536537690343</v>
      </c>
      <c r="K3568" t="s">
        <v>1769</v>
      </c>
      <c r="O3568">
        <v>0</v>
      </c>
      <c r="P3568">
        <v>0</v>
      </c>
      <c r="Q3568">
        <v>0</v>
      </c>
      <c r="S3568">
        <v>0</v>
      </c>
      <c r="T3568">
        <v>0</v>
      </c>
      <c r="U3568">
        <v>0</v>
      </c>
      <c r="W3568" t="s">
        <v>146</v>
      </c>
    </row>
    <row r="3569" spans="1:42" x14ac:dyDescent="0.35">
      <c r="A3569" t="s">
        <v>45</v>
      </c>
      <c r="B3569" t="s">
        <v>7804</v>
      </c>
      <c r="C3569" t="s">
        <v>139</v>
      </c>
      <c r="D3569" t="s">
        <v>1765</v>
      </c>
      <c r="E3569" t="s">
        <v>1766</v>
      </c>
      <c r="F3569" t="s">
        <v>49</v>
      </c>
      <c r="G3569" t="s">
        <v>8211</v>
      </c>
      <c r="H3569" t="s">
        <v>8212</v>
      </c>
      <c r="J3569" t="str">
        <f>HYPERLINK("https://twitter.com/PrincyG39657148/status/1753648353081168186","https://twitter.com/PrincyG39657148/status/1753648353081168186")</f>
        <v>https://twitter.com/PrincyG39657148/status/1753648353081168186</v>
      </c>
      <c r="K3569" t="s">
        <v>1769</v>
      </c>
      <c r="O3569">
        <v>0</v>
      </c>
      <c r="P3569">
        <v>0</v>
      </c>
      <c r="Q3569">
        <v>0</v>
      </c>
      <c r="S3569">
        <v>0</v>
      </c>
      <c r="T3569">
        <v>0</v>
      </c>
      <c r="U3569">
        <v>0</v>
      </c>
      <c r="W3569" t="s">
        <v>146</v>
      </c>
    </row>
    <row r="3570" spans="1:42" x14ac:dyDescent="0.35">
      <c r="A3570" t="s">
        <v>45</v>
      </c>
      <c r="B3570" t="s">
        <v>7804</v>
      </c>
      <c r="C3570" t="s">
        <v>47</v>
      </c>
      <c r="D3570" t="s">
        <v>45</v>
      </c>
      <c r="E3570" t="s">
        <v>45</v>
      </c>
      <c r="F3570" t="s">
        <v>49</v>
      </c>
      <c r="G3570" t="s">
        <v>8213</v>
      </c>
      <c r="H3570" t="s">
        <v>8214</v>
      </c>
      <c r="J3570" t="str">
        <f>HYPERLINK("https://www.facebook.com/357267201017935/inbox/6993039450773977/","https://www.facebook.com/357267201017935/inbox/6993039450773977/")</f>
        <v>https://www.facebook.com/357267201017935/inbox/6993039450773977/</v>
      </c>
      <c r="O3570">
        <v>0</v>
      </c>
      <c r="P3570">
        <v>0</v>
      </c>
      <c r="Q3570">
        <v>0</v>
      </c>
      <c r="S3570">
        <v>0</v>
      </c>
      <c r="T3570">
        <v>0</v>
      </c>
      <c r="U3570">
        <v>0</v>
      </c>
      <c r="W3570" t="s">
        <v>52</v>
      </c>
    </row>
    <row r="3571" spans="1:42" x14ac:dyDescent="0.35">
      <c r="A3571" t="s">
        <v>45</v>
      </c>
      <c r="B3571" t="s">
        <v>7804</v>
      </c>
      <c r="C3571" t="s">
        <v>47</v>
      </c>
      <c r="D3571" t="s">
        <v>45</v>
      </c>
      <c r="E3571" t="s">
        <v>45</v>
      </c>
      <c r="F3571" t="s">
        <v>49</v>
      </c>
      <c r="G3571" t="s">
        <v>8215</v>
      </c>
      <c r="H3571" t="s">
        <v>8216</v>
      </c>
      <c r="J3571" t="str">
        <f>HYPERLINK("https://www.facebook.com/357267201017935/inbox/6993082964102959/","https://www.facebook.com/357267201017935/inbox/6993082964102959/")</f>
        <v>https://www.facebook.com/357267201017935/inbox/6993082964102959/</v>
      </c>
      <c r="O3571">
        <v>0</v>
      </c>
      <c r="P3571">
        <v>0</v>
      </c>
      <c r="Q3571">
        <v>0</v>
      </c>
      <c r="S3571">
        <v>0</v>
      </c>
      <c r="T3571">
        <v>0</v>
      </c>
      <c r="U3571">
        <v>0</v>
      </c>
      <c r="W3571" t="s">
        <v>52</v>
      </c>
    </row>
    <row r="3572" spans="1:42" x14ac:dyDescent="0.35">
      <c r="A3572" t="s">
        <v>45</v>
      </c>
      <c r="B3572" t="s">
        <v>7804</v>
      </c>
      <c r="C3572" t="s">
        <v>47</v>
      </c>
      <c r="D3572" t="s">
        <v>45</v>
      </c>
      <c r="E3572" t="s">
        <v>45</v>
      </c>
      <c r="F3572" t="s">
        <v>49</v>
      </c>
      <c r="G3572" t="s">
        <v>8217</v>
      </c>
      <c r="H3572" t="s">
        <v>8218</v>
      </c>
      <c r="J3572" t="str">
        <f>HYPERLINK("https://www.facebook.com/454965103328545/videos/3697954183759550?comment_id=1323534488364950&amp;reply_comment_id=1104442530552922","https://www.facebook.com/454965103328545/videos/3697954183759550?comment_id=1323534488364950&amp;reply_comment_id=1104442530552922")</f>
        <v>https://www.facebook.com/454965103328545/videos/3697954183759550?comment_id=1323534488364950&amp;reply_comment_id=1104442530552922</v>
      </c>
      <c r="O3572">
        <v>0</v>
      </c>
      <c r="P3572">
        <v>0</v>
      </c>
      <c r="Q3572">
        <v>0</v>
      </c>
      <c r="S3572">
        <v>0</v>
      </c>
      <c r="T3572">
        <v>0</v>
      </c>
      <c r="U3572">
        <v>0</v>
      </c>
      <c r="W3572" t="s">
        <v>62</v>
      </c>
    </row>
    <row r="3573" spans="1:42" x14ac:dyDescent="0.35">
      <c r="A3573" t="s">
        <v>45</v>
      </c>
      <c r="B3573" t="s">
        <v>7804</v>
      </c>
      <c r="C3573" t="s">
        <v>47</v>
      </c>
      <c r="D3573" t="s">
        <v>45</v>
      </c>
      <c r="E3573" t="s">
        <v>45</v>
      </c>
      <c r="F3573" t="s">
        <v>49</v>
      </c>
      <c r="G3573" t="s">
        <v>8219</v>
      </c>
      <c r="H3573" t="s">
        <v>8220</v>
      </c>
      <c r="J3573" t="str">
        <f>HYPERLINK("https://www.facebook.com/454965103328545/posts/763899692435083?comment_id=925771029177616&amp;reply_comment_id=741077327972552","https://www.facebook.com/454965103328545/posts/763899692435083?comment_id=925771029177616&amp;reply_comment_id=741077327972552")</f>
        <v>https://www.facebook.com/454965103328545/posts/763899692435083?comment_id=925771029177616&amp;reply_comment_id=741077327972552</v>
      </c>
      <c r="O3573">
        <v>0</v>
      </c>
      <c r="P3573">
        <v>0</v>
      </c>
      <c r="Q3573">
        <v>0</v>
      </c>
      <c r="S3573">
        <v>0</v>
      </c>
      <c r="T3573">
        <v>0</v>
      </c>
      <c r="U3573">
        <v>0</v>
      </c>
      <c r="W3573" t="s">
        <v>62</v>
      </c>
    </row>
    <row r="3574" spans="1:42" x14ac:dyDescent="0.35">
      <c r="A3574" t="s">
        <v>45</v>
      </c>
      <c r="B3574" t="s">
        <v>7804</v>
      </c>
      <c r="C3574" t="s">
        <v>47</v>
      </c>
      <c r="D3574" t="s">
        <v>8221</v>
      </c>
      <c r="E3574" t="s">
        <v>8221</v>
      </c>
      <c r="F3574" t="s">
        <v>49</v>
      </c>
      <c r="G3574" t="s">
        <v>8222</v>
      </c>
      <c r="H3574" t="s">
        <v>8223</v>
      </c>
      <c r="J3574" t="str">
        <f>HYPERLINK("https://www.facebook.com/454965103328545/videos/3697954183759550?comment_id=695279299459585","https://www.facebook.com/454965103328545/videos/3697954183759550?comment_id=695279299459585")</f>
        <v>https://www.facebook.com/454965103328545/videos/3697954183759550?comment_id=695279299459585</v>
      </c>
      <c r="O3574">
        <v>0</v>
      </c>
      <c r="P3574">
        <v>0</v>
      </c>
      <c r="Q3574">
        <v>0</v>
      </c>
      <c r="S3574">
        <v>0</v>
      </c>
      <c r="T3574">
        <v>0</v>
      </c>
      <c r="U3574">
        <v>0</v>
      </c>
      <c r="W3574" t="s">
        <v>62</v>
      </c>
    </row>
    <row r="3575" spans="1:42" x14ac:dyDescent="0.35">
      <c r="A3575" t="s">
        <v>45</v>
      </c>
      <c r="B3575" t="s">
        <v>7804</v>
      </c>
      <c r="C3575" t="s">
        <v>47</v>
      </c>
      <c r="D3575" t="s">
        <v>8221</v>
      </c>
      <c r="E3575" t="s">
        <v>8221</v>
      </c>
      <c r="F3575" t="s">
        <v>49</v>
      </c>
      <c r="G3575" t="s">
        <v>7706</v>
      </c>
      <c r="H3575" t="s">
        <v>8224</v>
      </c>
      <c r="J3575" t="str">
        <f>HYPERLINK("https://www.facebook.com/454965103328545/videos/3697954183759550?comment_id=746482257430640","https://www.facebook.com/454965103328545/videos/3697954183759550?comment_id=746482257430640")</f>
        <v>https://www.facebook.com/454965103328545/videos/3697954183759550?comment_id=746482257430640</v>
      </c>
      <c r="O3575">
        <v>0</v>
      </c>
      <c r="P3575">
        <v>0</v>
      </c>
      <c r="Q3575">
        <v>0</v>
      </c>
      <c r="S3575">
        <v>0</v>
      </c>
      <c r="T3575">
        <v>0</v>
      </c>
      <c r="U3575">
        <v>0</v>
      </c>
      <c r="W3575" t="s">
        <v>62</v>
      </c>
    </row>
    <row r="3576" spans="1:42" x14ac:dyDescent="0.35">
      <c r="A3576" t="s">
        <v>45</v>
      </c>
      <c r="B3576" t="s">
        <v>7804</v>
      </c>
      <c r="C3576" t="s">
        <v>47</v>
      </c>
      <c r="D3576" t="s">
        <v>45</v>
      </c>
      <c r="E3576" t="s">
        <v>45</v>
      </c>
      <c r="F3576" t="s">
        <v>49</v>
      </c>
      <c r="G3576" t="s">
        <v>8225</v>
      </c>
      <c r="H3576" t="s">
        <v>8226</v>
      </c>
      <c r="J3576" t="str">
        <f>HYPERLINK("https://www.facebook.com/357267201017935/inbox/6993220304089225/","https://www.facebook.com/357267201017935/inbox/6993220304089225/")</f>
        <v>https://www.facebook.com/357267201017935/inbox/6993220304089225/</v>
      </c>
      <c r="O3576">
        <v>0</v>
      </c>
      <c r="P3576">
        <v>0</v>
      </c>
      <c r="Q3576">
        <v>0</v>
      </c>
      <c r="S3576">
        <v>0</v>
      </c>
      <c r="T3576">
        <v>0</v>
      </c>
      <c r="U3576">
        <v>0</v>
      </c>
      <c r="W3576" t="s">
        <v>52</v>
      </c>
    </row>
    <row r="3577" spans="1:42" x14ac:dyDescent="0.35">
      <c r="A3577" t="s">
        <v>45</v>
      </c>
      <c r="B3577" t="s">
        <v>7804</v>
      </c>
      <c r="C3577" t="s">
        <v>47</v>
      </c>
      <c r="D3577" t="s">
        <v>8227</v>
      </c>
      <c r="E3577" t="s">
        <v>8227</v>
      </c>
      <c r="F3577" t="s">
        <v>49</v>
      </c>
      <c r="G3577" t="s">
        <v>8228</v>
      </c>
      <c r="H3577" t="s">
        <v>8229</v>
      </c>
      <c r="J3577" t="str">
        <f>HYPERLINK("https://www.facebook.com/454965103328545/videos/3697954183759550?comment_id=950569386492013","https://www.facebook.com/454965103328545/videos/3697954183759550?comment_id=950569386492013")</f>
        <v>https://www.facebook.com/454965103328545/videos/3697954183759550?comment_id=950569386492013</v>
      </c>
      <c r="O3577">
        <v>0</v>
      </c>
      <c r="P3577">
        <v>0</v>
      </c>
      <c r="Q3577">
        <v>0</v>
      </c>
      <c r="S3577">
        <v>0</v>
      </c>
      <c r="T3577">
        <v>0</v>
      </c>
      <c r="U3577">
        <v>0</v>
      </c>
      <c r="W3577" t="s">
        <v>62</v>
      </c>
      <c r="AP3577" t="s">
        <v>101</v>
      </c>
    </row>
    <row r="3578" spans="1:42" x14ac:dyDescent="0.35">
      <c r="A3578" t="s">
        <v>45</v>
      </c>
      <c r="B3578" t="s">
        <v>7804</v>
      </c>
      <c r="C3578" t="s">
        <v>47</v>
      </c>
      <c r="D3578" t="s">
        <v>45</v>
      </c>
      <c r="E3578" t="s">
        <v>45</v>
      </c>
      <c r="F3578" t="s">
        <v>49</v>
      </c>
      <c r="G3578" t="s">
        <v>8230</v>
      </c>
      <c r="H3578" t="s">
        <v>8231</v>
      </c>
      <c r="J3578" t="str">
        <f>HYPERLINK("https://www.facebook.com/454965103328545/posts/762566475901738?comment_id=2363814924006271&amp;reply_comment_id=929654098756409","https://www.facebook.com/454965103328545/posts/762566475901738?comment_id=2363814924006271&amp;reply_comment_id=929654098756409")</f>
        <v>https://www.facebook.com/454965103328545/posts/762566475901738?comment_id=2363814924006271&amp;reply_comment_id=929654098756409</v>
      </c>
      <c r="O3578">
        <v>0</v>
      </c>
      <c r="P3578">
        <v>0</v>
      </c>
      <c r="Q3578">
        <v>0</v>
      </c>
      <c r="S3578">
        <v>0</v>
      </c>
      <c r="T3578">
        <v>0</v>
      </c>
      <c r="U3578">
        <v>0</v>
      </c>
      <c r="W3578" t="s">
        <v>62</v>
      </c>
    </row>
    <row r="3579" spans="1:42" x14ac:dyDescent="0.35">
      <c r="A3579" t="s">
        <v>45</v>
      </c>
      <c r="B3579" t="s">
        <v>7804</v>
      </c>
      <c r="C3579" t="s">
        <v>47</v>
      </c>
      <c r="D3579" t="s">
        <v>45</v>
      </c>
      <c r="E3579" t="s">
        <v>45</v>
      </c>
      <c r="F3579" t="s">
        <v>49</v>
      </c>
      <c r="G3579" t="s">
        <v>8232</v>
      </c>
      <c r="H3579" t="s">
        <v>8233</v>
      </c>
      <c r="J3579" t="str">
        <f>HYPERLINK("https://www.facebook.com/454965103328545/videos/3697954183759550?comment_id=1084731716004705&amp;reply_comment_id=1034095860998307","https://www.facebook.com/454965103328545/videos/3697954183759550?comment_id=1084731716004705&amp;reply_comment_id=1034095860998307")</f>
        <v>https://www.facebook.com/454965103328545/videos/3697954183759550?comment_id=1084731716004705&amp;reply_comment_id=1034095860998307</v>
      </c>
      <c r="O3579">
        <v>0</v>
      </c>
      <c r="P3579">
        <v>0</v>
      </c>
      <c r="Q3579">
        <v>0</v>
      </c>
      <c r="S3579">
        <v>0</v>
      </c>
      <c r="T3579">
        <v>0</v>
      </c>
      <c r="U3579">
        <v>0</v>
      </c>
      <c r="W3579" t="s">
        <v>62</v>
      </c>
    </row>
    <row r="3580" spans="1:42" x14ac:dyDescent="0.35">
      <c r="A3580" t="s">
        <v>45</v>
      </c>
      <c r="B3580" t="s">
        <v>7804</v>
      </c>
      <c r="C3580" t="s">
        <v>47</v>
      </c>
      <c r="D3580" t="s">
        <v>45</v>
      </c>
      <c r="E3580" t="s">
        <v>45</v>
      </c>
      <c r="F3580" t="s">
        <v>49</v>
      </c>
      <c r="G3580" t="s">
        <v>8234</v>
      </c>
      <c r="H3580" t="s">
        <v>8235</v>
      </c>
      <c r="J3580" t="str">
        <f>HYPERLINK("https://www.facebook.com/454965103328545/posts/763307319160987?comment_id=1110730223399853&amp;reply_comment_id=886334399651527","https://www.facebook.com/454965103328545/posts/763307319160987?comment_id=1110730223399853&amp;reply_comment_id=886334399651527")</f>
        <v>https://www.facebook.com/454965103328545/posts/763307319160987?comment_id=1110730223399853&amp;reply_comment_id=886334399651527</v>
      </c>
      <c r="O3580">
        <v>0</v>
      </c>
      <c r="P3580">
        <v>0</v>
      </c>
      <c r="Q3580">
        <v>0</v>
      </c>
      <c r="S3580">
        <v>0</v>
      </c>
      <c r="T3580">
        <v>0</v>
      </c>
      <c r="U3580">
        <v>0</v>
      </c>
      <c r="W3580" t="s">
        <v>62</v>
      </c>
    </row>
    <row r="3581" spans="1:42" x14ac:dyDescent="0.35">
      <c r="A3581" t="s">
        <v>45</v>
      </c>
      <c r="B3581" t="s">
        <v>7804</v>
      </c>
      <c r="C3581" t="s">
        <v>47</v>
      </c>
      <c r="D3581" t="s">
        <v>45</v>
      </c>
      <c r="E3581" t="s">
        <v>45</v>
      </c>
      <c r="F3581" t="s">
        <v>49</v>
      </c>
      <c r="G3581" t="s">
        <v>8236</v>
      </c>
      <c r="H3581" t="s">
        <v>8237</v>
      </c>
      <c r="J3581" t="str">
        <f>HYPERLINK("https://www.facebook.com/454965103328545/videos/3697954183759550?comment_id=300204953056004&amp;reply_comment_id=1128693921381693","https://www.facebook.com/454965103328545/videos/3697954183759550?comment_id=300204953056004&amp;reply_comment_id=1128693921381693")</f>
        <v>https://www.facebook.com/454965103328545/videos/3697954183759550?comment_id=300204953056004&amp;reply_comment_id=1128693921381693</v>
      </c>
      <c r="O3581">
        <v>0</v>
      </c>
      <c r="P3581">
        <v>0</v>
      </c>
      <c r="Q3581">
        <v>0</v>
      </c>
      <c r="S3581">
        <v>0</v>
      </c>
      <c r="T3581">
        <v>0</v>
      </c>
      <c r="U3581">
        <v>0</v>
      </c>
      <c r="W3581" t="s">
        <v>62</v>
      </c>
    </row>
    <row r="3582" spans="1:42" x14ac:dyDescent="0.35">
      <c r="A3582" t="s">
        <v>45</v>
      </c>
      <c r="B3582" t="s">
        <v>7804</v>
      </c>
      <c r="C3582" t="s">
        <v>47</v>
      </c>
      <c r="D3582" t="s">
        <v>45</v>
      </c>
      <c r="E3582" t="s">
        <v>45</v>
      </c>
      <c r="F3582" t="s">
        <v>49</v>
      </c>
      <c r="G3582" t="s">
        <v>8238</v>
      </c>
      <c r="H3582" t="s">
        <v>8239</v>
      </c>
      <c r="J3582" t="str">
        <f>HYPERLINK("https://www.facebook.com/454965103328545/videos/3697954183759550?comment_id=757207193096633&amp;reply_comment_id=368377315830329","https://www.facebook.com/454965103328545/videos/3697954183759550?comment_id=757207193096633&amp;reply_comment_id=368377315830329")</f>
        <v>https://www.facebook.com/454965103328545/videos/3697954183759550?comment_id=757207193096633&amp;reply_comment_id=368377315830329</v>
      </c>
      <c r="O3582">
        <v>0</v>
      </c>
      <c r="P3582">
        <v>0</v>
      </c>
      <c r="Q3582">
        <v>0</v>
      </c>
      <c r="S3582">
        <v>0</v>
      </c>
      <c r="T3582">
        <v>0</v>
      </c>
      <c r="U3582">
        <v>0</v>
      </c>
      <c r="W3582" t="s">
        <v>62</v>
      </c>
    </row>
    <row r="3583" spans="1:42" x14ac:dyDescent="0.35">
      <c r="A3583" t="s">
        <v>45</v>
      </c>
      <c r="B3583" t="s">
        <v>7804</v>
      </c>
      <c r="C3583" t="s">
        <v>47</v>
      </c>
      <c r="D3583" t="s">
        <v>45</v>
      </c>
      <c r="E3583" t="s">
        <v>45</v>
      </c>
      <c r="F3583" t="s">
        <v>49</v>
      </c>
      <c r="G3583" t="s">
        <v>8240</v>
      </c>
      <c r="H3583" t="s">
        <v>8241</v>
      </c>
      <c r="J3583" t="str">
        <f>HYPERLINK("https://www.facebook.com/357267201017935/inbox/6993654830712439/","https://www.facebook.com/357267201017935/inbox/6993654830712439/")</f>
        <v>https://www.facebook.com/357267201017935/inbox/6993654830712439/</v>
      </c>
      <c r="O3583">
        <v>0</v>
      </c>
      <c r="P3583">
        <v>0</v>
      </c>
      <c r="Q3583">
        <v>0</v>
      </c>
      <c r="S3583">
        <v>0</v>
      </c>
      <c r="T3583">
        <v>0</v>
      </c>
      <c r="U3583">
        <v>0</v>
      </c>
      <c r="W3583" t="s">
        <v>52</v>
      </c>
    </row>
    <row r="3584" spans="1:42" x14ac:dyDescent="0.35">
      <c r="A3584" t="s">
        <v>45</v>
      </c>
      <c r="B3584" t="s">
        <v>7804</v>
      </c>
      <c r="C3584" t="s">
        <v>47</v>
      </c>
      <c r="D3584" t="s">
        <v>45</v>
      </c>
      <c r="E3584" t="s">
        <v>45</v>
      </c>
      <c r="F3584" t="s">
        <v>49</v>
      </c>
      <c r="G3584" t="s">
        <v>8242</v>
      </c>
      <c r="H3584" t="s">
        <v>8243</v>
      </c>
      <c r="J3584" t="str">
        <f>HYPERLINK("https://www.facebook.com/454965103328545/posts/763871475771238?comment_id=919056742800166&amp;reply_comment_id=1075199447071493","https://www.facebook.com/454965103328545/posts/763871475771238?comment_id=919056742800166&amp;reply_comment_id=1075199447071493")</f>
        <v>https://www.facebook.com/454965103328545/posts/763871475771238?comment_id=919056742800166&amp;reply_comment_id=1075199447071493</v>
      </c>
      <c r="O3584">
        <v>0</v>
      </c>
      <c r="P3584">
        <v>0</v>
      </c>
      <c r="Q3584">
        <v>0</v>
      </c>
      <c r="S3584">
        <v>0</v>
      </c>
      <c r="T3584">
        <v>0</v>
      </c>
      <c r="U3584">
        <v>0</v>
      </c>
      <c r="W3584" t="s">
        <v>62</v>
      </c>
    </row>
    <row r="3585" spans="1:45" x14ac:dyDescent="0.35">
      <c r="A3585" t="s">
        <v>45</v>
      </c>
      <c r="B3585" t="s">
        <v>7804</v>
      </c>
      <c r="C3585" t="s">
        <v>47</v>
      </c>
      <c r="D3585" t="s">
        <v>45</v>
      </c>
      <c r="E3585" t="s">
        <v>45</v>
      </c>
      <c r="F3585" t="s">
        <v>49</v>
      </c>
      <c r="G3585" t="s">
        <v>8244</v>
      </c>
      <c r="H3585" t="s">
        <v>8245</v>
      </c>
      <c r="J3585" t="str">
        <f>HYPERLINK("https://www.facebook.com/454965103328545/videos/3697954183759550?comment_id=1127650511562602&amp;reply_comment_id=1643403239524108","https://www.facebook.com/454965103328545/videos/3697954183759550?comment_id=1127650511562602&amp;reply_comment_id=1643403239524108")</f>
        <v>https://www.facebook.com/454965103328545/videos/3697954183759550?comment_id=1127650511562602&amp;reply_comment_id=1643403239524108</v>
      </c>
      <c r="O3585">
        <v>0</v>
      </c>
      <c r="P3585">
        <v>0</v>
      </c>
      <c r="Q3585">
        <v>0</v>
      </c>
      <c r="S3585">
        <v>0</v>
      </c>
      <c r="T3585">
        <v>0</v>
      </c>
      <c r="U3585">
        <v>0</v>
      </c>
      <c r="W3585" t="s">
        <v>62</v>
      </c>
    </row>
    <row r="3586" spans="1:45" x14ac:dyDescent="0.35">
      <c r="A3586" t="s">
        <v>45</v>
      </c>
      <c r="B3586" t="s">
        <v>7804</v>
      </c>
      <c r="C3586" t="s">
        <v>47</v>
      </c>
      <c r="D3586" t="s">
        <v>6710</v>
      </c>
      <c r="E3586" t="s">
        <v>6710</v>
      </c>
      <c r="F3586" t="s">
        <v>49</v>
      </c>
      <c r="G3586" t="s">
        <v>8246</v>
      </c>
      <c r="H3586" t="s">
        <v>8247</v>
      </c>
      <c r="J3586" t="str">
        <f>HYPERLINK("https://www.facebook.com/357267201017935/inbox/6743898455688079/","https://www.facebook.com/357267201017935/inbox/6743898455688079/")</f>
        <v>https://www.facebook.com/357267201017935/inbox/6743898455688079/</v>
      </c>
      <c r="O3586">
        <v>0</v>
      </c>
      <c r="P3586">
        <v>0</v>
      </c>
      <c r="Q3586">
        <v>0</v>
      </c>
      <c r="S3586">
        <v>0</v>
      </c>
      <c r="T3586">
        <v>0</v>
      </c>
      <c r="U3586">
        <v>0</v>
      </c>
      <c r="W3586" t="s">
        <v>52</v>
      </c>
    </row>
    <row r="3587" spans="1:45" x14ac:dyDescent="0.35">
      <c r="A3587" t="s">
        <v>45</v>
      </c>
      <c r="B3587" t="s">
        <v>7804</v>
      </c>
      <c r="C3587" t="s">
        <v>47</v>
      </c>
      <c r="D3587" t="s">
        <v>45</v>
      </c>
      <c r="E3587" t="s">
        <v>45</v>
      </c>
      <c r="F3587" t="s">
        <v>49</v>
      </c>
      <c r="G3587" t="s">
        <v>8248</v>
      </c>
      <c r="H3587" t="s">
        <v>8249</v>
      </c>
      <c r="J3587" t="str">
        <f>HYPERLINK("https://www.facebook.com/454965103328545/videos/3697954183759550?comment_id=426296206497363&amp;reply_comment_id=2372979579757110","https://www.facebook.com/454965103328545/videos/3697954183759550?comment_id=426296206497363&amp;reply_comment_id=2372979579757110")</f>
        <v>https://www.facebook.com/454965103328545/videos/3697954183759550?comment_id=426296206497363&amp;reply_comment_id=2372979579757110</v>
      </c>
      <c r="O3587">
        <v>0</v>
      </c>
      <c r="P3587">
        <v>0</v>
      </c>
      <c r="Q3587">
        <v>0</v>
      </c>
      <c r="S3587">
        <v>0</v>
      </c>
      <c r="T3587">
        <v>0</v>
      </c>
      <c r="U3587">
        <v>0</v>
      </c>
      <c r="W3587" t="s">
        <v>62</v>
      </c>
    </row>
    <row r="3588" spans="1:45" x14ac:dyDescent="0.35">
      <c r="A3588" t="s">
        <v>45</v>
      </c>
      <c r="B3588" t="s">
        <v>7804</v>
      </c>
      <c r="C3588" t="s">
        <v>47</v>
      </c>
      <c r="D3588" t="s">
        <v>45</v>
      </c>
      <c r="E3588" t="s">
        <v>45</v>
      </c>
      <c r="F3588" t="s">
        <v>49</v>
      </c>
      <c r="G3588" t="s">
        <v>8250</v>
      </c>
      <c r="H3588" t="s">
        <v>8251</v>
      </c>
      <c r="J3588" t="str">
        <f>HYPERLINK("https://www.facebook.com/454965103328545/posts/763899692435083?comment_id=2058874324483110&amp;reply_comment_id=1312935616046758","https://www.facebook.com/454965103328545/posts/763899692435083?comment_id=2058874324483110&amp;reply_comment_id=1312935616046758")</f>
        <v>https://www.facebook.com/454965103328545/posts/763899692435083?comment_id=2058874324483110&amp;reply_comment_id=1312935616046758</v>
      </c>
      <c r="O3588">
        <v>0</v>
      </c>
      <c r="P3588">
        <v>0</v>
      </c>
      <c r="Q3588">
        <v>0</v>
      </c>
      <c r="S3588">
        <v>0</v>
      </c>
      <c r="T3588">
        <v>0</v>
      </c>
      <c r="U3588">
        <v>0</v>
      </c>
      <c r="W3588" t="s">
        <v>62</v>
      </c>
    </row>
    <row r="3589" spans="1:45" x14ac:dyDescent="0.35">
      <c r="A3589" t="s">
        <v>45</v>
      </c>
      <c r="B3589" t="s">
        <v>7804</v>
      </c>
      <c r="C3589" t="s">
        <v>47</v>
      </c>
      <c r="D3589" t="s">
        <v>6710</v>
      </c>
      <c r="E3589" t="s">
        <v>6710</v>
      </c>
      <c r="F3589" t="s">
        <v>76</v>
      </c>
      <c r="G3589" t="s">
        <v>6727</v>
      </c>
      <c r="H3589" t="s">
        <v>8252</v>
      </c>
      <c r="J3589" t="str">
        <f>HYPERLINK("https://www.facebook.com/357267201017935/inbox/6743898455688079/","https://www.facebook.com/357267201017935/inbox/6743898455688079/")</f>
        <v>https://www.facebook.com/357267201017935/inbox/6743898455688079/</v>
      </c>
      <c r="O3589">
        <v>0</v>
      </c>
      <c r="P3589">
        <v>0</v>
      </c>
      <c r="Q3589">
        <v>0</v>
      </c>
      <c r="S3589">
        <v>0</v>
      </c>
      <c r="T3589">
        <v>0</v>
      </c>
      <c r="U3589">
        <v>0</v>
      </c>
      <c r="W3589" t="s">
        <v>52</v>
      </c>
    </row>
    <row r="3590" spans="1:45" x14ac:dyDescent="0.35">
      <c r="A3590" t="s">
        <v>45</v>
      </c>
      <c r="B3590" t="s">
        <v>7804</v>
      </c>
      <c r="C3590" t="s">
        <v>47</v>
      </c>
      <c r="D3590" t="s">
        <v>6710</v>
      </c>
      <c r="E3590" t="s">
        <v>6710</v>
      </c>
      <c r="F3590" t="s">
        <v>49</v>
      </c>
      <c r="G3590" t="s">
        <v>253</v>
      </c>
      <c r="H3590" t="s">
        <v>8253</v>
      </c>
      <c r="J3590" t="str">
        <f>HYPERLINK("https://www.facebook.com/357267201017935/inbox/6743898455688079/","https://www.facebook.com/357267201017935/inbox/6743898455688079/")</f>
        <v>https://www.facebook.com/357267201017935/inbox/6743898455688079/</v>
      </c>
      <c r="O3590">
        <v>0</v>
      </c>
      <c r="P3590">
        <v>0</v>
      </c>
      <c r="Q3590">
        <v>0</v>
      </c>
      <c r="S3590">
        <v>0</v>
      </c>
      <c r="T3590">
        <v>0</v>
      </c>
      <c r="U3590">
        <v>0</v>
      </c>
      <c r="W3590" t="s">
        <v>52</v>
      </c>
    </row>
    <row r="3591" spans="1:45" x14ac:dyDescent="0.35">
      <c r="A3591" t="s">
        <v>45</v>
      </c>
      <c r="B3591" t="s">
        <v>7804</v>
      </c>
      <c r="C3591" t="s">
        <v>47</v>
      </c>
      <c r="D3591" t="s">
        <v>45</v>
      </c>
      <c r="E3591" t="s">
        <v>45</v>
      </c>
      <c r="F3591" t="s">
        <v>49</v>
      </c>
      <c r="G3591" t="s">
        <v>8254</v>
      </c>
      <c r="H3591" t="s">
        <v>8255</v>
      </c>
      <c r="J3591" t="str">
        <f>HYPERLINK("https://www.facebook.com/454965103328545/posts/744159567742429?comment_id=306195102443645&amp;reply_comment_id=239172529239416","https://www.facebook.com/454965103328545/posts/744159567742429?comment_id=306195102443645&amp;reply_comment_id=239172529239416")</f>
        <v>https://www.facebook.com/454965103328545/posts/744159567742429?comment_id=306195102443645&amp;reply_comment_id=239172529239416</v>
      </c>
      <c r="O3591">
        <v>0</v>
      </c>
      <c r="P3591">
        <v>0</v>
      </c>
      <c r="Q3591">
        <v>0</v>
      </c>
      <c r="S3591">
        <v>0</v>
      </c>
      <c r="T3591">
        <v>0</v>
      </c>
      <c r="U3591">
        <v>0</v>
      </c>
      <c r="W3591" t="s">
        <v>62</v>
      </c>
    </row>
    <row r="3592" spans="1:45" x14ac:dyDescent="0.35">
      <c r="A3592" t="s">
        <v>45</v>
      </c>
      <c r="B3592" t="s">
        <v>7804</v>
      </c>
      <c r="C3592" t="s">
        <v>47</v>
      </c>
      <c r="D3592" t="s">
        <v>6710</v>
      </c>
      <c r="E3592" t="s">
        <v>6710</v>
      </c>
      <c r="F3592" t="s">
        <v>49</v>
      </c>
      <c r="G3592" t="s">
        <v>8256</v>
      </c>
      <c r="H3592" t="s">
        <v>8257</v>
      </c>
      <c r="J3592" t="str">
        <f>HYPERLINK("https://www.facebook.com/357267201017935/inbox/6743898455688079/","https://www.facebook.com/357267201017935/inbox/6743898455688079/")</f>
        <v>https://www.facebook.com/357267201017935/inbox/6743898455688079/</v>
      </c>
      <c r="O3592">
        <v>0</v>
      </c>
      <c r="P3592">
        <v>0</v>
      </c>
      <c r="Q3592">
        <v>0</v>
      </c>
      <c r="S3592">
        <v>0</v>
      </c>
      <c r="T3592">
        <v>0</v>
      </c>
      <c r="U3592">
        <v>0</v>
      </c>
      <c r="W3592" t="s">
        <v>52</v>
      </c>
    </row>
    <row r="3593" spans="1:45" x14ac:dyDescent="0.35">
      <c r="A3593" t="s">
        <v>45</v>
      </c>
      <c r="B3593" t="s">
        <v>7804</v>
      </c>
      <c r="C3593" t="s">
        <v>139</v>
      </c>
      <c r="D3593" t="s">
        <v>190</v>
      </c>
      <c r="E3593" t="s">
        <v>45</v>
      </c>
      <c r="F3593" t="s">
        <v>49</v>
      </c>
      <c r="G3593" t="s">
        <v>8258</v>
      </c>
      <c r="H3593" t="s">
        <v>8259</v>
      </c>
      <c r="J3593" t="str">
        <f>HYPERLINK("https://twitter.com/FinoPaymntsBank/status/1753636839968412087","https://twitter.com/FinoPaymntsBank/status/1753636839968412087")</f>
        <v>https://twitter.com/FinoPaymntsBank/status/1753636839968412087</v>
      </c>
      <c r="K3593" t="s">
        <v>145</v>
      </c>
      <c r="O3593">
        <v>0</v>
      </c>
      <c r="P3593">
        <v>0</v>
      </c>
      <c r="Q3593">
        <v>8356</v>
      </c>
      <c r="R3593" t="s">
        <v>193</v>
      </c>
      <c r="S3593">
        <v>0</v>
      </c>
      <c r="T3593">
        <v>0</v>
      </c>
      <c r="U3593">
        <v>0</v>
      </c>
      <c r="W3593" t="s">
        <v>146</v>
      </c>
    </row>
    <row r="3594" spans="1:45" x14ac:dyDescent="0.35">
      <c r="A3594" t="s">
        <v>45</v>
      </c>
      <c r="B3594" t="s">
        <v>7804</v>
      </c>
      <c r="C3594" t="s">
        <v>47</v>
      </c>
      <c r="D3594" t="s">
        <v>7338</v>
      </c>
      <c r="E3594" t="s">
        <v>7338</v>
      </c>
      <c r="F3594" t="s">
        <v>49</v>
      </c>
      <c r="G3594" t="s">
        <v>8260</v>
      </c>
      <c r="H3594" t="s">
        <v>8261</v>
      </c>
      <c r="J3594" t="str">
        <f>HYPERLINK("https://www.facebook.com/454965103328545/videos/3697954183759550?comment_id=881219977346950","https://www.facebook.com/454965103328545/videos/3697954183759550?comment_id=881219977346950")</f>
        <v>https://www.facebook.com/454965103328545/videos/3697954183759550?comment_id=881219977346950</v>
      </c>
      <c r="O3594">
        <v>0</v>
      </c>
      <c r="P3594">
        <v>0</v>
      </c>
      <c r="Q3594">
        <v>0</v>
      </c>
      <c r="S3594">
        <v>0</v>
      </c>
      <c r="T3594">
        <v>0</v>
      </c>
      <c r="U3594">
        <v>0</v>
      </c>
      <c r="W3594" t="s">
        <v>62</v>
      </c>
    </row>
    <row r="3595" spans="1:45" x14ac:dyDescent="0.35">
      <c r="A3595" t="s">
        <v>45</v>
      </c>
      <c r="B3595" t="s">
        <v>7804</v>
      </c>
      <c r="C3595" t="s">
        <v>47</v>
      </c>
      <c r="D3595" t="s">
        <v>45</v>
      </c>
      <c r="E3595" t="s">
        <v>45</v>
      </c>
      <c r="F3595" t="s">
        <v>49</v>
      </c>
      <c r="G3595" t="s">
        <v>8262</v>
      </c>
      <c r="H3595" t="s">
        <v>8263</v>
      </c>
      <c r="J3595" t="str">
        <f>HYPERLINK("https://www.facebook.com/454965103328545/videos/3697954183759550?comment_id=376980405030186&amp;reply_comment_id=893834538886509","https://www.facebook.com/454965103328545/videos/3697954183759550?comment_id=376980405030186&amp;reply_comment_id=893834538886509")</f>
        <v>https://www.facebook.com/454965103328545/videos/3697954183759550?comment_id=376980405030186&amp;reply_comment_id=893834538886509</v>
      </c>
      <c r="O3595">
        <v>0</v>
      </c>
      <c r="P3595">
        <v>0</v>
      </c>
      <c r="Q3595">
        <v>0</v>
      </c>
      <c r="S3595">
        <v>0</v>
      </c>
      <c r="T3595">
        <v>0</v>
      </c>
      <c r="U3595">
        <v>0</v>
      </c>
      <c r="W3595" t="s">
        <v>62</v>
      </c>
    </row>
    <row r="3596" spans="1:45" x14ac:dyDescent="0.35">
      <c r="A3596" t="s">
        <v>45</v>
      </c>
      <c r="B3596" t="s">
        <v>7804</v>
      </c>
      <c r="C3596" t="s">
        <v>47</v>
      </c>
      <c r="D3596" t="s">
        <v>45</v>
      </c>
      <c r="E3596" t="s">
        <v>45</v>
      </c>
      <c r="F3596" t="s">
        <v>49</v>
      </c>
      <c r="G3596" t="s">
        <v>8264</v>
      </c>
      <c r="H3596" t="s">
        <v>8265</v>
      </c>
      <c r="J3596" t="str">
        <f>HYPERLINK("https://www.facebook.com/454965103328545/videos/3697954183759550?comment_id=1112238459949219&amp;reply_comment_id=1381954419125948","https://www.facebook.com/454965103328545/videos/3697954183759550?comment_id=1112238459949219&amp;reply_comment_id=1381954419125948")</f>
        <v>https://www.facebook.com/454965103328545/videos/3697954183759550?comment_id=1112238459949219&amp;reply_comment_id=1381954419125948</v>
      </c>
      <c r="O3596">
        <v>0</v>
      </c>
      <c r="P3596">
        <v>0</v>
      </c>
      <c r="Q3596">
        <v>0</v>
      </c>
      <c r="S3596">
        <v>0</v>
      </c>
      <c r="T3596">
        <v>0</v>
      </c>
      <c r="U3596">
        <v>0</v>
      </c>
      <c r="W3596" t="s">
        <v>62</v>
      </c>
    </row>
    <row r="3597" spans="1:45" x14ac:dyDescent="0.35">
      <c r="A3597" t="s">
        <v>45</v>
      </c>
      <c r="B3597" t="s">
        <v>7804</v>
      </c>
      <c r="C3597" t="s">
        <v>139</v>
      </c>
      <c r="D3597" t="s">
        <v>190</v>
      </c>
      <c r="E3597" t="s">
        <v>45</v>
      </c>
      <c r="F3597" t="s">
        <v>49</v>
      </c>
      <c r="G3597" t="s">
        <v>8266</v>
      </c>
      <c r="H3597" t="s">
        <v>8267</v>
      </c>
      <c r="J3597" t="str">
        <f>HYPERLINK("https://twitter.com/FinoPaymntsBank/status/1753635972338839567","https://twitter.com/FinoPaymntsBank/status/1753635972338839567")</f>
        <v>https://twitter.com/FinoPaymntsBank/status/1753635972338839567</v>
      </c>
      <c r="K3597" t="s">
        <v>145</v>
      </c>
      <c r="O3597">
        <v>0</v>
      </c>
      <c r="P3597">
        <v>0</v>
      </c>
      <c r="Q3597">
        <v>8356</v>
      </c>
      <c r="R3597" t="s">
        <v>193</v>
      </c>
      <c r="S3597">
        <v>0</v>
      </c>
      <c r="T3597">
        <v>0</v>
      </c>
      <c r="U3597">
        <v>0</v>
      </c>
      <c r="W3597" t="s">
        <v>146</v>
      </c>
    </row>
    <row r="3598" spans="1:45" x14ac:dyDescent="0.35">
      <c r="A3598" t="s">
        <v>45</v>
      </c>
      <c r="B3598" t="s">
        <v>7804</v>
      </c>
      <c r="C3598" t="s">
        <v>139</v>
      </c>
      <c r="D3598" t="s">
        <v>8268</v>
      </c>
      <c r="E3598" t="s">
        <v>8269</v>
      </c>
      <c r="F3598" t="s">
        <v>49</v>
      </c>
      <c r="G3598" t="s">
        <v>8270</v>
      </c>
      <c r="H3598" t="s">
        <v>8271</v>
      </c>
      <c r="J3598" t="str">
        <f>HYPERLINK("https://twitter.com/tushar_panda_/status/1753634565028286745","https://twitter.com/tushar_panda_/status/1753634565028286745")</f>
        <v>https://twitter.com/tushar_panda_/status/1753634565028286745</v>
      </c>
      <c r="K3598" t="s">
        <v>145</v>
      </c>
      <c r="O3598">
        <v>0</v>
      </c>
      <c r="P3598">
        <v>0</v>
      </c>
      <c r="Q3598">
        <v>5</v>
      </c>
      <c r="S3598">
        <v>0</v>
      </c>
      <c r="T3598">
        <v>0</v>
      </c>
      <c r="U3598">
        <v>0</v>
      </c>
      <c r="W3598" t="s">
        <v>146</v>
      </c>
    </row>
    <row r="3599" spans="1:45" x14ac:dyDescent="0.35">
      <c r="A3599" t="s">
        <v>45</v>
      </c>
      <c r="B3599" t="s">
        <v>7804</v>
      </c>
      <c r="C3599" t="s">
        <v>139</v>
      </c>
      <c r="D3599" t="s">
        <v>1765</v>
      </c>
      <c r="E3599" t="s">
        <v>1766</v>
      </c>
      <c r="F3599" t="s">
        <v>142</v>
      </c>
      <c r="G3599" t="s">
        <v>8272</v>
      </c>
      <c r="H3599" t="s">
        <v>8273</v>
      </c>
      <c r="J3599" t="str">
        <f>HYPERLINK("https://twitter.com/PrincyG39657148/status/1753633532013170982","https://twitter.com/PrincyG39657148/status/1753633532013170982")</f>
        <v>https://twitter.com/PrincyG39657148/status/1753633532013170982</v>
      </c>
      <c r="K3599" t="s">
        <v>1769</v>
      </c>
      <c r="O3599">
        <v>0</v>
      </c>
      <c r="P3599">
        <v>0</v>
      </c>
      <c r="Q3599">
        <v>0</v>
      </c>
      <c r="S3599">
        <v>0</v>
      </c>
      <c r="T3599">
        <v>0</v>
      </c>
      <c r="U3599">
        <v>0</v>
      </c>
      <c r="W3599" t="s">
        <v>146</v>
      </c>
      <c r="AS3599" t="s">
        <v>375</v>
      </c>
    </row>
    <row r="3600" spans="1:45" x14ac:dyDescent="0.35">
      <c r="A3600" t="s">
        <v>45</v>
      </c>
      <c r="B3600" t="s">
        <v>7804</v>
      </c>
      <c r="C3600" t="s">
        <v>47</v>
      </c>
      <c r="D3600" t="s">
        <v>8274</v>
      </c>
      <c r="E3600" t="s">
        <v>8274</v>
      </c>
      <c r="F3600" t="s">
        <v>49</v>
      </c>
      <c r="G3600" t="s">
        <v>8275</v>
      </c>
      <c r="H3600" t="s">
        <v>8276</v>
      </c>
      <c r="J3600" t="str">
        <f>HYPERLINK("https://www.facebook.com/454965103328545/videos/3697954183759550?comment_id=1112238459949219","https://www.facebook.com/454965103328545/videos/3697954183759550?comment_id=1112238459949219")</f>
        <v>https://www.facebook.com/454965103328545/videos/3697954183759550?comment_id=1112238459949219</v>
      </c>
      <c r="O3600">
        <v>0</v>
      </c>
      <c r="P3600">
        <v>0</v>
      </c>
      <c r="Q3600">
        <v>0</v>
      </c>
      <c r="S3600">
        <v>0</v>
      </c>
      <c r="T3600">
        <v>0</v>
      </c>
      <c r="U3600">
        <v>0</v>
      </c>
      <c r="W3600" t="s">
        <v>62</v>
      </c>
      <c r="AP3600" t="s">
        <v>94</v>
      </c>
      <c r="AS3600" t="s">
        <v>375</v>
      </c>
    </row>
    <row r="3601" spans="1:45" x14ac:dyDescent="0.35">
      <c r="A3601" t="s">
        <v>45</v>
      </c>
      <c r="B3601" t="s">
        <v>7804</v>
      </c>
      <c r="C3601" t="s">
        <v>47</v>
      </c>
      <c r="D3601" t="s">
        <v>8277</v>
      </c>
      <c r="E3601" t="s">
        <v>8277</v>
      </c>
      <c r="F3601" t="s">
        <v>49</v>
      </c>
      <c r="G3601" t="s">
        <v>8278</v>
      </c>
      <c r="H3601" t="s">
        <v>8279</v>
      </c>
      <c r="J3601" t="str">
        <f>HYPERLINK("https://www.facebook.com/454965103328545/videos/3697954183759550?comment_id=2382713665253229","https://www.facebook.com/454965103328545/videos/3697954183759550?comment_id=2382713665253229")</f>
        <v>https://www.facebook.com/454965103328545/videos/3697954183759550?comment_id=2382713665253229</v>
      </c>
      <c r="O3601">
        <v>0</v>
      </c>
      <c r="P3601">
        <v>0</v>
      </c>
      <c r="Q3601">
        <v>0</v>
      </c>
      <c r="S3601">
        <v>0</v>
      </c>
      <c r="T3601">
        <v>0</v>
      </c>
      <c r="U3601">
        <v>0</v>
      </c>
      <c r="W3601" t="s">
        <v>62</v>
      </c>
    </row>
    <row r="3602" spans="1:45" x14ac:dyDescent="0.35">
      <c r="A3602" t="s">
        <v>45</v>
      </c>
      <c r="B3602" t="s">
        <v>7804</v>
      </c>
      <c r="C3602" t="s">
        <v>47</v>
      </c>
      <c r="D3602" t="s">
        <v>8280</v>
      </c>
      <c r="E3602" t="s">
        <v>8280</v>
      </c>
      <c r="F3602" t="s">
        <v>49</v>
      </c>
      <c r="G3602" t="s">
        <v>8281</v>
      </c>
      <c r="H3602" t="s">
        <v>8282</v>
      </c>
      <c r="J3602" t="str">
        <f>HYPERLINK("https://www.facebook.com/454965103328545/videos/3697954183759550?comment_id=1523777235133640","https://www.facebook.com/454965103328545/videos/3697954183759550?comment_id=1523777235133640")</f>
        <v>https://www.facebook.com/454965103328545/videos/3697954183759550?comment_id=1523777235133640</v>
      </c>
      <c r="O3602">
        <v>0</v>
      </c>
      <c r="P3602">
        <v>0</v>
      </c>
      <c r="Q3602">
        <v>0</v>
      </c>
      <c r="S3602">
        <v>0</v>
      </c>
      <c r="T3602">
        <v>0</v>
      </c>
      <c r="U3602">
        <v>0</v>
      </c>
      <c r="W3602" t="s">
        <v>62</v>
      </c>
      <c r="AO3602" t="s">
        <v>67</v>
      </c>
    </row>
    <row r="3603" spans="1:45" x14ac:dyDescent="0.35">
      <c r="A3603" t="s">
        <v>45</v>
      </c>
      <c r="B3603" t="s">
        <v>7804</v>
      </c>
      <c r="C3603" t="s">
        <v>47</v>
      </c>
      <c r="D3603" t="s">
        <v>8283</v>
      </c>
      <c r="E3603" t="s">
        <v>8283</v>
      </c>
      <c r="F3603" t="s">
        <v>49</v>
      </c>
      <c r="G3603" t="s">
        <v>459</v>
      </c>
      <c r="H3603" t="s">
        <v>8284</v>
      </c>
      <c r="J3603" t="str">
        <f>HYPERLINK("https://www.facebook.com/454965103328545/videos/3697954183759550?comment_id=1462644337617117","https://www.facebook.com/454965103328545/videos/3697954183759550?comment_id=1462644337617117")</f>
        <v>https://www.facebook.com/454965103328545/videos/3697954183759550?comment_id=1462644337617117</v>
      </c>
      <c r="O3603">
        <v>0</v>
      </c>
      <c r="P3603">
        <v>0</v>
      </c>
      <c r="Q3603">
        <v>0</v>
      </c>
      <c r="S3603">
        <v>0</v>
      </c>
      <c r="T3603">
        <v>0</v>
      </c>
      <c r="U3603">
        <v>0</v>
      </c>
      <c r="W3603" t="s">
        <v>62</v>
      </c>
    </row>
    <row r="3604" spans="1:45" x14ac:dyDescent="0.35">
      <c r="A3604" t="s">
        <v>45</v>
      </c>
      <c r="B3604" t="s">
        <v>7804</v>
      </c>
      <c r="C3604" t="s">
        <v>47</v>
      </c>
      <c r="D3604" t="s">
        <v>7824</v>
      </c>
      <c r="E3604" t="s">
        <v>7824</v>
      </c>
      <c r="F3604" t="s">
        <v>76</v>
      </c>
      <c r="G3604" t="s">
        <v>8285</v>
      </c>
      <c r="H3604" t="s">
        <v>8286</v>
      </c>
      <c r="J3604" t="str">
        <f>HYPERLINK("https://www.facebook.com/454965103328545/videos/3697954183759550?comment_id=376980405030186","https://www.facebook.com/454965103328545/videos/3697954183759550?comment_id=376980405030186")</f>
        <v>https://www.facebook.com/454965103328545/videos/3697954183759550?comment_id=376980405030186</v>
      </c>
      <c r="O3604">
        <v>0</v>
      </c>
      <c r="P3604">
        <v>0</v>
      </c>
      <c r="Q3604">
        <v>0</v>
      </c>
      <c r="S3604">
        <v>0</v>
      </c>
      <c r="T3604">
        <v>0</v>
      </c>
      <c r="U3604">
        <v>0</v>
      </c>
      <c r="W3604" t="s">
        <v>62</v>
      </c>
      <c r="AS3604" t="s">
        <v>375</v>
      </c>
    </row>
    <row r="3605" spans="1:45" x14ac:dyDescent="0.35">
      <c r="A3605" t="s">
        <v>45</v>
      </c>
      <c r="B3605" t="s">
        <v>7804</v>
      </c>
      <c r="C3605" t="s">
        <v>47</v>
      </c>
      <c r="D3605" t="s">
        <v>7824</v>
      </c>
      <c r="E3605" t="s">
        <v>7824</v>
      </c>
      <c r="F3605" t="s">
        <v>49</v>
      </c>
      <c r="G3605" t="s">
        <v>8287</v>
      </c>
      <c r="H3605" t="s">
        <v>8288</v>
      </c>
      <c r="J3605" t="str">
        <f>HYPERLINK("https://www.facebook.com/454965103328545/videos/3697954183759550?comment_id=375947431923756","https://www.facebook.com/454965103328545/videos/3697954183759550?comment_id=375947431923756")</f>
        <v>https://www.facebook.com/454965103328545/videos/3697954183759550?comment_id=375947431923756</v>
      </c>
      <c r="O3605">
        <v>0</v>
      </c>
      <c r="P3605">
        <v>0</v>
      </c>
      <c r="Q3605">
        <v>0</v>
      </c>
      <c r="S3605">
        <v>0</v>
      </c>
      <c r="T3605">
        <v>0</v>
      </c>
      <c r="U3605">
        <v>0</v>
      </c>
      <c r="W3605" t="s">
        <v>62</v>
      </c>
    </row>
    <row r="3606" spans="1:45" x14ac:dyDescent="0.35">
      <c r="A3606" t="s">
        <v>45</v>
      </c>
      <c r="B3606" t="s">
        <v>7804</v>
      </c>
      <c r="C3606" t="s">
        <v>47</v>
      </c>
      <c r="D3606" t="s">
        <v>3899</v>
      </c>
      <c r="E3606" t="s">
        <v>3899</v>
      </c>
      <c r="F3606" t="s">
        <v>49</v>
      </c>
      <c r="G3606" t="s">
        <v>8289</v>
      </c>
      <c r="H3606" t="s">
        <v>8290</v>
      </c>
      <c r="J3606" t="str">
        <f>HYPERLINK("https://www.facebook.com/454965103328545/posts/764462805712105?comment_id=228602183652654&amp;reply_comment_id=918783693068961","https://www.facebook.com/454965103328545/posts/764462805712105?comment_id=228602183652654&amp;reply_comment_id=918783693068961")</f>
        <v>https://www.facebook.com/454965103328545/posts/764462805712105?comment_id=228602183652654&amp;reply_comment_id=918783693068961</v>
      </c>
      <c r="O3606">
        <v>0</v>
      </c>
      <c r="P3606">
        <v>0</v>
      </c>
      <c r="Q3606">
        <v>0</v>
      </c>
      <c r="S3606">
        <v>0</v>
      </c>
      <c r="T3606">
        <v>0</v>
      </c>
      <c r="U3606">
        <v>0</v>
      </c>
      <c r="W3606" t="s">
        <v>62</v>
      </c>
    </row>
    <row r="3607" spans="1:45" x14ac:dyDescent="0.35">
      <c r="A3607" t="s">
        <v>45</v>
      </c>
      <c r="B3607" t="s">
        <v>7804</v>
      </c>
      <c r="C3607" t="s">
        <v>139</v>
      </c>
      <c r="D3607" t="s">
        <v>8291</v>
      </c>
      <c r="E3607" t="s">
        <v>8292</v>
      </c>
      <c r="F3607" t="s">
        <v>49</v>
      </c>
      <c r="G3607" t="s">
        <v>8293</v>
      </c>
      <c r="H3607" t="s">
        <v>8294</v>
      </c>
      <c r="J3607" t="str">
        <f>HYPERLINK("https://twitter.com/ShendeDhamma/status/1753616994577064025","https://twitter.com/ShendeDhamma/status/1753616994577064025")</f>
        <v>https://twitter.com/ShendeDhamma/status/1753616994577064025</v>
      </c>
      <c r="K3607" t="s">
        <v>145</v>
      </c>
      <c r="O3607">
        <v>0</v>
      </c>
      <c r="P3607">
        <v>0</v>
      </c>
      <c r="Q3607">
        <v>0</v>
      </c>
      <c r="S3607">
        <v>0</v>
      </c>
      <c r="T3607">
        <v>0</v>
      </c>
      <c r="U3607">
        <v>0</v>
      </c>
      <c r="W3607" t="s">
        <v>146</v>
      </c>
      <c r="AS3607" t="s">
        <v>375</v>
      </c>
    </row>
    <row r="3608" spans="1:45" x14ac:dyDescent="0.35">
      <c r="A3608" t="s">
        <v>45</v>
      </c>
      <c r="B3608" t="s">
        <v>7804</v>
      </c>
      <c r="C3608" t="s">
        <v>47</v>
      </c>
      <c r="D3608" t="s">
        <v>8295</v>
      </c>
      <c r="E3608" t="s">
        <v>8295</v>
      </c>
      <c r="F3608" t="s">
        <v>142</v>
      </c>
      <c r="G3608" t="s">
        <v>8296</v>
      </c>
      <c r="H3608" t="s">
        <v>8297</v>
      </c>
      <c r="J3608" t="str">
        <f>HYPERLINK("https://www.facebook.com/357267201017935/inbox/6994681957276393/","https://www.facebook.com/357267201017935/inbox/6994681957276393/")</f>
        <v>https://www.facebook.com/357267201017935/inbox/6994681957276393/</v>
      </c>
      <c r="O3608">
        <v>0</v>
      </c>
      <c r="P3608">
        <v>0</v>
      </c>
      <c r="Q3608">
        <v>0</v>
      </c>
      <c r="S3608">
        <v>0</v>
      </c>
      <c r="T3608">
        <v>0</v>
      </c>
      <c r="U3608">
        <v>0</v>
      </c>
      <c r="W3608" t="s">
        <v>52</v>
      </c>
    </row>
    <row r="3609" spans="1:45" x14ac:dyDescent="0.35">
      <c r="A3609" t="s">
        <v>45</v>
      </c>
      <c r="B3609" t="s">
        <v>7804</v>
      </c>
      <c r="C3609" t="s">
        <v>47</v>
      </c>
      <c r="D3609" t="s">
        <v>8298</v>
      </c>
      <c r="E3609" t="s">
        <v>8298</v>
      </c>
      <c r="F3609" t="s">
        <v>142</v>
      </c>
      <c r="G3609" t="s">
        <v>8296</v>
      </c>
      <c r="H3609" t="s">
        <v>8299</v>
      </c>
      <c r="J3609" t="str">
        <f>HYPERLINK("https://www.facebook.com/357267201017935/inbox/6994671970610725/","https://www.facebook.com/357267201017935/inbox/6994671970610725/")</f>
        <v>https://www.facebook.com/357267201017935/inbox/6994671970610725/</v>
      </c>
      <c r="O3609">
        <v>0</v>
      </c>
      <c r="P3609">
        <v>0</v>
      </c>
      <c r="Q3609">
        <v>0</v>
      </c>
      <c r="S3609">
        <v>0</v>
      </c>
      <c r="T3609">
        <v>0</v>
      </c>
      <c r="U3609">
        <v>0</v>
      </c>
      <c r="W3609" t="s">
        <v>52</v>
      </c>
    </row>
    <row r="3610" spans="1:45" x14ac:dyDescent="0.35">
      <c r="A3610" t="s">
        <v>45</v>
      </c>
      <c r="B3610" t="s">
        <v>7804</v>
      </c>
      <c r="C3610" t="s">
        <v>47</v>
      </c>
      <c r="D3610" t="s">
        <v>8298</v>
      </c>
      <c r="E3610" t="s">
        <v>8298</v>
      </c>
      <c r="F3610" t="s">
        <v>142</v>
      </c>
      <c r="G3610" t="s">
        <v>8300</v>
      </c>
      <c r="H3610" t="s">
        <v>8301</v>
      </c>
      <c r="J3610" t="str">
        <f>HYPERLINK("https://www.facebook.com/454965103328545/posts/744159567742429?comment_id=306195102443645","https://www.facebook.com/454965103328545/posts/744159567742429?comment_id=306195102443645")</f>
        <v>https://www.facebook.com/454965103328545/posts/744159567742429?comment_id=306195102443645</v>
      </c>
      <c r="O3610">
        <v>0</v>
      </c>
      <c r="P3610">
        <v>0</v>
      </c>
      <c r="Q3610">
        <v>0</v>
      </c>
      <c r="S3610">
        <v>0</v>
      </c>
      <c r="T3610">
        <v>0</v>
      </c>
      <c r="U3610">
        <v>0</v>
      </c>
      <c r="W3610" t="s">
        <v>62</v>
      </c>
      <c r="AS3610" t="s">
        <v>375</v>
      </c>
    </row>
    <row r="3611" spans="1:45" x14ac:dyDescent="0.35">
      <c r="A3611" t="s">
        <v>45</v>
      </c>
      <c r="B3611" t="s">
        <v>7804</v>
      </c>
      <c r="C3611" t="s">
        <v>47</v>
      </c>
      <c r="D3611" t="s">
        <v>8298</v>
      </c>
      <c r="E3611" t="s">
        <v>8298</v>
      </c>
      <c r="F3611" t="s">
        <v>142</v>
      </c>
      <c r="G3611" t="s">
        <v>8300</v>
      </c>
      <c r="H3611" t="s">
        <v>8302</v>
      </c>
      <c r="J3611" t="str">
        <f>HYPERLINK("https://www.facebook.com/454965103328545/posts/763871475771238?comment_id=938432980957328","https://www.facebook.com/454965103328545/posts/763871475771238?comment_id=938432980957328")</f>
        <v>https://www.facebook.com/454965103328545/posts/763871475771238?comment_id=938432980957328</v>
      </c>
      <c r="O3611">
        <v>0</v>
      </c>
      <c r="P3611">
        <v>0</v>
      </c>
      <c r="Q3611">
        <v>0</v>
      </c>
      <c r="S3611">
        <v>0</v>
      </c>
      <c r="T3611">
        <v>0</v>
      </c>
      <c r="U3611">
        <v>0</v>
      </c>
      <c r="W3611" t="s">
        <v>62</v>
      </c>
    </row>
    <row r="3612" spans="1:45" x14ac:dyDescent="0.35">
      <c r="A3612" t="s">
        <v>45</v>
      </c>
      <c r="B3612" t="s">
        <v>7804</v>
      </c>
      <c r="C3612" t="s">
        <v>47</v>
      </c>
      <c r="D3612" t="s">
        <v>8298</v>
      </c>
      <c r="E3612" t="s">
        <v>8298</v>
      </c>
      <c r="F3612" t="s">
        <v>142</v>
      </c>
      <c r="G3612" t="s">
        <v>8300</v>
      </c>
      <c r="H3612" t="s">
        <v>8303</v>
      </c>
      <c r="J3612" t="str">
        <f>HYPERLINK("https://www.facebook.com/454965103328545/videos/3697954183759550?comment_id=915988723107963","https://www.facebook.com/454965103328545/videos/3697954183759550?comment_id=915988723107963")</f>
        <v>https://www.facebook.com/454965103328545/videos/3697954183759550?comment_id=915988723107963</v>
      </c>
      <c r="O3612">
        <v>0</v>
      </c>
      <c r="P3612">
        <v>0</v>
      </c>
      <c r="Q3612">
        <v>0</v>
      </c>
      <c r="S3612">
        <v>0</v>
      </c>
      <c r="T3612">
        <v>0</v>
      </c>
      <c r="U3612">
        <v>0</v>
      </c>
      <c r="W3612" t="s">
        <v>62</v>
      </c>
    </row>
    <row r="3613" spans="1:45" x14ac:dyDescent="0.35">
      <c r="A3613" t="s">
        <v>45</v>
      </c>
      <c r="B3613" t="s">
        <v>7804</v>
      </c>
      <c r="C3613" t="s">
        <v>47</v>
      </c>
      <c r="D3613" t="s">
        <v>8298</v>
      </c>
      <c r="E3613" t="s">
        <v>8298</v>
      </c>
      <c r="F3613" t="s">
        <v>142</v>
      </c>
      <c r="G3613" t="s">
        <v>8300</v>
      </c>
      <c r="H3613" t="s">
        <v>8304</v>
      </c>
      <c r="J3613" t="str">
        <f>HYPERLINK("https://www.facebook.com/454965103328545/posts/763902162434836?comment_id=866292462175720","https://www.facebook.com/454965103328545/posts/763902162434836?comment_id=866292462175720")</f>
        <v>https://www.facebook.com/454965103328545/posts/763902162434836?comment_id=866292462175720</v>
      </c>
      <c r="O3613">
        <v>0</v>
      </c>
      <c r="P3613">
        <v>0</v>
      </c>
      <c r="Q3613">
        <v>0</v>
      </c>
      <c r="S3613">
        <v>0</v>
      </c>
      <c r="T3613">
        <v>0</v>
      </c>
      <c r="U3613">
        <v>0</v>
      </c>
      <c r="W3613" t="s">
        <v>62</v>
      </c>
    </row>
    <row r="3614" spans="1:45" x14ac:dyDescent="0.35">
      <c r="A3614" t="s">
        <v>45</v>
      </c>
      <c r="B3614" t="s">
        <v>7804</v>
      </c>
      <c r="C3614" t="s">
        <v>47</v>
      </c>
      <c r="D3614" t="s">
        <v>8298</v>
      </c>
      <c r="E3614" t="s">
        <v>8298</v>
      </c>
      <c r="F3614" t="s">
        <v>142</v>
      </c>
      <c r="G3614" t="s">
        <v>8300</v>
      </c>
      <c r="H3614" t="s">
        <v>8305</v>
      </c>
      <c r="J3614" t="str">
        <f>HYPERLINK("https://www.facebook.com/454965103328545/posts/764462805712105?comment_id=288924247198474","https://www.facebook.com/454965103328545/posts/764462805712105?comment_id=288924247198474")</f>
        <v>https://www.facebook.com/454965103328545/posts/764462805712105?comment_id=288924247198474</v>
      </c>
      <c r="O3614">
        <v>0</v>
      </c>
      <c r="P3614">
        <v>0</v>
      </c>
      <c r="Q3614">
        <v>0</v>
      </c>
      <c r="S3614">
        <v>0</v>
      </c>
      <c r="T3614">
        <v>0</v>
      </c>
      <c r="U3614">
        <v>0</v>
      </c>
      <c r="W3614" t="s">
        <v>62</v>
      </c>
    </row>
    <row r="3615" spans="1:45" x14ac:dyDescent="0.35">
      <c r="A3615" t="s">
        <v>45</v>
      </c>
      <c r="B3615" t="s">
        <v>7804</v>
      </c>
      <c r="C3615" t="s">
        <v>47</v>
      </c>
      <c r="D3615" t="s">
        <v>98</v>
      </c>
      <c r="E3615" t="s">
        <v>98</v>
      </c>
      <c r="F3615" t="s">
        <v>49</v>
      </c>
      <c r="H3615" t="s">
        <v>8306</v>
      </c>
      <c r="J3615" t="str">
        <f>HYPERLINK("https://www.facebook.com/454965103328545/posts/763902162434836?comment_id=1022715355487754","https://www.facebook.com/454965103328545/posts/763902162434836?comment_id=1022715355487754")</f>
        <v>https://www.facebook.com/454965103328545/posts/763902162434836?comment_id=1022715355487754</v>
      </c>
      <c r="O3615">
        <v>0</v>
      </c>
      <c r="P3615">
        <v>0</v>
      </c>
      <c r="Q3615">
        <v>0</v>
      </c>
      <c r="S3615">
        <v>0</v>
      </c>
      <c r="T3615">
        <v>0</v>
      </c>
      <c r="U3615">
        <v>0</v>
      </c>
      <c r="W3615" t="s">
        <v>62</v>
      </c>
    </row>
    <row r="3616" spans="1:45" x14ac:dyDescent="0.35">
      <c r="A3616" t="s">
        <v>45</v>
      </c>
      <c r="B3616" t="s">
        <v>7804</v>
      </c>
      <c r="C3616" t="s">
        <v>58</v>
      </c>
      <c r="D3616" t="s">
        <v>3237</v>
      </c>
      <c r="E3616" t="s">
        <v>3237</v>
      </c>
      <c r="F3616" t="s">
        <v>49</v>
      </c>
      <c r="G3616" t="s">
        <v>8307</v>
      </c>
      <c r="H3616" t="s">
        <v>8308</v>
      </c>
      <c r="J3616" t="str">
        <f>HYPERLINK("https://www.youtube.com/watch?v=8o_h3jyKpYU","https://www.youtube.com/watch?v=8o_h3jyKpYU")</f>
        <v>https://www.youtube.com/watch?v=8o_h3jyKpYU</v>
      </c>
      <c r="O3616">
        <v>0</v>
      </c>
      <c r="P3616">
        <v>0</v>
      </c>
      <c r="Q3616">
        <v>0</v>
      </c>
      <c r="S3616">
        <v>0</v>
      </c>
      <c r="T3616">
        <v>0</v>
      </c>
      <c r="U3616">
        <v>0</v>
      </c>
      <c r="W3616" t="s">
        <v>106</v>
      </c>
    </row>
    <row r="3617" spans="1:45" x14ac:dyDescent="0.35">
      <c r="A3617" t="s">
        <v>45</v>
      </c>
      <c r="B3617" t="s">
        <v>7804</v>
      </c>
      <c r="C3617" t="s">
        <v>47</v>
      </c>
      <c r="D3617" t="s">
        <v>8309</v>
      </c>
      <c r="E3617" t="s">
        <v>8309</v>
      </c>
      <c r="F3617" t="s">
        <v>49</v>
      </c>
      <c r="G3617" t="s">
        <v>8310</v>
      </c>
      <c r="H3617" t="s">
        <v>8311</v>
      </c>
      <c r="J3617" t="str">
        <f>HYPERLINK("https://www.facebook.com/454965103328545/posts/763899692435083?comment_id=2058874324483110","https://www.facebook.com/454965103328545/posts/763899692435083?comment_id=2058874324483110")</f>
        <v>https://www.facebook.com/454965103328545/posts/763899692435083?comment_id=2058874324483110</v>
      </c>
      <c r="O3617">
        <v>0</v>
      </c>
      <c r="P3617">
        <v>0</v>
      </c>
      <c r="Q3617">
        <v>0</v>
      </c>
      <c r="S3617">
        <v>0</v>
      </c>
      <c r="T3617">
        <v>0</v>
      </c>
      <c r="U3617">
        <v>0</v>
      </c>
      <c r="W3617" t="s">
        <v>62</v>
      </c>
      <c r="AP3617" t="s">
        <v>94</v>
      </c>
      <c r="AS3617" t="s">
        <v>375</v>
      </c>
    </row>
    <row r="3618" spans="1:45" x14ac:dyDescent="0.35">
      <c r="A3618" t="s">
        <v>45</v>
      </c>
      <c r="B3618" t="s">
        <v>7804</v>
      </c>
      <c r="C3618" t="s">
        <v>47</v>
      </c>
      <c r="D3618" t="s">
        <v>8312</v>
      </c>
      <c r="E3618" t="s">
        <v>8312</v>
      </c>
      <c r="F3618" t="s">
        <v>49</v>
      </c>
      <c r="G3618" t="s">
        <v>8313</v>
      </c>
      <c r="H3618" t="s">
        <v>8314</v>
      </c>
      <c r="J3618" t="str">
        <f>HYPERLINK("https://www.facebook.com/454965103328545/videos/3697954183759550?comment_id=426296206497363","https://www.facebook.com/454965103328545/videos/3697954183759550?comment_id=426296206497363")</f>
        <v>https://www.facebook.com/454965103328545/videos/3697954183759550?comment_id=426296206497363</v>
      </c>
      <c r="O3618">
        <v>0</v>
      </c>
      <c r="P3618">
        <v>0</v>
      </c>
      <c r="Q3618">
        <v>0</v>
      </c>
      <c r="S3618">
        <v>0</v>
      </c>
      <c r="T3618">
        <v>0</v>
      </c>
      <c r="U3618">
        <v>0</v>
      </c>
      <c r="W3618" t="s">
        <v>62</v>
      </c>
      <c r="AS3618" t="s">
        <v>375</v>
      </c>
    </row>
    <row r="3619" spans="1:45" x14ac:dyDescent="0.35">
      <c r="A3619" t="s">
        <v>45</v>
      </c>
      <c r="B3619" t="s">
        <v>7804</v>
      </c>
      <c r="C3619" t="s">
        <v>47</v>
      </c>
      <c r="D3619" t="s">
        <v>8315</v>
      </c>
      <c r="E3619" t="s">
        <v>8315</v>
      </c>
      <c r="F3619" t="s">
        <v>76</v>
      </c>
      <c r="G3619" t="s">
        <v>8316</v>
      </c>
      <c r="H3619" t="s">
        <v>8317</v>
      </c>
      <c r="J3619" t="str">
        <f>HYPERLINK("https://www.facebook.com/454965103328545/videos/3697954183759550?comment_id=1127650511562602","https://www.facebook.com/454965103328545/videos/3697954183759550?comment_id=1127650511562602")</f>
        <v>https://www.facebook.com/454965103328545/videos/3697954183759550?comment_id=1127650511562602</v>
      </c>
      <c r="O3619">
        <v>0</v>
      </c>
      <c r="P3619">
        <v>0</v>
      </c>
      <c r="Q3619">
        <v>0</v>
      </c>
      <c r="S3619">
        <v>0</v>
      </c>
      <c r="T3619">
        <v>0</v>
      </c>
      <c r="U3619">
        <v>0</v>
      </c>
      <c r="W3619" t="s">
        <v>62</v>
      </c>
      <c r="AS3619" t="s">
        <v>375</v>
      </c>
    </row>
    <row r="3620" spans="1:45" x14ac:dyDescent="0.35">
      <c r="A3620" t="s">
        <v>45</v>
      </c>
      <c r="B3620" t="s">
        <v>7804</v>
      </c>
      <c r="C3620" t="s">
        <v>47</v>
      </c>
      <c r="D3620" t="s">
        <v>4119</v>
      </c>
      <c r="E3620" t="s">
        <v>4119</v>
      </c>
      <c r="F3620" t="s">
        <v>49</v>
      </c>
      <c r="G3620" t="s">
        <v>8318</v>
      </c>
      <c r="H3620" t="s">
        <v>8319</v>
      </c>
      <c r="J3620" t="str">
        <f>HYPERLINK("https://www.facebook.com/454965103328545/posts/763871475771238?comment_id=236130306217102&amp;reply_comment_id=1025422165224940","https://www.facebook.com/454965103328545/posts/763871475771238?comment_id=236130306217102&amp;reply_comment_id=1025422165224940")</f>
        <v>https://www.facebook.com/454965103328545/posts/763871475771238?comment_id=236130306217102&amp;reply_comment_id=1025422165224940</v>
      </c>
      <c r="O3620">
        <v>0</v>
      </c>
      <c r="P3620">
        <v>0</v>
      </c>
      <c r="Q3620">
        <v>0</v>
      </c>
      <c r="S3620">
        <v>0</v>
      </c>
      <c r="T3620">
        <v>0</v>
      </c>
      <c r="U3620">
        <v>0</v>
      </c>
      <c r="W3620" t="s">
        <v>62</v>
      </c>
    </row>
    <row r="3621" spans="1:45" x14ac:dyDescent="0.35">
      <c r="A3621" t="s">
        <v>45</v>
      </c>
      <c r="B3621" t="s">
        <v>7804</v>
      </c>
      <c r="C3621" t="s">
        <v>47</v>
      </c>
      <c r="D3621" t="s">
        <v>8320</v>
      </c>
      <c r="E3621" t="s">
        <v>8320</v>
      </c>
      <c r="F3621" t="s">
        <v>49</v>
      </c>
      <c r="G3621" t="s">
        <v>8321</v>
      </c>
      <c r="H3621" t="s">
        <v>8322</v>
      </c>
      <c r="J3621" t="str">
        <f>HYPERLINK("https://www.facebook.com/357267201017935/inbox/6993654830712439/","https://www.facebook.com/357267201017935/inbox/6993654830712439/")</f>
        <v>https://www.facebook.com/357267201017935/inbox/6993654830712439/</v>
      </c>
      <c r="O3621">
        <v>0</v>
      </c>
      <c r="P3621">
        <v>0</v>
      </c>
      <c r="Q3621">
        <v>0</v>
      </c>
      <c r="S3621">
        <v>0</v>
      </c>
      <c r="T3621">
        <v>0</v>
      </c>
      <c r="U3621">
        <v>0</v>
      </c>
      <c r="W3621" t="s">
        <v>52</v>
      </c>
      <c r="AS3621" t="s">
        <v>375</v>
      </c>
    </row>
    <row r="3622" spans="1:45" x14ac:dyDescent="0.35">
      <c r="A3622" t="s">
        <v>45</v>
      </c>
      <c r="B3622" t="s">
        <v>7804</v>
      </c>
      <c r="C3622" t="s">
        <v>47</v>
      </c>
      <c r="D3622" t="s">
        <v>8320</v>
      </c>
      <c r="E3622" t="s">
        <v>8320</v>
      </c>
      <c r="F3622" t="s">
        <v>49</v>
      </c>
      <c r="G3622" t="s">
        <v>8323</v>
      </c>
      <c r="H3622" t="s">
        <v>8324</v>
      </c>
      <c r="J3622" t="str">
        <f>HYPERLINK("https://www.facebook.com/357267201017935/inbox/6993654830712439/","https://www.facebook.com/357267201017935/inbox/6993654830712439/")</f>
        <v>https://www.facebook.com/357267201017935/inbox/6993654830712439/</v>
      </c>
      <c r="O3622">
        <v>0</v>
      </c>
      <c r="P3622">
        <v>0</v>
      </c>
      <c r="Q3622">
        <v>0</v>
      </c>
      <c r="S3622">
        <v>0</v>
      </c>
      <c r="T3622">
        <v>0</v>
      </c>
      <c r="U3622">
        <v>0</v>
      </c>
      <c r="W3622" t="s">
        <v>52</v>
      </c>
    </row>
    <row r="3623" spans="1:45" x14ac:dyDescent="0.35">
      <c r="A3623" t="s">
        <v>45</v>
      </c>
      <c r="B3623" t="s">
        <v>7804</v>
      </c>
      <c r="C3623" t="s">
        <v>47</v>
      </c>
      <c r="D3623" t="s">
        <v>8320</v>
      </c>
      <c r="E3623" t="s">
        <v>8320</v>
      </c>
      <c r="F3623" t="s">
        <v>49</v>
      </c>
      <c r="G3623" t="s">
        <v>253</v>
      </c>
      <c r="H3623" t="s">
        <v>8325</v>
      </c>
      <c r="J3623" t="str">
        <f>HYPERLINK("https://www.facebook.com/357267201017935/inbox/6993654830712439/","https://www.facebook.com/357267201017935/inbox/6993654830712439/")</f>
        <v>https://www.facebook.com/357267201017935/inbox/6993654830712439/</v>
      </c>
      <c r="O3623">
        <v>0</v>
      </c>
      <c r="P3623">
        <v>0</v>
      </c>
      <c r="Q3623">
        <v>0</v>
      </c>
      <c r="S3623">
        <v>0</v>
      </c>
      <c r="T3623">
        <v>0</v>
      </c>
      <c r="U3623">
        <v>0</v>
      </c>
      <c r="W3623" t="s">
        <v>52</v>
      </c>
    </row>
    <row r="3624" spans="1:45" x14ac:dyDescent="0.35">
      <c r="A3624" t="s">
        <v>45</v>
      </c>
      <c r="B3624" t="s">
        <v>7804</v>
      </c>
      <c r="C3624" t="s">
        <v>58</v>
      </c>
      <c r="D3624" t="s">
        <v>7936</v>
      </c>
      <c r="E3624" t="s">
        <v>7936</v>
      </c>
      <c r="F3624" t="s">
        <v>49</v>
      </c>
      <c r="G3624" t="s">
        <v>7937</v>
      </c>
      <c r="H3624" t="s">
        <v>8326</v>
      </c>
      <c r="J3624" t="str">
        <f>HYPERLINK("https://www.youtube.com/watch?v=HoAMyYjgysM","https://www.youtube.com/watch?v=HoAMyYjgysM")</f>
        <v>https://www.youtube.com/watch?v=HoAMyYjgysM</v>
      </c>
      <c r="O3624">
        <v>0</v>
      </c>
      <c r="P3624">
        <v>0</v>
      </c>
      <c r="Q3624">
        <v>0</v>
      </c>
      <c r="S3624">
        <v>0</v>
      </c>
      <c r="T3624">
        <v>0</v>
      </c>
      <c r="U3624">
        <v>0</v>
      </c>
      <c r="W3624" t="s">
        <v>106</v>
      </c>
    </row>
    <row r="3625" spans="1:45" x14ac:dyDescent="0.35">
      <c r="A3625" t="s">
        <v>45</v>
      </c>
      <c r="B3625" t="s">
        <v>7804</v>
      </c>
      <c r="C3625" t="s">
        <v>47</v>
      </c>
      <c r="D3625" t="s">
        <v>7665</v>
      </c>
      <c r="E3625" t="s">
        <v>7665</v>
      </c>
      <c r="F3625" t="s">
        <v>49</v>
      </c>
      <c r="G3625" t="s">
        <v>8327</v>
      </c>
      <c r="H3625" t="s">
        <v>8328</v>
      </c>
      <c r="J3625" t="str">
        <f>HYPERLINK("https://www.facebook.com/454965103328545/posts/763871475771238?comment_id=919056742800166","https://www.facebook.com/454965103328545/posts/763871475771238?comment_id=919056742800166")</f>
        <v>https://www.facebook.com/454965103328545/posts/763871475771238?comment_id=919056742800166</v>
      </c>
      <c r="O3625">
        <v>0</v>
      </c>
      <c r="P3625">
        <v>0</v>
      </c>
      <c r="Q3625">
        <v>0</v>
      </c>
      <c r="S3625">
        <v>0</v>
      </c>
      <c r="T3625">
        <v>0</v>
      </c>
      <c r="U3625">
        <v>0</v>
      </c>
      <c r="W3625" t="s">
        <v>62</v>
      </c>
      <c r="AS3625" t="s">
        <v>375</v>
      </c>
    </row>
    <row r="3626" spans="1:45" x14ac:dyDescent="0.35">
      <c r="A3626" t="s">
        <v>45</v>
      </c>
      <c r="B3626" t="s">
        <v>7804</v>
      </c>
      <c r="C3626" t="s">
        <v>47</v>
      </c>
      <c r="D3626" t="s">
        <v>8329</v>
      </c>
      <c r="E3626" t="s">
        <v>8329</v>
      </c>
      <c r="F3626" t="s">
        <v>49</v>
      </c>
      <c r="G3626" t="s">
        <v>8330</v>
      </c>
      <c r="H3626" t="s">
        <v>8331</v>
      </c>
      <c r="J3626" t="str">
        <f>HYPERLINK("https://www.facebook.com/454965103328545/posts/763871475771238?comment_id=941438130741135","https://www.facebook.com/454965103328545/posts/763871475771238?comment_id=941438130741135")</f>
        <v>https://www.facebook.com/454965103328545/posts/763871475771238?comment_id=941438130741135</v>
      </c>
      <c r="O3626">
        <v>0</v>
      </c>
      <c r="P3626">
        <v>0</v>
      </c>
      <c r="Q3626">
        <v>0</v>
      </c>
      <c r="S3626">
        <v>0</v>
      </c>
      <c r="T3626">
        <v>0</v>
      </c>
      <c r="U3626">
        <v>0</v>
      </c>
      <c r="W3626" t="s">
        <v>62</v>
      </c>
    </row>
    <row r="3627" spans="1:45" x14ac:dyDescent="0.35">
      <c r="A3627" t="s">
        <v>45</v>
      </c>
      <c r="B3627" t="s">
        <v>8332</v>
      </c>
      <c r="C3627" t="s">
        <v>47</v>
      </c>
      <c r="D3627" t="s">
        <v>8333</v>
      </c>
      <c r="E3627" t="s">
        <v>8333</v>
      </c>
      <c r="F3627" t="s">
        <v>49</v>
      </c>
      <c r="G3627" t="s">
        <v>8334</v>
      </c>
      <c r="H3627" t="s">
        <v>8335</v>
      </c>
      <c r="J3627" t="str">
        <f>HYPERLINK("https://www.facebook.com/454965103328545/videos/3697954183759550?comment_id=757207193096633","https://www.facebook.com/454965103328545/videos/3697954183759550?comment_id=757207193096633")</f>
        <v>https://www.facebook.com/454965103328545/videos/3697954183759550?comment_id=757207193096633</v>
      </c>
      <c r="O3627">
        <v>0</v>
      </c>
      <c r="P3627">
        <v>0</v>
      </c>
      <c r="Q3627">
        <v>0</v>
      </c>
      <c r="S3627">
        <v>0</v>
      </c>
      <c r="T3627">
        <v>0</v>
      </c>
      <c r="U3627">
        <v>0</v>
      </c>
      <c r="W3627" t="s">
        <v>62</v>
      </c>
      <c r="AS3627" t="s">
        <v>375</v>
      </c>
    </row>
    <row r="3628" spans="1:45" x14ac:dyDescent="0.35">
      <c r="A3628" t="s">
        <v>45</v>
      </c>
      <c r="B3628" t="s">
        <v>8332</v>
      </c>
      <c r="C3628" t="s">
        <v>47</v>
      </c>
      <c r="D3628" t="s">
        <v>8336</v>
      </c>
      <c r="E3628" t="s">
        <v>8336</v>
      </c>
      <c r="F3628" t="s">
        <v>76</v>
      </c>
      <c r="G3628" t="s">
        <v>501</v>
      </c>
      <c r="H3628" t="s">
        <v>8337</v>
      </c>
      <c r="J3628" t="str">
        <f>HYPERLINK("https://www.facebook.com/454965103328545/posts/744159567742429?comment_id=1737332876764878","https://www.facebook.com/454965103328545/posts/744159567742429?comment_id=1737332876764878")</f>
        <v>https://www.facebook.com/454965103328545/posts/744159567742429?comment_id=1737332876764878</v>
      </c>
      <c r="O3628">
        <v>0</v>
      </c>
      <c r="P3628">
        <v>0</v>
      </c>
      <c r="Q3628">
        <v>0</v>
      </c>
      <c r="S3628">
        <v>0</v>
      </c>
      <c r="T3628">
        <v>0</v>
      </c>
      <c r="U3628">
        <v>0</v>
      </c>
      <c r="W3628" t="s">
        <v>62</v>
      </c>
    </row>
    <row r="3629" spans="1:45" x14ac:dyDescent="0.35">
      <c r="A3629" t="s">
        <v>45</v>
      </c>
      <c r="B3629" t="s">
        <v>8332</v>
      </c>
      <c r="C3629" t="s">
        <v>47</v>
      </c>
      <c r="D3629" t="s">
        <v>8338</v>
      </c>
      <c r="E3629" t="s">
        <v>8338</v>
      </c>
      <c r="F3629" t="s">
        <v>49</v>
      </c>
      <c r="G3629" t="s">
        <v>7706</v>
      </c>
      <c r="H3629" t="s">
        <v>8339</v>
      </c>
      <c r="J3629" t="str">
        <f>HYPERLINK("https://www.facebook.com/454965103328545/videos/3697954183759550?comment_id=300204953056004","https://www.facebook.com/454965103328545/videos/3697954183759550?comment_id=300204953056004")</f>
        <v>https://www.facebook.com/454965103328545/videos/3697954183759550?comment_id=300204953056004</v>
      </c>
      <c r="O3629">
        <v>0</v>
      </c>
      <c r="P3629">
        <v>0</v>
      </c>
      <c r="Q3629">
        <v>0</v>
      </c>
      <c r="S3629">
        <v>0</v>
      </c>
      <c r="T3629">
        <v>0</v>
      </c>
      <c r="U3629">
        <v>0</v>
      </c>
      <c r="W3629" t="s">
        <v>62</v>
      </c>
      <c r="AS3629" t="s">
        <v>375</v>
      </c>
    </row>
    <row r="3630" spans="1:45" x14ac:dyDescent="0.35">
      <c r="A3630" t="s">
        <v>45</v>
      </c>
      <c r="B3630" t="s">
        <v>8332</v>
      </c>
      <c r="C3630" t="s">
        <v>47</v>
      </c>
      <c r="D3630" t="s">
        <v>8336</v>
      </c>
      <c r="E3630" t="s">
        <v>8336</v>
      </c>
      <c r="F3630" t="s">
        <v>49</v>
      </c>
      <c r="G3630" t="s">
        <v>8340</v>
      </c>
      <c r="H3630" t="s">
        <v>8341</v>
      </c>
      <c r="J3630" t="str">
        <f>HYPERLINK("https://www.facebook.com/454965103328545/posts/763307319160987?comment_id=1110730223399853","https://www.facebook.com/454965103328545/posts/763307319160987?comment_id=1110730223399853")</f>
        <v>https://www.facebook.com/454965103328545/posts/763307319160987?comment_id=1110730223399853</v>
      </c>
      <c r="O3630">
        <v>0</v>
      </c>
      <c r="P3630">
        <v>0</v>
      </c>
      <c r="Q3630">
        <v>0</v>
      </c>
      <c r="S3630">
        <v>0</v>
      </c>
      <c r="T3630">
        <v>0</v>
      </c>
      <c r="U3630">
        <v>0</v>
      </c>
      <c r="W3630" t="s">
        <v>62</v>
      </c>
      <c r="AS3630" t="s">
        <v>375</v>
      </c>
    </row>
    <row r="3631" spans="1:45" x14ac:dyDescent="0.35">
      <c r="A3631" t="s">
        <v>45</v>
      </c>
      <c r="B3631" t="s">
        <v>8332</v>
      </c>
      <c r="C3631" t="s">
        <v>47</v>
      </c>
      <c r="D3631" t="s">
        <v>8342</v>
      </c>
      <c r="E3631" t="s">
        <v>8342</v>
      </c>
      <c r="F3631" t="s">
        <v>49</v>
      </c>
      <c r="G3631" t="s">
        <v>8343</v>
      </c>
      <c r="H3631" t="s">
        <v>8344</v>
      </c>
      <c r="J3631" t="str">
        <f>HYPERLINK("https://www.facebook.com/454965103328545/videos/3697954183759550?comment_id=1078552596532722","https://www.facebook.com/454965103328545/videos/3697954183759550?comment_id=1078552596532722")</f>
        <v>https://www.facebook.com/454965103328545/videos/3697954183759550?comment_id=1078552596532722</v>
      </c>
      <c r="O3631">
        <v>0</v>
      </c>
      <c r="P3631">
        <v>0</v>
      </c>
      <c r="Q3631">
        <v>0</v>
      </c>
      <c r="S3631">
        <v>0</v>
      </c>
      <c r="T3631">
        <v>0</v>
      </c>
      <c r="U3631">
        <v>0</v>
      </c>
      <c r="W3631" t="s">
        <v>62</v>
      </c>
      <c r="AP3631" t="s">
        <v>101</v>
      </c>
    </row>
    <row r="3632" spans="1:45" x14ac:dyDescent="0.35">
      <c r="A3632" t="s">
        <v>45</v>
      </c>
      <c r="B3632" t="s">
        <v>8332</v>
      </c>
      <c r="C3632" t="s">
        <v>47</v>
      </c>
      <c r="D3632" t="s">
        <v>8342</v>
      </c>
      <c r="E3632" t="s">
        <v>8342</v>
      </c>
      <c r="F3632" t="s">
        <v>49</v>
      </c>
      <c r="G3632" t="s">
        <v>8345</v>
      </c>
      <c r="H3632" t="s">
        <v>8346</v>
      </c>
      <c r="J3632" t="str">
        <f>HYPERLINK("https://www.facebook.com/454965103328545/videos/3697954183759550?comment_id=1084731716004705","https://www.facebook.com/454965103328545/videos/3697954183759550?comment_id=1084731716004705")</f>
        <v>https://www.facebook.com/454965103328545/videos/3697954183759550?comment_id=1084731716004705</v>
      </c>
      <c r="O3632">
        <v>0</v>
      </c>
      <c r="P3632">
        <v>0</v>
      </c>
      <c r="Q3632">
        <v>0</v>
      </c>
      <c r="S3632">
        <v>0</v>
      </c>
      <c r="T3632">
        <v>0</v>
      </c>
      <c r="U3632">
        <v>0</v>
      </c>
      <c r="W3632" t="s">
        <v>62</v>
      </c>
      <c r="AS3632" t="s">
        <v>375</v>
      </c>
    </row>
    <row r="3633" spans="1:45" x14ac:dyDescent="0.35">
      <c r="A3633" t="s">
        <v>45</v>
      </c>
      <c r="B3633" t="s">
        <v>8332</v>
      </c>
      <c r="C3633" t="s">
        <v>47</v>
      </c>
      <c r="D3633" t="s">
        <v>4488</v>
      </c>
      <c r="E3633" t="s">
        <v>4488</v>
      </c>
      <c r="F3633" t="s">
        <v>49</v>
      </c>
      <c r="G3633" t="s">
        <v>8347</v>
      </c>
      <c r="H3633" t="s">
        <v>8348</v>
      </c>
      <c r="J3633" t="str">
        <f>HYPERLINK("https://www.facebook.com/454965103328545/posts/762566475901738?comment_id=2363814924006271","https://www.facebook.com/454965103328545/posts/762566475901738?comment_id=2363814924006271")</f>
        <v>https://www.facebook.com/454965103328545/posts/762566475901738?comment_id=2363814924006271</v>
      </c>
      <c r="O3633">
        <v>0</v>
      </c>
      <c r="P3633">
        <v>0</v>
      </c>
      <c r="Q3633">
        <v>0</v>
      </c>
      <c r="S3633">
        <v>0</v>
      </c>
      <c r="T3633">
        <v>0</v>
      </c>
      <c r="U3633">
        <v>0</v>
      </c>
      <c r="W3633" t="s">
        <v>62</v>
      </c>
      <c r="AS3633" t="s">
        <v>375</v>
      </c>
    </row>
    <row r="3634" spans="1:45" x14ac:dyDescent="0.35">
      <c r="A3634" t="s">
        <v>45</v>
      </c>
      <c r="B3634" t="s">
        <v>8332</v>
      </c>
      <c r="C3634" t="s">
        <v>58</v>
      </c>
      <c r="D3634" t="s">
        <v>8349</v>
      </c>
      <c r="E3634" t="s">
        <v>8349</v>
      </c>
      <c r="F3634" t="s">
        <v>49</v>
      </c>
      <c r="G3634" t="s">
        <v>8350</v>
      </c>
      <c r="H3634" t="s">
        <v>8351</v>
      </c>
      <c r="J3634" t="str">
        <f>HYPERLINK("https://www.youtube.com/watch?v=DUlC9LYGEuM","https://www.youtube.com/watch?v=DUlC9LYGEuM")</f>
        <v>https://www.youtube.com/watch?v=DUlC9LYGEuM</v>
      </c>
      <c r="O3634">
        <v>0</v>
      </c>
      <c r="P3634">
        <v>0</v>
      </c>
      <c r="Q3634">
        <v>0</v>
      </c>
      <c r="S3634">
        <v>0</v>
      </c>
      <c r="T3634">
        <v>0</v>
      </c>
      <c r="U3634">
        <v>0</v>
      </c>
      <c r="W3634" t="s">
        <v>106</v>
      </c>
    </row>
    <row r="3635" spans="1:45" x14ac:dyDescent="0.35">
      <c r="A3635" t="s">
        <v>45</v>
      </c>
      <c r="B3635" t="s">
        <v>8332</v>
      </c>
      <c r="C3635" t="s">
        <v>47</v>
      </c>
      <c r="D3635" t="s">
        <v>8352</v>
      </c>
      <c r="E3635" t="s">
        <v>8352</v>
      </c>
      <c r="F3635" t="s">
        <v>49</v>
      </c>
      <c r="G3635" t="s">
        <v>8353</v>
      </c>
      <c r="H3635" t="s">
        <v>8354</v>
      </c>
      <c r="J3635" t="str">
        <f>HYPERLINK("https://www.facebook.com/357267201017935/inbox/6993220304089225/","https://www.facebook.com/357267201017935/inbox/6993220304089225/")</f>
        <v>https://www.facebook.com/357267201017935/inbox/6993220304089225/</v>
      </c>
      <c r="O3635">
        <v>0</v>
      </c>
      <c r="P3635">
        <v>0</v>
      </c>
      <c r="Q3635">
        <v>0</v>
      </c>
      <c r="S3635">
        <v>0</v>
      </c>
      <c r="T3635">
        <v>0</v>
      </c>
      <c r="U3635">
        <v>0</v>
      </c>
      <c r="W3635" t="s">
        <v>52</v>
      </c>
      <c r="AS3635" t="s">
        <v>375</v>
      </c>
    </row>
    <row r="3636" spans="1:45" x14ac:dyDescent="0.35">
      <c r="A3636" t="s">
        <v>45</v>
      </c>
      <c r="B3636" t="s">
        <v>8332</v>
      </c>
      <c r="C3636" t="s">
        <v>47</v>
      </c>
      <c r="D3636" t="s">
        <v>8355</v>
      </c>
      <c r="E3636" t="s">
        <v>8355</v>
      </c>
      <c r="F3636" t="s">
        <v>49</v>
      </c>
      <c r="G3636" t="s">
        <v>8356</v>
      </c>
      <c r="H3636" t="s">
        <v>8357</v>
      </c>
      <c r="J3636" t="str">
        <f>HYPERLINK("https://www.facebook.com/454965103328545/posts/763871475771238?comment_id=2115874702083236","https://www.facebook.com/454965103328545/posts/763871475771238?comment_id=2115874702083236")</f>
        <v>https://www.facebook.com/454965103328545/posts/763871475771238?comment_id=2115874702083236</v>
      </c>
      <c r="O3636">
        <v>0</v>
      </c>
      <c r="P3636">
        <v>0</v>
      </c>
      <c r="Q3636">
        <v>0</v>
      </c>
      <c r="S3636">
        <v>0</v>
      </c>
      <c r="T3636">
        <v>0</v>
      </c>
      <c r="U3636">
        <v>0</v>
      </c>
      <c r="W3636" t="s">
        <v>62</v>
      </c>
    </row>
    <row r="3637" spans="1:45" x14ac:dyDescent="0.35">
      <c r="A3637" t="s">
        <v>45</v>
      </c>
      <c r="B3637" t="s">
        <v>8332</v>
      </c>
      <c r="C3637" t="s">
        <v>47</v>
      </c>
      <c r="D3637" t="s">
        <v>8355</v>
      </c>
      <c r="E3637" t="s">
        <v>8355</v>
      </c>
      <c r="F3637" t="s">
        <v>49</v>
      </c>
      <c r="G3637" t="s">
        <v>8358</v>
      </c>
      <c r="H3637" t="s">
        <v>8359</v>
      </c>
      <c r="J3637" t="str">
        <f>HYPERLINK("https://www.facebook.com/454965103328545/posts/763871475771238?comment_id=3626230277644709","https://www.facebook.com/454965103328545/posts/763871475771238?comment_id=3626230277644709")</f>
        <v>https://www.facebook.com/454965103328545/posts/763871475771238?comment_id=3626230277644709</v>
      </c>
      <c r="O3637">
        <v>0</v>
      </c>
      <c r="P3637">
        <v>0</v>
      </c>
      <c r="Q3637">
        <v>0</v>
      </c>
      <c r="S3637">
        <v>0</v>
      </c>
      <c r="T3637">
        <v>0</v>
      </c>
      <c r="U3637">
        <v>0</v>
      </c>
      <c r="W3637" t="s">
        <v>62</v>
      </c>
    </row>
    <row r="3638" spans="1:45" x14ac:dyDescent="0.35">
      <c r="A3638" t="s">
        <v>45</v>
      </c>
      <c r="B3638" t="s">
        <v>8332</v>
      </c>
      <c r="C3638" t="s">
        <v>47</v>
      </c>
      <c r="D3638" t="s">
        <v>8360</v>
      </c>
      <c r="E3638" t="s">
        <v>8360</v>
      </c>
      <c r="F3638" t="s">
        <v>49</v>
      </c>
      <c r="G3638" t="s">
        <v>8361</v>
      </c>
      <c r="H3638" t="s">
        <v>8362</v>
      </c>
      <c r="J3638" t="str">
        <f>HYPERLINK("https://www.facebook.com/454965103328545/posts/763899692435083?comment_id=378121111578941","https://www.facebook.com/454965103328545/posts/763899692435083?comment_id=378121111578941")</f>
        <v>https://www.facebook.com/454965103328545/posts/763899692435083?comment_id=378121111578941</v>
      </c>
      <c r="O3638">
        <v>0</v>
      </c>
      <c r="P3638">
        <v>0</v>
      </c>
      <c r="Q3638">
        <v>0</v>
      </c>
      <c r="S3638">
        <v>0</v>
      </c>
      <c r="T3638">
        <v>0</v>
      </c>
      <c r="U3638">
        <v>0</v>
      </c>
      <c r="W3638" t="s">
        <v>62</v>
      </c>
    </row>
    <row r="3639" spans="1:45" x14ac:dyDescent="0.35">
      <c r="A3639" t="s">
        <v>45</v>
      </c>
      <c r="B3639" t="s">
        <v>8332</v>
      </c>
      <c r="C3639" t="s">
        <v>47</v>
      </c>
      <c r="D3639" t="s">
        <v>45</v>
      </c>
      <c r="E3639" t="s">
        <v>45</v>
      </c>
      <c r="F3639" t="s">
        <v>49</v>
      </c>
      <c r="G3639" t="s">
        <v>8363</v>
      </c>
      <c r="H3639" t="s">
        <v>8364</v>
      </c>
      <c r="J3639" t="str">
        <f>HYPERLINK("https://www.facebook.com/357267201017935_3502682556615653","https://www.facebook.com/357267201017935_3502682556615653")</f>
        <v>https://www.facebook.com/357267201017935_3502682556615653</v>
      </c>
      <c r="O3639">
        <v>0</v>
      </c>
      <c r="P3639">
        <v>0</v>
      </c>
      <c r="Q3639">
        <v>0</v>
      </c>
      <c r="S3639">
        <v>0</v>
      </c>
      <c r="T3639">
        <v>0</v>
      </c>
      <c r="U3639">
        <v>0</v>
      </c>
      <c r="W3639" t="s">
        <v>106</v>
      </c>
      <c r="AS3639" t="s">
        <v>115</v>
      </c>
    </row>
    <row r="3640" spans="1:45" x14ac:dyDescent="0.35">
      <c r="A3640" t="s">
        <v>45</v>
      </c>
      <c r="B3640" t="s">
        <v>8332</v>
      </c>
      <c r="C3640" t="s">
        <v>47</v>
      </c>
      <c r="D3640" t="s">
        <v>45</v>
      </c>
      <c r="E3640" t="s">
        <v>45</v>
      </c>
      <c r="F3640" t="s">
        <v>49</v>
      </c>
      <c r="G3640" t="s">
        <v>8363</v>
      </c>
      <c r="H3640" t="s">
        <v>8365</v>
      </c>
      <c r="J3640" t="str">
        <f>HYPERLINK("https://www.facebook.com/357267201017935_757874902981386","https://www.facebook.com/357267201017935_757874902981386")</f>
        <v>https://www.facebook.com/357267201017935_757874902981386</v>
      </c>
      <c r="O3640">
        <v>0</v>
      </c>
      <c r="P3640">
        <v>0</v>
      </c>
      <c r="Q3640">
        <v>0</v>
      </c>
      <c r="S3640">
        <v>0</v>
      </c>
      <c r="T3640">
        <v>0</v>
      </c>
      <c r="U3640">
        <v>0</v>
      </c>
      <c r="W3640" t="s">
        <v>106</v>
      </c>
      <c r="AS3640" t="s">
        <v>115</v>
      </c>
    </row>
    <row r="3641" spans="1:45" x14ac:dyDescent="0.35">
      <c r="A3641" t="s">
        <v>45</v>
      </c>
      <c r="B3641" t="s">
        <v>8332</v>
      </c>
      <c r="C3641" t="s">
        <v>47</v>
      </c>
      <c r="D3641" t="s">
        <v>8366</v>
      </c>
      <c r="E3641" t="s">
        <v>8366</v>
      </c>
      <c r="F3641" t="s">
        <v>76</v>
      </c>
      <c r="G3641" t="s">
        <v>8367</v>
      </c>
      <c r="H3641" t="s">
        <v>8368</v>
      </c>
      <c r="J3641" t="str">
        <f>HYPERLINK("https://www.facebook.com/454965103328545/videos/3697954183759550?comment_id=344110621790339","https://www.facebook.com/454965103328545/videos/3697954183759550?comment_id=344110621790339")</f>
        <v>https://www.facebook.com/454965103328545/videos/3697954183759550?comment_id=344110621790339</v>
      </c>
      <c r="O3641">
        <v>0</v>
      </c>
      <c r="P3641">
        <v>0</v>
      </c>
      <c r="Q3641">
        <v>0</v>
      </c>
      <c r="S3641">
        <v>0</v>
      </c>
      <c r="T3641">
        <v>0</v>
      </c>
      <c r="U3641">
        <v>0</v>
      </c>
      <c r="W3641" t="s">
        <v>62</v>
      </c>
    </row>
    <row r="3642" spans="1:45" x14ac:dyDescent="0.35">
      <c r="A3642" t="s">
        <v>45</v>
      </c>
      <c r="B3642" t="s">
        <v>8332</v>
      </c>
      <c r="C3642" t="s">
        <v>47</v>
      </c>
      <c r="D3642" t="s">
        <v>8369</v>
      </c>
      <c r="E3642" t="s">
        <v>8369</v>
      </c>
      <c r="F3642" t="s">
        <v>49</v>
      </c>
      <c r="G3642" t="s">
        <v>8370</v>
      </c>
      <c r="H3642" t="s">
        <v>8371</v>
      </c>
      <c r="J3642" t="str">
        <f>HYPERLINK("https://www.facebook.com/454965103328545/videos/3697954183759550?comment_id=2396640427392917","https://www.facebook.com/454965103328545/videos/3697954183759550?comment_id=2396640427392917")</f>
        <v>https://www.facebook.com/454965103328545/videos/3697954183759550?comment_id=2396640427392917</v>
      </c>
      <c r="O3642">
        <v>0</v>
      </c>
      <c r="P3642">
        <v>0</v>
      </c>
      <c r="Q3642">
        <v>0</v>
      </c>
      <c r="S3642">
        <v>0</v>
      </c>
      <c r="T3642">
        <v>0</v>
      </c>
      <c r="U3642">
        <v>0</v>
      </c>
      <c r="W3642" t="s">
        <v>62</v>
      </c>
    </row>
    <row r="3643" spans="1:45" x14ac:dyDescent="0.35">
      <c r="A3643" t="s">
        <v>45</v>
      </c>
      <c r="B3643" t="s">
        <v>8332</v>
      </c>
      <c r="C3643" t="s">
        <v>47</v>
      </c>
      <c r="D3643" t="s">
        <v>8372</v>
      </c>
      <c r="E3643" t="s">
        <v>8372</v>
      </c>
      <c r="F3643" t="s">
        <v>49</v>
      </c>
      <c r="G3643" t="s">
        <v>8373</v>
      </c>
      <c r="H3643" t="s">
        <v>8374</v>
      </c>
      <c r="J3643" t="str">
        <f>HYPERLINK("https://www.facebook.com/454965103328545/posts/763899692435083?comment_id=407350551866511","https://www.facebook.com/454965103328545/posts/763899692435083?comment_id=407350551866511")</f>
        <v>https://www.facebook.com/454965103328545/posts/763899692435083?comment_id=407350551866511</v>
      </c>
      <c r="O3643">
        <v>0</v>
      </c>
      <c r="P3643">
        <v>0</v>
      </c>
      <c r="Q3643">
        <v>0</v>
      </c>
      <c r="S3643">
        <v>0</v>
      </c>
      <c r="T3643">
        <v>0</v>
      </c>
      <c r="U3643">
        <v>0</v>
      </c>
      <c r="W3643" t="s">
        <v>62</v>
      </c>
    </row>
    <row r="3644" spans="1:45" x14ac:dyDescent="0.35">
      <c r="A3644" t="s">
        <v>45</v>
      </c>
      <c r="B3644" t="s">
        <v>8332</v>
      </c>
      <c r="C3644" t="s">
        <v>47</v>
      </c>
      <c r="D3644" t="s">
        <v>8375</v>
      </c>
      <c r="E3644" t="s">
        <v>8375</v>
      </c>
      <c r="F3644" t="s">
        <v>49</v>
      </c>
      <c r="G3644" t="s">
        <v>8376</v>
      </c>
      <c r="H3644" t="s">
        <v>8377</v>
      </c>
      <c r="J3644" t="str">
        <f>HYPERLINK("https://www.facebook.com/454965103328545/videos/3697954183759550?comment_id=3521733974766291","https://www.facebook.com/454965103328545/videos/3697954183759550?comment_id=3521733974766291")</f>
        <v>https://www.facebook.com/454965103328545/videos/3697954183759550?comment_id=3521733974766291</v>
      </c>
      <c r="O3644">
        <v>0</v>
      </c>
      <c r="P3644">
        <v>0</v>
      </c>
      <c r="Q3644">
        <v>0</v>
      </c>
      <c r="S3644">
        <v>0</v>
      </c>
      <c r="T3644">
        <v>0</v>
      </c>
      <c r="U3644">
        <v>0</v>
      </c>
      <c r="W3644" t="s">
        <v>62</v>
      </c>
      <c r="AO3644" t="s">
        <v>119</v>
      </c>
    </row>
    <row r="3645" spans="1:45" x14ac:dyDescent="0.35">
      <c r="A3645" t="s">
        <v>45</v>
      </c>
      <c r="B3645" t="s">
        <v>8332</v>
      </c>
      <c r="C3645" t="s">
        <v>47</v>
      </c>
      <c r="D3645" t="s">
        <v>8372</v>
      </c>
      <c r="E3645" t="s">
        <v>8372</v>
      </c>
      <c r="F3645" t="s">
        <v>49</v>
      </c>
      <c r="G3645" t="s">
        <v>8378</v>
      </c>
      <c r="H3645" t="s">
        <v>8379</v>
      </c>
      <c r="J3645" t="str">
        <f>HYPERLINK("https://www.facebook.com/454965103328545/posts/763899692435083?comment_id=925771029177616","https://www.facebook.com/454965103328545/posts/763899692435083?comment_id=925771029177616")</f>
        <v>https://www.facebook.com/454965103328545/posts/763899692435083?comment_id=925771029177616</v>
      </c>
      <c r="O3645">
        <v>0</v>
      </c>
      <c r="P3645">
        <v>0</v>
      </c>
      <c r="Q3645">
        <v>0</v>
      </c>
      <c r="S3645">
        <v>0</v>
      </c>
      <c r="T3645">
        <v>0</v>
      </c>
      <c r="U3645">
        <v>0</v>
      </c>
      <c r="W3645" t="s">
        <v>62</v>
      </c>
      <c r="AS3645" t="s">
        <v>375</v>
      </c>
    </row>
    <row r="3646" spans="1:45" x14ac:dyDescent="0.35">
      <c r="A3646" t="s">
        <v>45</v>
      </c>
      <c r="B3646" t="s">
        <v>8332</v>
      </c>
      <c r="C3646" t="s">
        <v>47</v>
      </c>
      <c r="D3646" t="s">
        <v>8375</v>
      </c>
      <c r="E3646" t="s">
        <v>8375</v>
      </c>
      <c r="F3646" t="s">
        <v>49</v>
      </c>
      <c r="G3646" t="s">
        <v>8380</v>
      </c>
      <c r="H3646" t="s">
        <v>8381</v>
      </c>
      <c r="J3646" t="str">
        <f>HYPERLINK("https://www.facebook.com/454965103328545/videos/3697954183759550?comment_id=1323534488364950","https://www.facebook.com/454965103328545/videos/3697954183759550?comment_id=1323534488364950")</f>
        <v>https://www.facebook.com/454965103328545/videos/3697954183759550?comment_id=1323534488364950</v>
      </c>
      <c r="O3646">
        <v>0</v>
      </c>
      <c r="P3646">
        <v>0</v>
      </c>
      <c r="Q3646">
        <v>0</v>
      </c>
      <c r="S3646">
        <v>0</v>
      </c>
      <c r="T3646">
        <v>0</v>
      </c>
      <c r="U3646">
        <v>0</v>
      </c>
      <c r="W3646" t="s">
        <v>62</v>
      </c>
      <c r="AS3646" t="s">
        <v>375</v>
      </c>
    </row>
    <row r="3647" spans="1:45" x14ac:dyDescent="0.35">
      <c r="A3647" t="s">
        <v>45</v>
      </c>
      <c r="B3647" t="s">
        <v>8332</v>
      </c>
      <c r="C3647" t="s">
        <v>47</v>
      </c>
      <c r="D3647" t="s">
        <v>8382</v>
      </c>
      <c r="E3647" t="s">
        <v>8382</v>
      </c>
      <c r="F3647" t="s">
        <v>49</v>
      </c>
      <c r="G3647" t="s">
        <v>8383</v>
      </c>
      <c r="H3647" t="s">
        <v>8384</v>
      </c>
      <c r="J3647" t="str">
        <f>HYPERLINK("https://www.facebook.com/357267201017935/inbox/6993082964102959/","https://www.facebook.com/357267201017935/inbox/6993082964102959/")</f>
        <v>https://www.facebook.com/357267201017935/inbox/6993082964102959/</v>
      </c>
      <c r="O3647">
        <v>0</v>
      </c>
      <c r="P3647">
        <v>0</v>
      </c>
      <c r="Q3647">
        <v>0</v>
      </c>
      <c r="S3647">
        <v>0</v>
      </c>
      <c r="T3647">
        <v>0</v>
      </c>
      <c r="U3647">
        <v>0</v>
      </c>
      <c r="W3647" t="s">
        <v>52</v>
      </c>
      <c r="AS3647" t="s">
        <v>375</v>
      </c>
    </row>
    <row r="3648" spans="1:45" x14ac:dyDescent="0.35">
      <c r="A3648" t="s">
        <v>45</v>
      </c>
      <c r="B3648" t="s">
        <v>8332</v>
      </c>
      <c r="C3648" t="s">
        <v>47</v>
      </c>
      <c r="D3648" t="s">
        <v>8382</v>
      </c>
      <c r="E3648" t="s">
        <v>8382</v>
      </c>
      <c r="F3648" t="s">
        <v>49</v>
      </c>
      <c r="G3648" t="s">
        <v>2767</v>
      </c>
      <c r="H3648" t="s">
        <v>8385</v>
      </c>
      <c r="J3648" t="str">
        <f>HYPERLINK("https://www.facebook.com/357267201017935/inbox/6993082964102959/","https://www.facebook.com/357267201017935/inbox/6993082964102959/")</f>
        <v>https://www.facebook.com/357267201017935/inbox/6993082964102959/</v>
      </c>
      <c r="O3648">
        <v>0</v>
      </c>
      <c r="P3648">
        <v>0</v>
      </c>
      <c r="Q3648">
        <v>0</v>
      </c>
      <c r="S3648">
        <v>0</v>
      </c>
      <c r="T3648">
        <v>0</v>
      </c>
      <c r="U3648">
        <v>0</v>
      </c>
      <c r="W3648" t="s">
        <v>52</v>
      </c>
    </row>
    <row r="3649" spans="1:45" x14ac:dyDescent="0.35">
      <c r="A3649" t="s">
        <v>45</v>
      </c>
      <c r="B3649" t="s">
        <v>8332</v>
      </c>
      <c r="C3649" t="s">
        <v>47</v>
      </c>
      <c r="D3649" t="s">
        <v>8382</v>
      </c>
      <c r="E3649" t="s">
        <v>8382</v>
      </c>
      <c r="F3649" t="s">
        <v>49</v>
      </c>
      <c r="G3649" t="s">
        <v>56</v>
      </c>
      <c r="H3649" t="s">
        <v>8386</v>
      </c>
      <c r="J3649" t="str">
        <f>HYPERLINK("https://www.facebook.com/357267201017935/inbox/6993082964102959/","https://www.facebook.com/357267201017935/inbox/6993082964102959/")</f>
        <v>https://www.facebook.com/357267201017935/inbox/6993082964102959/</v>
      </c>
      <c r="O3649">
        <v>0</v>
      </c>
      <c r="P3649">
        <v>0</v>
      </c>
      <c r="Q3649">
        <v>0</v>
      </c>
      <c r="S3649">
        <v>0</v>
      </c>
      <c r="T3649">
        <v>0</v>
      </c>
      <c r="U3649">
        <v>0</v>
      </c>
      <c r="W3649" t="s">
        <v>52</v>
      </c>
    </row>
    <row r="3650" spans="1:45" x14ac:dyDescent="0.35">
      <c r="A3650" t="s">
        <v>45</v>
      </c>
      <c r="B3650" t="s">
        <v>8332</v>
      </c>
      <c r="C3650" t="s">
        <v>47</v>
      </c>
      <c r="D3650" t="s">
        <v>8382</v>
      </c>
      <c r="E3650" t="s">
        <v>8382</v>
      </c>
      <c r="F3650" t="s">
        <v>49</v>
      </c>
      <c r="G3650" t="s">
        <v>253</v>
      </c>
      <c r="H3650" t="s">
        <v>8387</v>
      </c>
      <c r="J3650" t="str">
        <f>HYPERLINK("https://www.facebook.com/357267201017935/inbox/6993082964102959/","https://www.facebook.com/357267201017935/inbox/6993082964102959/")</f>
        <v>https://www.facebook.com/357267201017935/inbox/6993082964102959/</v>
      </c>
      <c r="O3650">
        <v>0</v>
      </c>
      <c r="P3650">
        <v>0</v>
      </c>
      <c r="Q3650">
        <v>0</v>
      </c>
      <c r="S3650">
        <v>0</v>
      </c>
      <c r="T3650">
        <v>0</v>
      </c>
      <c r="U3650">
        <v>0</v>
      </c>
      <c r="W3650" t="s">
        <v>52</v>
      </c>
    </row>
    <row r="3651" spans="1:45" x14ac:dyDescent="0.35">
      <c r="A3651" t="s">
        <v>45</v>
      </c>
      <c r="B3651" t="s">
        <v>8332</v>
      </c>
      <c r="C3651" t="s">
        <v>47</v>
      </c>
      <c r="D3651" t="s">
        <v>8388</v>
      </c>
      <c r="E3651" t="s">
        <v>8388</v>
      </c>
      <c r="F3651" t="s">
        <v>49</v>
      </c>
      <c r="G3651" t="s">
        <v>8389</v>
      </c>
      <c r="H3651" t="s">
        <v>8390</v>
      </c>
      <c r="J3651" t="str">
        <f>HYPERLINK("https://www.facebook.com/454965103328545/videos/3697954183759550?comment_id=1563746021051989","https://www.facebook.com/454965103328545/videos/3697954183759550?comment_id=1563746021051989")</f>
        <v>https://www.facebook.com/454965103328545/videos/3697954183759550?comment_id=1563746021051989</v>
      </c>
      <c r="O3651">
        <v>0</v>
      </c>
      <c r="P3651">
        <v>0</v>
      </c>
      <c r="Q3651">
        <v>0</v>
      </c>
      <c r="S3651">
        <v>0</v>
      </c>
      <c r="T3651">
        <v>0</v>
      </c>
      <c r="U3651">
        <v>0</v>
      </c>
      <c r="W3651" t="s">
        <v>62</v>
      </c>
    </row>
    <row r="3652" spans="1:45" x14ac:dyDescent="0.35">
      <c r="A3652" t="s">
        <v>45</v>
      </c>
      <c r="B3652" t="s">
        <v>8332</v>
      </c>
      <c r="C3652" t="s">
        <v>47</v>
      </c>
      <c r="D3652" t="s">
        <v>8391</v>
      </c>
      <c r="E3652" t="s">
        <v>8391</v>
      </c>
      <c r="F3652" t="s">
        <v>49</v>
      </c>
      <c r="G3652" t="s">
        <v>7706</v>
      </c>
      <c r="H3652" t="s">
        <v>8392</v>
      </c>
      <c r="J3652" t="str">
        <f>HYPERLINK("https://www.facebook.com/454965103328545/videos/3697954183759550?comment_id=1558187695006252","https://www.facebook.com/454965103328545/videos/3697954183759550?comment_id=1558187695006252")</f>
        <v>https://www.facebook.com/454965103328545/videos/3697954183759550?comment_id=1558187695006252</v>
      </c>
      <c r="O3652">
        <v>0</v>
      </c>
      <c r="P3652">
        <v>0</v>
      </c>
      <c r="Q3652">
        <v>0</v>
      </c>
      <c r="S3652">
        <v>0</v>
      </c>
      <c r="T3652">
        <v>0</v>
      </c>
      <c r="U3652">
        <v>0</v>
      </c>
      <c r="W3652" t="s">
        <v>62</v>
      </c>
    </row>
    <row r="3653" spans="1:45" x14ac:dyDescent="0.35">
      <c r="A3653" t="s">
        <v>45</v>
      </c>
      <c r="B3653" t="s">
        <v>8332</v>
      </c>
      <c r="C3653" t="s">
        <v>47</v>
      </c>
      <c r="D3653" t="s">
        <v>8393</v>
      </c>
      <c r="E3653" t="s">
        <v>8393</v>
      </c>
      <c r="F3653" t="s">
        <v>49</v>
      </c>
      <c r="G3653" t="s">
        <v>8394</v>
      </c>
      <c r="H3653" t="s">
        <v>8395</v>
      </c>
      <c r="J3653" t="str">
        <f>HYPERLINK("https://www.facebook.com/454965103328545/posts/763899692435083?comment_id=5411216819002429","https://www.facebook.com/454965103328545/posts/763899692435083?comment_id=5411216819002429")</f>
        <v>https://www.facebook.com/454965103328545/posts/763899692435083?comment_id=5411216819002429</v>
      </c>
      <c r="O3653">
        <v>0</v>
      </c>
      <c r="P3653">
        <v>0</v>
      </c>
      <c r="Q3653">
        <v>0</v>
      </c>
      <c r="S3653">
        <v>0</v>
      </c>
      <c r="T3653">
        <v>0</v>
      </c>
      <c r="U3653">
        <v>0</v>
      </c>
      <c r="W3653" t="s">
        <v>62</v>
      </c>
      <c r="AS3653" t="s">
        <v>375</v>
      </c>
    </row>
    <row r="3654" spans="1:45" x14ac:dyDescent="0.35">
      <c r="A3654" t="s">
        <v>45</v>
      </c>
      <c r="B3654" t="s">
        <v>8332</v>
      </c>
      <c r="C3654" t="s">
        <v>47</v>
      </c>
      <c r="D3654" t="s">
        <v>7873</v>
      </c>
      <c r="E3654" t="s">
        <v>7873</v>
      </c>
      <c r="F3654" t="s">
        <v>49</v>
      </c>
      <c r="G3654" t="s">
        <v>8396</v>
      </c>
      <c r="H3654" t="s">
        <v>8397</v>
      </c>
      <c r="J3654" t="str">
        <f>HYPERLINK("https://www.facebook.com/357267201017935/inbox/6993039450773977/","https://www.facebook.com/357267201017935/inbox/6993039450773977/")</f>
        <v>https://www.facebook.com/357267201017935/inbox/6993039450773977/</v>
      </c>
      <c r="O3654">
        <v>0</v>
      </c>
      <c r="P3654">
        <v>0</v>
      </c>
      <c r="Q3654">
        <v>0</v>
      </c>
      <c r="S3654">
        <v>0</v>
      </c>
      <c r="T3654">
        <v>0</v>
      </c>
      <c r="U3654">
        <v>0</v>
      </c>
      <c r="W3654" t="s">
        <v>52</v>
      </c>
    </row>
    <row r="3655" spans="1:45" x14ac:dyDescent="0.35">
      <c r="A3655" t="s">
        <v>45</v>
      </c>
      <c r="B3655" t="s">
        <v>8332</v>
      </c>
      <c r="C3655" t="s">
        <v>47</v>
      </c>
      <c r="D3655" t="s">
        <v>7873</v>
      </c>
      <c r="E3655" t="s">
        <v>7873</v>
      </c>
      <c r="F3655" t="s">
        <v>49</v>
      </c>
      <c r="G3655" t="s">
        <v>8398</v>
      </c>
      <c r="H3655" t="s">
        <v>8399</v>
      </c>
      <c r="J3655" t="str">
        <f>HYPERLINK("https://www.facebook.com/357267201017935/inbox/6993039450773977/","https://www.facebook.com/357267201017935/inbox/6993039450773977/")</f>
        <v>https://www.facebook.com/357267201017935/inbox/6993039450773977/</v>
      </c>
      <c r="O3655">
        <v>0</v>
      </c>
      <c r="P3655">
        <v>0</v>
      </c>
      <c r="Q3655">
        <v>0</v>
      </c>
      <c r="S3655">
        <v>0</v>
      </c>
      <c r="T3655">
        <v>0</v>
      </c>
      <c r="U3655">
        <v>0</v>
      </c>
      <c r="W3655" t="s">
        <v>52</v>
      </c>
      <c r="AS3655" t="s">
        <v>375</v>
      </c>
    </row>
    <row r="3656" spans="1:45" x14ac:dyDescent="0.35">
      <c r="A3656" t="s">
        <v>45</v>
      </c>
      <c r="B3656" t="s">
        <v>8332</v>
      </c>
      <c r="C3656" t="s">
        <v>47</v>
      </c>
      <c r="D3656" t="s">
        <v>8400</v>
      </c>
      <c r="E3656" t="s">
        <v>8400</v>
      </c>
      <c r="F3656" t="s">
        <v>142</v>
      </c>
      <c r="G3656" t="s">
        <v>8401</v>
      </c>
      <c r="H3656" t="s">
        <v>8402</v>
      </c>
      <c r="J3656" t="str">
        <f>HYPERLINK("https://www.facebook.com/454965103328545/posts/763307319160987?comment_id=1440272473507148","https://www.facebook.com/454965103328545/posts/763307319160987?comment_id=1440272473507148")</f>
        <v>https://www.facebook.com/454965103328545/posts/763307319160987?comment_id=1440272473507148</v>
      </c>
      <c r="O3656">
        <v>0</v>
      </c>
      <c r="P3656">
        <v>0</v>
      </c>
      <c r="Q3656">
        <v>0</v>
      </c>
      <c r="S3656">
        <v>0</v>
      </c>
      <c r="T3656">
        <v>0</v>
      </c>
      <c r="U3656">
        <v>0</v>
      </c>
      <c r="W3656" t="s">
        <v>62</v>
      </c>
      <c r="AP3656" t="s">
        <v>147</v>
      </c>
      <c r="AS3656" t="s">
        <v>375</v>
      </c>
    </row>
    <row r="3657" spans="1:45" x14ac:dyDescent="0.35">
      <c r="A3657" t="s">
        <v>45</v>
      </c>
      <c r="B3657" t="s">
        <v>8332</v>
      </c>
      <c r="C3657" t="s">
        <v>47</v>
      </c>
      <c r="D3657" t="s">
        <v>8403</v>
      </c>
      <c r="E3657" t="s">
        <v>8403</v>
      </c>
      <c r="F3657" t="s">
        <v>142</v>
      </c>
      <c r="G3657" t="s">
        <v>8404</v>
      </c>
      <c r="H3657" t="s">
        <v>8405</v>
      </c>
      <c r="J3657" t="str">
        <f>HYPERLINK("https://www.facebook.com/454965103328545/posts/763871475771238?comment_id=950716823391953","https://www.facebook.com/454965103328545/posts/763871475771238?comment_id=950716823391953")</f>
        <v>https://www.facebook.com/454965103328545/posts/763871475771238?comment_id=950716823391953</v>
      </c>
      <c r="O3657">
        <v>0</v>
      </c>
      <c r="P3657">
        <v>0</v>
      </c>
      <c r="Q3657">
        <v>0</v>
      </c>
      <c r="S3657">
        <v>0</v>
      </c>
      <c r="T3657">
        <v>0</v>
      </c>
      <c r="U3657">
        <v>0</v>
      </c>
      <c r="W3657" t="s">
        <v>62</v>
      </c>
    </row>
    <row r="3658" spans="1:45" x14ac:dyDescent="0.35">
      <c r="A3658" t="s">
        <v>45</v>
      </c>
      <c r="B3658" t="s">
        <v>8332</v>
      </c>
      <c r="C3658" t="s">
        <v>47</v>
      </c>
      <c r="D3658" t="s">
        <v>8406</v>
      </c>
      <c r="E3658" t="s">
        <v>8406</v>
      </c>
      <c r="F3658" t="s">
        <v>49</v>
      </c>
      <c r="G3658" t="s">
        <v>7706</v>
      </c>
      <c r="H3658" t="s">
        <v>8407</v>
      </c>
      <c r="J3658" t="str">
        <f>HYPERLINK("https://www.facebook.com/454965103328545/videos/3697954183759550?comment_id=687012043328754","https://www.facebook.com/454965103328545/videos/3697954183759550?comment_id=687012043328754")</f>
        <v>https://www.facebook.com/454965103328545/videos/3697954183759550?comment_id=687012043328754</v>
      </c>
      <c r="O3658">
        <v>0</v>
      </c>
      <c r="P3658">
        <v>0</v>
      </c>
      <c r="Q3658">
        <v>0</v>
      </c>
      <c r="S3658">
        <v>0</v>
      </c>
      <c r="T3658">
        <v>0</v>
      </c>
      <c r="U3658">
        <v>0</v>
      </c>
      <c r="W3658" t="s">
        <v>62</v>
      </c>
    </row>
    <row r="3659" spans="1:45" x14ac:dyDescent="0.35">
      <c r="A3659" t="s">
        <v>45</v>
      </c>
      <c r="B3659" t="s">
        <v>8332</v>
      </c>
      <c r="C3659" t="s">
        <v>47</v>
      </c>
      <c r="D3659" t="s">
        <v>4488</v>
      </c>
      <c r="E3659" t="s">
        <v>4488</v>
      </c>
      <c r="F3659" t="s">
        <v>49</v>
      </c>
      <c r="G3659" t="s">
        <v>8347</v>
      </c>
      <c r="H3659" t="s">
        <v>8408</v>
      </c>
      <c r="J3659" t="str">
        <f>HYPERLINK("https://www.facebook.com/454965103328545/posts/763871475771238?comment_id=344754785123274","https://www.facebook.com/454965103328545/posts/763871475771238?comment_id=344754785123274")</f>
        <v>https://www.facebook.com/454965103328545/posts/763871475771238?comment_id=344754785123274</v>
      </c>
      <c r="O3659">
        <v>0</v>
      </c>
      <c r="P3659">
        <v>0</v>
      </c>
      <c r="Q3659">
        <v>0</v>
      </c>
      <c r="S3659">
        <v>0</v>
      </c>
      <c r="T3659">
        <v>0</v>
      </c>
      <c r="U3659">
        <v>0</v>
      </c>
      <c r="W3659" t="s">
        <v>62</v>
      </c>
      <c r="AS3659" t="s">
        <v>375</v>
      </c>
    </row>
    <row r="3660" spans="1:45" x14ac:dyDescent="0.35">
      <c r="A3660" t="s">
        <v>45</v>
      </c>
      <c r="B3660" t="s">
        <v>8332</v>
      </c>
      <c r="C3660" t="s">
        <v>47</v>
      </c>
      <c r="D3660" t="s">
        <v>8409</v>
      </c>
      <c r="E3660" t="s">
        <v>8409</v>
      </c>
      <c r="F3660" t="s">
        <v>49</v>
      </c>
      <c r="G3660" t="s">
        <v>8410</v>
      </c>
      <c r="H3660" t="s">
        <v>8411</v>
      </c>
      <c r="J3660" t="str">
        <f>HYPERLINK("https://www.facebook.com/454965103328545/videos/3697954183759550?comment_id=374058178676436","https://www.facebook.com/454965103328545/videos/3697954183759550?comment_id=374058178676436")</f>
        <v>https://www.facebook.com/454965103328545/videos/3697954183759550?comment_id=374058178676436</v>
      </c>
      <c r="O3660">
        <v>0</v>
      </c>
      <c r="P3660">
        <v>0</v>
      </c>
      <c r="Q3660">
        <v>0</v>
      </c>
      <c r="S3660">
        <v>0</v>
      </c>
      <c r="T3660">
        <v>0</v>
      </c>
      <c r="U3660">
        <v>0</v>
      </c>
      <c r="W3660" t="s">
        <v>62</v>
      </c>
    </row>
    <row r="3661" spans="1:45" x14ac:dyDescent="0.35">
      <c r="A3661" t="s">
        <v>45</v>
      </c>
      <c r="B3661" t="s">
        <v>8332</v>
      </c>
      <c r="C3661" t="s">
        <v>47</v>
      </c>
      <c r="D3661" t="s">
        <v>8409</v>
      </c>
      <c r="E3661" t="s">
        <v>8409</v>
      </c>
      <c r="F3661" t="s">
        <v>49</v>
      </c>
      <c r="G3661" t="s">
        <v>8410</v>
      </c>
      <c r="H3661" t="s">
        <v>8412</v>
      </c>
      <c r="J3661" t="str">
        <f>HYPERLINK("https://www.facebook.com/454965103328545/videos/3697954183759550?comment_id=359665570287709","https://www.facebook.com/454965103328545/videos/3697954183759550?comment_id=359665570287709")</f>
        <v>https://www.facebook.com/454965103328545/videos/3697954183759550?comment_id=359665570287709</v>
      </c>
      <c r="O3661">
        <v>0</v>
      </c>
      <c r="P3661">
        <v>0</v>
      </c>
      <c r="Q3661">
        <v>0</v>
      </c>
      <c r="S3661">
        <v>0</v>
      </c>
      <c r="T3661">
        <v>0</v>
      </c>
      <c r="U3661">
        <v>0</v>
      </c>
      <c r="W3661" t="s">
        <v>62</v>
      </c>
    </row>
    <row r="3662" spans="1:45" x14ac:dyDescent="0.35">
      <c r="A3662" t="s">
        <v>45</v>
      </c>
      <c r="B3662" t="s">
        <v>8332</v>
      </c>
      <c r="C3662" t="s">
        <v>47</v>
      </c>
      <c r="D3662" t="s">
        <v>8413</v>
      </c>
      <c r="E3662" t="s">
        <v>8413</v>
      </c>
      <c r="F3662" t="s">
        <v>49</v>
      </c>
      <c r="G3662" t="s">
        <v>8414</v>
      </c>
      <c r="H3662" t="s">
        <v>8415</v>
      </c>
      <c r="J3662" t="str">
        <f>HYPERLINK("https://www.facebook.com/454965103328545/videos/3697954183759550?comment_id=6758688497569067","https://www.facebook.com/454965103328545/videos/3697954183759550?comment_id=6758688497569067")</f>
        <v>https://www.facebook.com/454965103328545/videos/3697954183759550?comment_id=6758688497569067</v>
      </c>
      <c r="O3662">
        <v>0</v>
      </c>
      <c r="P3662">
        <v>0</v>
      </c>
      <c r="Q3662">
        <v>0</v>
      </c>
      <c r="S3662">
        <v>0</v>
      </c>
      <c r="T3662">
        <v>0</v>
      </c>
      <c r="U3662">
        <v>0</v>
      </c>
      <c r="W3662" t="s">
        <v>62</v>
      </c>
      <c r="AS3662" t="s">
        <v>375</v>
      </c>
    </row>
    <row r="3663" spans="1:45" x14ac:dyDescent="0.35">
      <c r="A3663" t="s">
        <v>45</v>
      </c>
      <c r="B3663" t="s">
        <v>8332</v>
      </c>
      <c r="C3663" t="s">
        <v>47</v>
      </c>
      <c r="D3663" t="s">
        <v>8416</v>
      </c>
      <c r="E3663" t="s">
        <v>8416</v>
      </c>
      <c r="F3663" t="s">
        <v>49</v>
      </c>
      <c r="G3663" t="s">
        <v>8417</v>
      </c>
      <c r="H3663" t="s">
        <v>8418</v>
      </c>
      <c r="J3663" t="str">
        <f>HYPERLINK("https://www.facebook.com/454965103328545/videos/3697954183759550?comment_id=2128465477522261","https://www.facebook.com/454965103328545/videos/3697954183759550?comment_id=2128465477522261")</f>
        <v>https://www.facebook.com/454965103328545/videos/3697954183759550?comment_id=2128465477522261</v>
      </c>
      <c r="O3663">
        <v>0</v>
      </c>
      <c r="P3663">
        <v>0</v>
      </c>
      <c r="Q3663">
        <v>0</v>
      </c>
      <c r="S3663">
        <v>0</v>
      </c>
      <c r="T3663">
        <v>0</v>
      </c>
      <c r="U3663">
        <v>0</v>
      </c>
      <c r="W3663" t="s">
        <v>62</v>
      </c>
    </row>
    <row r="3664" spans="1:45" x14ac:dyDescent="0.35">
      <c r="A3664" t="s">
        <v>45</v>
      </c>
      <c r="B3664" t="s">
        <v>8332</v>
      </c>
      <c r="C3664" t="s">
        <v>47</v>
      </c>
      <c r="D3664" t="s">
        <v>8416</v>
      </c>
      <c r="E3664" t="s">
        <v>8416</v>
      </c>
      <c r="F3664" t="s">
        <v>49</v>
      </c>
      <c r="G3664" t="s">
        <v>8419</v>
      </c>
      <c r="H3664" t="s">
        <v>8420</v>
      </c>
      <c r="J3664" t="str">
        <f>HYPERLINK("https://www.facebook.com/454965103328545/videos/3697954183759550?comment_id=1562977957888543","https://www.facebook.com/454965103328545/videos/3697954183759550?comment_id=1562977957888543")</f>
        <v>https://www.facebook.com/454965103328545/videos/3697954183759550?comment_id=1562977957888543</v>
      </c>
      <c r="O3664">
        <v>0</v>
      </c>
      <c r="P3664">
        <v>0</v>
      </c>
      <c r="Q3664">
        <v>0</v>
      </c>
      <c r="S3664">
        <v>0</v>
      </c>
      <c r="T3664">
        <v>0</v>
      </c>
      <c r="U3664">
        <v>0</v>
      </c>
      <c r="W3664" t="s">
        <v>62</v>
      </c>
    </row>
    <row r="3665" spans="1:45" x14ac:dyDescent="0.35">
      <c r="A3665" t="s">
        <v>45</v>
      </c>
      <c r="B3665" t="s">
        <v>8332</v>
      </c>
      <c r="C3665" t="s">
        <v>47</v>
      </c>
      <c r="D3665" t="s">
        <v>8154</v>
      </c>
      <c r="E3665" t="s">
        <v>8154</v>
      </c>
      <c r="F3665" t="s">
        <v>49</v>
      </c>
      <c r="G3665" t="s">
        <v>8421</v>
      </c>
      <c r="H3665" t="s">
        <v>8422</v>
      </c>
      <c r="J3665" t="str">
        <f>HYPERLINK("https://www.facebook.com/454965103328545/posts/763899692435083?comment_id=304686429268872","https://www.facebook.com/454965103328545/posts/763899692435083?comment_id=304686429268872")</f>
        <v>https://www.facebook.com/454965103328545/posts/763899692435083?comment_id=304686429268872</v>
      </c>
      <c r="O3665">
        <v>0</v>
      </c>
      <c r="P3665">
        <v>0</v>
      </c>
      <c r="Q3665">
        <v>0</v>
      </c>
      <c r="S3665">
        <v>0</v>
      </c>
      <c r="T3665">
        <v>0</v>
      </c>
      <c r="U3665">
        <v>0</v>
      </c>
      <c r="W3665" t="s">
        <v>62</v>
      </c>
      <c r="AS3665" t="s">
        <v>375</v>
      </c>
    </row>
    <row r="3666" spans="1:45" x14ac:dyDescent="0.35">
      <c r="A3666" t="s">
        <v>45</v>
      </c>
      <c r="B3666" t="s">
        <v>8332</v>
      </c>
      <c r="C3666" t="s">
        <v>47</v>
      </c>
      <c r="D3666" t="s">
        <v>3899</v>
      </c>
      <c r="E3666" t="s">
        <v>3899</v>
      </c>
      <c r="F3666" t="s">
        <v>49</v>
      </c>
      <c r="G3666" t="s">
        <v>4056</v>
      </c>
      <c r="H3666" t="s">
        <v>8423</v>
      </c>
      <c r="J3666" t="str">
        <f>HYPERLINK("https://www.facebook.com/454965103328545/videos/3697954183759550?comment_id=352136967629188","https://www.facebook.com/454965103328545/videos/3697954183759550?comment_id=352136967629188")</f>
        <v>https://www.facebook.com/454965103328545/videos/3697954183759550?comment_id=352136967629188</v>
      </c>
      <c r="O3666">
        <v>0</v>
      </c>
      <c r="P3666">
        <v>0</v>
      </c>
      <c r="Q3666">
        <v>0</v>
      </c>
      <c r="S3666">
        <v>0</v>
      </c>
      <c r="T3666">
        <v>0</v>
      </c>
      <c r="U3666">
        <v>0</v>
      </c>
      <c r="W3666" t="s">
        <v>62</v>
      </c>
    </row>
    <row r="3667" spans="1:45" x14ac:dyDescent="0.35">
      <c r="A3667" t="s">
        <v>45</v>
      </c>
      <c r="B3667" t="s">
        <v>8332</v>
      </c>
      <c r="C3667" t="s">
        <v>47</v>
      </c>
      <c r="D3667" t="s">
        <v>8424</v>
      </c>
      <c r="E3667" t="s">
        <v>8424</v>
      </c>
      <c r="F3667" t="s">
        <v>49</v>
      </c>
      <c r="G3667" t="s">
        <v>7706</v>
      </c>
      <c r="H3667" t="s">
        <v>8425</v>
      </c>
      <c r="J3667" t="str">
        <f>HYPERLINK("https://www.facebook.com/454965103328545/videos/3697954183759550?comment_id=756463696017507","https://www.facebook.com/454965103328545/videos/3697954183759550?comment_id=756463696017507")</f>
        <v>https://www.facebook.com/454965103328545/videos/3697954183759550?comment_id=756463696017507</v>
      </c>
      <c r="O3667">
        <v>0</v>
      </c>
      <c r="P3667">
        <v>0</v>
      </c>
      <c r="Q3667">
        <v>0</v>
      </c>
      <c r="S3667">
        <v>0</v>
      </c>
      <c r="T3667">
        <v>0</v>
      </c>
      <c r="U3667">
        <v>0</v>
      </c>
      <c r="W3667" t="s">
        <v>62</v>
      </c>
      <c r="AS3667" t="s">
        <v>375</v>
      </c>
    </row>
    <row r="3668" spans="1:45" x14ac:dyDescent="0.35">
      <c r="A3668" t="s">
        <v>45</v>
      </c>
      <c r="B3668" t="s">
        <v>8332</v>
      </c>
      <c r="C3668" t="s">
        <v>47</v>
      </c>
      <c r="D3668" t="s">
        <v>8426</v>
      </c>
      <c r="E3668" t="s">
        <v>8426</v>
      </c>
      <c r="F3668" t="s">
        <v>49</v>
      </c>
      <c r="G3668" t="s">
        <v>8427</v>
      </c>
      <c r="H3668" t="s">
        <v>8428</v>
      </c>
      <c r="J3668" t="str">
        <f>HYPERLINK("https://www.facebook.com/454965103328545/posts/763899692435083?comment_id=3583887665089168","https://www.facebook.com/454965103328545/posts/763899692435083?comment_id=3583887665089168")</f>
        <v>https://www.facebook.com/454965103328545/posts/763899692435083?comment_id=3583887665089168</v>
      </c>
      <c r="O3668">
        <v>0</v>
      </c>
      <c r="P3668">
        <v>0</v>
      </c>
      <c r="Q3668">
        <v>0</v>
      </c>
      <c r="S3668">
        <v>0</v>
      </c>
      <c r="T3668">
        <v>0</v>
      </c>
      <c r="U3668">
        <v>0</v>
      </c>
      <c r="W3668" t="s">
        <v>62</v>
      </c>
    </row>
    <row r="3669" spans="1:45" x14ac:dyDescent="0.35">
      <c r="A3669" t="s">
        <v>45</v>
      </c>
      <c r="B3669" t="s">
        <v>8332</v>
      </c>
      <c r="C3669" t="s">
        <v>47</v>
      </c>
      <c r="F3669" t="s">
        <v>49</v>
      </c>
      <c r="G3669" t="s">
        <v>8429</v>
      </c>
      <c r="H3669" t="s">
        <v>8430</v>
      </c>
      <c r="J3669" t="str">
        <f>HYPERLINK("https://www.facebook.com/6820763411346178_10233134190887436","https://www.facebook.com/6820763411346178_10233134190887436")</f>
        <v>https://www.facebook.com/6820763411346178_10233134190887436</v>
      </c>
      <c r="O3669">
        <v>0</v>
      </c>
      <c r="P3669">
        <v>0</v>
      </c>
      <c r="Q3669">
        <v>0</v>
      </c>
      <c r="S3669">
        <v>0</v>
      </c>
      <c r="T3669">
        <v>0</v>
      </c>
      <c r="U3669">
        <v>0</v>
      </c>
      <c r="W3669" t="s">
        <v>106</v>
      </c>
    </row>
    <row r="3670" spans="1:45" x14ac:dyDescent="0.35">
      <c r="A3670" t="s">
        <v>45</v>
      </c>
      <c r="B3670" t="s">
        <v>8332</v>
      </c>
      <c r="C3670" t="s">
        <v>47</v>
      </c>
      <c r="D3670" t="s">
        <v>8174</v>
      </c>
      <c r="E3670" t="s">
        <v>8174</v>
      </c>
      <c r="F3670" t="s">
        <v>49</v>
      </c>
      <c r="G3670" t="s">
        <v>8431</v>
      </c>
      <c r="H3670" t="s">
        <v>8432</v>
      </c>
      <c r="J3670" t="str">
        <f>HYPERLINK("https://www.facebook.com/357267201017935/inbox/6992890764122179/","https://www.facebook.com/357267201017935/inbox/6992890764122179/")</f>
        <v>https://www.facebook.com/357267201017935/inbox/6992890764122179/</v>
      </c>
      <c r="O3670">
        <v>0</v>
      </c>
      <c r="P3670">
        <v>0</v>
      </c>
      <c r="Q3670">
        <v>0</v>
      </c>
      <c r="S3670">
        <v>0</v>
      </c>
      <c r="T3670">
        <v>0</v>
      </c>
      <c r="U3670">
        <v>0</v>
      </c>
      <c r="W3670" t="s">
        <v>52</v>
      </c>
      <c r="AP3670" t="s">
        <v>94</v>
      </c>
    </row>
    <row r="3671" spans="1:45" x14ac:dyDescent="0.35">
      <c r="A3671" t="s">
        <v>45</v>
      </c>
      <c r="B3671" t="s">
        <v>8332</v>
      </c>
      <c r="C3671" t="s">
        <v>47</v>
      </c>
      <c r="D3671" t="s">
        <v>8174</v>
      </c>
      <c r="E3671" t="s">
        <v>8174</v>
      </c>
      <c r="F3671" t="s">
        <v>49</v>
      </c>
      <c r="G3671" t="s">
        <v>56</v>
      </c>
      <c r="H3671" t="s">
        <v>8433</v>
      </c>
      <c r="J3671" t="str">
        <f>HYPERLINK("https://www.facebook.com/357267201017935/inbox/6992890764122179/","https://www.facebook.com/357267201017935/inbox/6992890764122179/")</f>
        <v>https://www.facebook.com/357267201017935/inbox/6992890764122179/</v>
      </c>
      <c r="O3671">
        <v>0</v>
      </c>
      <c r="P3671">
        <v>0</v>
      </c>
      <c r="Q3671">
        <v>0</v>
      </c>
      <c r="S3671">
        <v>0</v>
      </c>
      <c r="T3671">
        <v>0</v>
      </c>
      <c r="U3671">
        <v>0</v>
      </c>
      <c r="W3671" t="s">
        <v>52</v>
      </c>
    </row>
    <row r="3672" spans="1:45" x14ac:dyDescent="0.35">
      <c r="A3672" t="s">
        <v>45</v>
      </c>
      <c r="B3672" t="s">
        <v>8332</v>
      </c>
      <c r="C3672" t="s">
        <v>47</v>
      </c>
      <c r="D3672" t="s">
        <v>8174</v>
      </c>
      <c r="E3672" t="s">
        <v>8174</v>
      </c>
      <c r="F3672" t="s">
        <v>142</v>
      </c>
      <c r="G3672" t="s">
        <v>8434</v>
      </c>
      <c r="H3672" t="s">
        <v>8435</v>
      </c>
      <c r="J3672" t="str">
        <f>HYPERLINK("https://www.facebook.com/454965103328545/videos/3697954183759550?comment_id=256445070820808","https://www.facebook.com/454965103328545/videos/3697954183759550?comment_id=256445070820808")</f>
        <v>https://www.facebook.com/454965103328545/videos/3697954183759550?comment_id=256445070820808</v>
      </c>
      <c r="O3672">
        <v>0</v>
      </c>
      <c r="P3672">
        <v>0</v>
      </c>
      <c r="Q3672">
        <v>0</v>
      </c>
      <c r="S3672">
        <v>0</v>
      </c>
      <c r="T3672">
        <v>0</v>
      </c>
      <c r="U3672">
        <v>0</v>
      </c>
      <c r="W3672" t="s">
        <v>62</v>
      </c>
      <c r="AP3672" t="s">
        <v>147</v>
      </c>
      <c r="AS3672" t="s">
        <v>375</v>
      </c>
    </row>
    <row r="3673" spans="1:45" x14ac:dyDescent="0.35">
      <c r="A3673" t="s">
        <v>45</v>
      </c>
      <c r="B3673" t="s">
        <v>8332</v>
      </c>
      <c r="C3673" t="s">
        <v>47</v>
      </c>
      <c r="D3673" t="s">
        <v>7381</v>
      </c>
      <c r="E3673" t="s">
        <v>7381</v>
      </c>
      <c r="F3673" t="s">
        <v>49</v>
      </c>
      <c r="G3673" t="s">
        <v>8436</v>
      </c>
      <c r="H3673" t="s">
        <v>8437</v>
      </c>
      <c r="J3673" t="str">
        <f>HYPERLINK("https://www.facebook.com/454965103328545/posts/763307319160987?comment_id=1062528368332996","https://www.facebook.com/454965103328545/posts/763307319160987?comment_id=1062528368332996")</f>
        <v>https://www.facebook.com/454965103328545/posts/763307319160987?comment_id=1062528368332996</v>
      </c>
      <c r="O3673">
        <v>0</v>
      </c>
      <c r="P3673">
        <v>0</v>
      </c>
      <c r="Q3673">
        <v>0</v>
      </c>
      <c r="S3673">
        <v>0</v>
      </c>
      <c r="T3673">
        <v>0</v>
      </c>
      <c r="U3673">
        <v>0</v>
      </c>
      <c r="W3673" t="s">
        <v>62</v>
      </c>
      <c r="AS3673" t="s">
        <v>375</v>
      </c>
    </row>
    <row r="3674" spans="1:45" x14ac:dyDescent="0.35">
      <c r="A3674" t="s">
        <v>45</v>
      </c>
      <c r="B3674" t="s">
        <v>8332</v>
      </c>
      <c r="C3674" t="s">
        <v>47</v>
      </c>
      <c r="D3674" t="s">
        <v>8438</v>
      </c>
      <c r="E3674" t="s">
        <v>8438</v>
      </c>
      <c r="F3674" t="s">
        <v>49</v>
      </c>
      <c r="G3674" t="s">
        <v>8439</v>
      </c>
      <c r="H3674" t="s">
        <v>8440</v>
      </c>
      <c r="J3674" t="str">
        <f>HYPERLINK("https://www.facebook.com/454965103328545/videos/3697954183759550?comment_id=1869044240214996","https://www.facebook.com/454965103328545/videos/3697954183759550?comment_id=1869044240214996")</f>
        <v>https://www.facebook.com/454965103328545/videos/3697954183759550?comment_id=1869044240214996</v>
      </c>
      <c r="O3674">
        <v>0</v>
      </c>
      <c r="P3674">
        <v>0</v>
      </c>
      <c r="Q3674">
        <v>0</v>
      </c>
      <c r="S3674">
        <v>0</v>
      </c>
      <c r="T3674">
        <v>0</v>
      </c>
      <c r="U3674">
        <v>0</v>
      </c>
      <c r="W3674" t="s">
        <v>62</v>
      </c>
    </row>
    <row r="3675" spans="1:45" x14ac:dyDescent="0.35">
      <c r="A3675" t="s">
        <v>45</v>
      </c>
      <c r="B3675" t="s">
        <v>8332</v>
      </c>
      <c r="C3675" t="s">
        <v>47</v>
      </c>
      <c r="D3675" t="s">
        <v>8438</v>
      </c>
      <c r="E3675" t="s">
        <v>8438</v>
      </c>
      <c r="F3675" t="s">
        <v>49</v>
      </c>
      <c r="G3675" t="s">
        <v>7743</v>
      </c>
      <c r="H3675" t="s">
        <v>8441</v>
      </c>
      <c r="J3675" t="str">
        <f>HYPERLINK("https://www.facebook.com/454965103328545/videos/3697954183759550?comment_id=1093988391895534","https://www.facebook.com/454965103328545/videos/3697954183759550?comment_id=1093988391895534")</f>
        <v>https://www.facebook.com/454965103328545/videos/3697954183759550?comment_id=1093988391895534</v>
      </c>
      <c r="O3675">
        <v>0</v>
      </c>
      <c r="P3675">
        <v>0</v>
      </c>
      <c r="Q3675">
        <v>0</v>
      </c>
      <c r="S3675">
        <v>0</v>
      </c>
      <c r="T3675">
        <v>0</v>
      </c>
      <c r="U3675">
        <v>0</v>
      </c>
      <c r="W3675" t="s">
        <v>62</v>
      </c>
    </row>
    <row r="3676" spans="1:45" x14ac:dyDescent="0.35">
      <c r="A3676" t="s">
        <v>45</v>
      </c>
      <c r="B3676" t="s">
        <v>8332</v>
      </c>
      <c r="C3676" t="s">
        <v>47</v>
      </c>
      <c r="D3676" t="s">
        <v>8442</v>
      </c>
      <c r="E3676" t="s">
        <v>8442</v>
      </c>
      <c r="F3676" t="s">
        <v>49</v>
      </c>
      <c r="G3676" t="s">
        <v>8443</v>
      </c>
      <c r="H3676" t="s">
        <v>8444</v>
      </c>
      <c r="J3676" t="str">
        <f>HYPERLINK("https://www.facebook.com/357267201017935/inbox/6822399801171277/","https://www.facebook.com/357267201017935/inbox/6822399801171277/")</f>
        <v>https://www.facebook.com/357267201017935/inbox/6822399801171277/</v>
      </c>
      <c r="O3676">
        <v>0</v>
      </c>
      <c r="P3676">
        <v>0</v>
      </c>
      <c r="Q3676">
        <v>0</v>
      </c>
      <c r="S3676">
        <v>0</v>
      </c>
      <c r="T3676">
        <v>0</v>
      </c>
      <c r="U3676">
        <v>0</v>
      </c>
      <c r="W3676" t="s">
        <v>52</v>
      </c>
    </row>
    <row r="3677" spans="1:45" x14ac:dyDescent="0.35">
      <c r="A3677" t="s">
        <v>45</v>
      </c>
      <c r="B3677" t="s">
        <v>8332</v>
      </c>
      <c r="C3677" t="s">
        <v>47</v>
      </c>
      <c r="D3677" t="s">
        <v>8445</v>
      </c>
      <c r="E3677" t="s">
        <v>8445</v>
      </c>
      <c r="F3677" t="s">
        <v>49</v>
      </c>
      <c r="G3677" t="s">
        <v>8446</v>
      </c>
      <c r="H3677" t="s">
        <v>8447</v>
      </c>
      <c r="J3677" t="str">
        <f>HYPERLINK("https://www.facebook.com/454965103328545/videos/3697954183759550?comment_id=1504304153693245","https://www.facebook.com/454965103328545/videos/3697954183759550?comment_id=1504304153693245")</f>
        <v>https://www.facebook.com/454965103328545/videos/3697954183759550?comment_id=1504304153693245</v>
      </c>
      <c r="O3677">
        <v>0</v>
      </c>
      <c r="P3677">
        <v>0</v>
      </c>
      <c r="Q3677">
        <v>0</v>
      </c>
      <c r="S3677">
        <v>0</v>
      </c>
      <c r="T3677">
        <v>0</v>
      </c>
      <c r="U3677">
        <v>0</v>
      </c>
      <c r="W3677" t="s">
        <v>62</v>
      </c>
    </row>
    <row r="3678" spans="1:45" x14ac:dyDescent="0.35">
      <c r="A3678" t="s">
        <v>45</v>
      </c>
      <c r="B3678" t="s">
        <v>8332</v>
      </c>
      <c r="C3678" t="s">
        <v>47</v>
      </c>
      <c r="D3678" t="s">
        <v>8445</v>
      </c>
      <c r="E3678" t="s">
        <v>8445</v>
      </c>
      <c r="F3678" t="s">
        <v>49</v>
      </c>
      <c r="G3678" t="s">
        <v>8446</v>
      </c>
      <c r="H3678" t="s">
        <v>8448</v>
      </c>
      <c r="J3678" t="str">
        <f>HYPERLINK("https://www.facebook.com/454965103328545/videos/3697954183759550?comment_id=281957157969500","https://www.facebook.com/454965103328545/videos/3697954183759550?comment_id=281957157969500")</f>
        <v>https://www.facebook.com/454965103328545/videos/3697954183759550?comment_id=281957157969500</v>
      </c>
      <c r="O3678">
        <v>0</v>
      </c>
      <c r="P3678">
        <v>0</v>
      </c>
      <c r="Q3678">
        <v>0</v>
      </c>
      <c r="S3678">
        <v>0</v>
      </c>
      <c r="T3678">
        <v>0</v>
      </c>
      <c r="U3678">
        <v>0</v>
      </c>
      <c r="W3678" t="s">
        <v>62</v>
      </c>
    </row>
    <row r="3679" spans="1:45" x14ac:dyDescent="0.35">
      <c r="A3679" t="s">
        <v>45</v>
      </c>
      <c r="B3679" t="s">
        <v>8332</v>
      </c>
      <c r="C3679" t="s">
        <v>47</v>
      </c>
      <c r="D3679" t="s">
        <v>8445</v>
      </c>
      <c r="E3679" t="s">
        <v>8445</v>
      </c>
      <c r="F3679" t="s">
        <v>49</v>
      </c>
      <c r="G3679" t="s">
        <v>8449</v>
      </c>
      <c r="H3679" t="s">
        <v>8450</v>
      </c>
      <c r="J3679" t="str">
        <f>HYPERLINK("https://www.facebook.com/454965103328545/videos/3697954183759550?comment_id=7369400583081860","https://www.facebook.com/454965103328545/videos/3697954183759550?comment_id=7369400583081860")</f>
        <v>https://www.facebook.com/454965103328545/videos/3697954183759550?comment_id=7369400583081860</v>
      </c>
      <c r="O3679">
        <v>0</v>
      </c>
      <c r="P3679">
        <v>0</v>
      </c>
      <c r="Q3679">
        <v>0</v>
      </c>
      <c r="S3679">
        <v>0</v>
      </c>
      <c r="T3679">
        <v>0</v>
      </c>
      <c r="U3679">
        <v>0</v>
      </c>
      <c r="W3679" t="s">
        <v>62</v>
      </c>
    </row>
    <row r="3680" spans="1:45" x14ac:dyDescent="0.35">
      <c r="A3680" t="s">
        <v>45</v>
      </c>
      <c r="B3680" t="s">
        <v>8332</v>
      </c>
      <c r="C3680" t="s">
        <v>47</v>
      </c>
      <c r="D3680" t="s">
        <v>8445</v>
      </c>
      <c r="E3680" t="s">
        <v>8445</v>
      </c>
      <c r="F3680" t="s">
        <v>49</v>
      </c>
      <c r="G3680" t="s">
        <v>8446</v>
      </c>
      <c r="H3680" t="s">
        <v>8451</v>
      </c>
      <c r="J3680" t="str">
        <f>HYPERLINK("https://www.facebook.com/454965103328545/videos/3697954183759550?comment_id=299141643160976","https://www.facebook.com/454965103328545/videos/3697954183759550?comment_id=299141643160976")</f>
        <v>https://www.facebook.com/454965103328545/videos/3697954183759550?comment_id=299141643160976</v>
      </c>
      <c r="O3680">
        <v>0</v>
      </c>
      <c r="P3680">
        <v>0</v>
      </c>
      <c r="Q3680">
        <v>0</v>
      </c>
      <c r="S3680">
        <v>0</v>
      </c>
      <c r="T3680">
        <v>0</v>
      </c>
      <c r="U3680">
        <v>0</v>
      </c>
      <c r="W3680" t="s">
        <v>62</v>
      </c>
    </row>
    <row r="3681" spans="1:45" x14ac:dyDescent="0.35">
      <c r="A3681" t="s">
        <v>45</v>
      </c>
      <c r="B3681" t="s">
        <v>8332</v>
      </c>
      <c r="C3681" t="s">
        <v>47</v>
      </c>
      <c r="D3681" t="s">
        <v>8445</v>
      </c>
      <c r="E3681" t="s">
        <v>8445</v>
      </c>
      <c r="F3681" t="s">
        <v>49</v>
      </c>
      <c r="G3681" t="s">
        <v>8452</v>
      </c>
      <c r="H3681" t="s">
        <v>8453</v>
      </c>
      <c r="J3681" t="str">
        <f>HYPERLINK("https://www.facebook.com/454965103328545/videos/3697954183759550?comment_id=1554054248704674","https://www.facebook.com/454965103328545/videos/3697954183759550?comment_id=1554054248704674")</f>
        <v>https://www.facebook.com/454965103328545/videos/3697954183759550?comment_id=1554054248704674</v>
      </c>
      <c r="O3681">
        <v>0</v>
      </c>
      <c r="P3681">
        <v>0</v>
      </c>
      <c r="Q3681">
        <v>0</v>
      </c>
      <c r="S3681">
        <v>0</v>
      </c>
      <c r="T3681">
        <v>0</v>
      </c>
      <c r="U3681">
        <v>0</v>
      </c>
      <c r="W3681" t="s">
        <v>62</v>
      </c>
      <c r="AS3681" t="s">
        <v>375</v>
      </c>
    </row>
    <row r="3682" spans="1:45" x14ac:dyDescent="0.35">
      <c r="A3682" t="s">
        <v>45</v>
      </c>
      <c r="B3682" t="s">
        <v>8332</v>
      </c>
      <c r="C3682" t="s">
        <v>47</v>
      </c>
      <c r="D3682" t="s">
        <v>8445</v>
      </c>
      <c r="E3682" t="s">
        <v>8445</v>
      </c>
      <c r="F3682" t="s">
        <v>49</v>
      </c>
      <c r="G3682" t="s">
        <v>7743</v>
      </c>
      <c r="H3682" t="s">
        <v>8454</v>
      </c>
      <c r="J3682" t="str">
        <f>HYPERLINK("https://www.facebook.com/454965103328545/videos/3697954183759550?comment_id=1406104526684654","https://www.facebook.com/454965103328545/videos/3697954183759550?comment_id=1406104526684654")</f>
        <v>https://www.facebook.com/454965103328545/videos/3697954183759550?comment_id=1406104526684654</v>
      </c>
      <c r="O3682">
        <v>0</v>
      </c>
      <c r="P3682">
        <v>0</v>
      </c>
      <c r="Q3682">
        <v>0</v>
      </c>
      <c r="S3682">
        <v>0</v>
      </c>
      <c r="T3682">
        <v>0</v>
      </c>
      <c r="U3682">
        <v>0</v>
      </c>
      <c r="W3682" t="s">
        <v>62</v>
      </c>
    </row>
    <row r="3683" spans="1:45" x14ac:dyDescent="0.35">
      <c r="A3683" t="s">
        <v>45</v>
      </c>
      <c r="B3683" t="s">
        <v>8332</v>
      </c>
      <c r="C3683" t="s">
        <v>47</v>
      </c>
      <c r="D3683" t="s">
        <v>8455</v>
      </c>
      <c r="E3683" t="s">
        <v>8455</v>
      </c>
      <c r="F3683" t="s">
        <v>49</v>
      </c>
      <c r="G3683" t="s">
        <v>8456</v>
      </c>
      <c r="H3683" t="s">
        <v>8457</v>
      </c>
      <c r="J3683" t="str">
        <f>HYPERLINK("https://www.facebook.com/454965103328545/videos/3697954183759550?comment_id=707196188185971&amp;reply_comment_id=732542935718139","https://www.facebook.com/454965103328545/videos/3697954183759550?comment_id=707196188185971&amp;reply_comment_id=732542935718139")</f>
        <v>https://www.facebook.com/454965103328545/videos/3697954183759550?comment_id=707196188185971&amp;reply_comment_id=732542935718139</v>
      </c>
      <c r="O3683">
        <v>0</v>
      </c>
      <c r="P3683">
        <v>0</v>
      </c>
      <c r="Q3683">
        <v>0</v>
      </c>
      <c r="S3683">
        <v>0</v>
      </c>
      <c r="T3683">
        <v>0</v>
      </c>
      <c r="U3683">
        <v>0</v>
      </c>
      <c r="W3683" t="s">
        <v>62</v>
      </c>
    </row>
    <row r="3684" spans="1:45" x14ac:dyDescent="0.35">
      <c r="A3684" t="s">
        <v>45</v>
      </c>
      <c r="B3684" t="s">
        <v>8332</v>
      </c>
      <c r="C3684" t="s">
        <v>139</v>
      </c>
      <c r="D3684" t="s">
        <v>8458</v>
      </c>
      <c r="E3684" t="s">
        <v>8459</v>
      </c>
      <c r="F3684" t="s">
        <v>49</v>
      </c>
      <c r="G3684" t="s">
        <v>8460</v>
      </c>
      <c r="H3684" t="s">
        <v>8461</v>
      </c>
      <c r="J3684" t="str">
        <f>HYPERLINK("https://twitter.com/Girish_Pargi_90/status/1753442112035827864","https://twitter.com/Girish_Pargi_90/status/1753442112035827864")</f>
        <v>https://twitter.com/Girish_Pargi_90/status/1753442112035827864</v>
      </c>
      <c r="O3684">
        <v>0</v>
      </c>
      <c r="P3684">
        <v>0</v>
      </c>
      <c r="Q3684">
        <v>100</v>
      </c>
      <c r="R3684" t="s">
        <v>7952</v>
      </c>
      <c r="S3684">
        <v>0</v>
      </c>
      <c r="T3684">
        <v>0</v>
      </c>
      <c r="U3684">
        <v>0</v>
      </c>
      <c r="W3684" t="s">
        <v>146</v>
      </c>
    </row>
    <row r="3685" spans="1:45" x14ac:dyDescent="0.35">
      <c r="A3685" t="s">
        <v>45</v>
      </c>
      <c r="B3685" t="s">
        <v>8332</v>
      </c>
      <c r="C3685" t="s">
        <v>47</v>
      </c>
      <c r="D3685" t="s">
        <v>8462</v>
      </c>
      <c r="E3685" t="s">
        <v>8462</v>
      </c>
      <c r="F3685" t="s">
        <v>49</v>
      </c>
      <c r="G3685" t="s">
        <v>8463</v>
      </c>
      <c r="H3685" t="s">
        <v>8464</v>
      </c>
      <c r="J3685" t="str">
        <f>HYPERLINK("https://www.facebook.com/454965103328545/videos/3697954183759550?comment_id=6920633338050054","https://www.facebook.com/454965103328545/videos/3697954183759550?comment_id=6920633338050054")</f>
        <v>https://www.facebook.com/454965103328545/videos/3697954183759550?comment_id=6920633338050054</v>
      </c>
      <c r="O3685">
        <v>0</v>
      </c>
      <c r="P3685">
        <v>0</v>
      </c>
      <c r="Q3685">
        <v>0</v>
      </c>
      <c r="S3685">
        <v>0</v>
      </c>
      <c r="T3685">
        <v>0</v>
      </c>
      <c r="U3685">
        <v>0</v>
      </c>
      <c r="W3685" t="s">
        <v>62</v>
      </c>
    </row>
    <row r="3686" spans="1:45" x14ac:dyDescent="0.35">
      <c r="A3686" t="s">
        <v>45</v>
      </c>
      <c r="B3686" t="s">
        <v>8332</v>
      </c>
      <c r="C3686" t="s">
        <v>47</v>
      </c>
      <c r="D3686" t="s">
        <v>7980</v>
      </c>
      <c r="E3686" t="s">
        <v>7980</v>
      </c>
      <c r="F3686" t="s">
        <v>49</v>
      </c>
      <c r="G3686" t="s">
        <v>8465</v>
      </c>
      <c r="H3686" t="s">
        <v>8466</v>
      </c>
      <c r="J3686" t="str">
        <f>HYPERLINK("https://www.facebook.com/357267201017935/inbox/6992775500800372/","https://www.facebook.com/357267201017935/inbox/6992775500800372/")</f>
        <v>https://www.facebook.com/357267201017935/inbox/6992775500800372/</v>
      </c>
      <c r="O3686">
        <v>0</v>
      </c>
      <c r="P3686">
        <v>0</v>
      </c>
      <c r="Q3686">
        <v>0</v>
      </c>
      <c r="S3686">
        <v>0</v>
      </c>
      <c r="T3686">
        <v>0</v>
      </c>
      <c r="U3686">
        <v>0</v>
      </c>
      <c r="W3686" t="s">
        <v>52</v>
      </c>
      <c r="AP3686" t="s">
        <v>101</v>
      </c>
      <c r="AS3686" t="s">
        <v>375</v>
      </c>
    </row>
    <row r="3687" spans="1:45" x14ac:dyDescent="0.35">
      <c r="A3687" t="s">
        <v>45</v>
      </c>
      <c r="B3687" t="s">
        <v>8332</v>
      </c>
      <c r="C3687" t="s">
        <v>47</v>
      </c>
      <c r="D3687" t="s">
        <v>8467</v>
      </c>
      <c r="E3687" t="s">
        <v>8467</v>
      </c>
      <c r="F3687" t="s">
        <v>49</v>
      </c>
      <c r="G3687" t="s">
        <v>8468</v>
      </c>
      <c r="H3687" t="s">
        <v>8469</v>
      </c>
      <c r="J3687" t="str">
        <f>HYPERLINK("https://www.facebook.com/454965103328545/videos/3697954183759550?comment_id=938525101025225","https://www.facebook.com/454965103328545/videos/3697954183759550?comment_id=938525101025225")</f>
        <v>https://www.facebook.com/454965103328545/videos/3697954183759550?comment_id=938525101025225</v>
      </c>
      <c r="O3687">
        <v>0</v>
      </c>
      <c r="P3687">
        <v>0</v>
      </c>
      <c r="Q3687">
        <v>0</v>
      </c>
      <c r="S3687">
        <v>0</v>
      </c>
      <c r="T3687">
        <v>0</v>
      </c>
      <c r="U3687">
        <v>0</v>
      </c>
      <c r="W3687" t="s">
        <v>62</v>
      </c>
      <c r="AS3687" t="s">
        <v>375</v>
      </c>
    </row>
    <row r="3688" spans="1:45" x14ac:dyDescent="0.35">
      <c r="A3688" t="s">
        <v>45</v>
      </c>
      <c r="B3688" t="s">
        <v>8332</v>
      </c>
      <c r="C3688" t="s">
        <v>47</v>
      </c>
      <c r="D3688" t="s">
        <v>5936</v>
      </c>
      <c r="E3688" t="s">
        <v>5936</v>
      </c>
      <c r="F3688" t="s">
        <v>49</v>
      </c>
      <c r="G3688">
        <v>8521243689</v>
      </c>
      <c r="H3688" t="s">
        <v>8470</v>
      </c>
      <c r="J3688" t="str">
        <f>HYPERLINK("https://www.facebook.com/454965103328545/posts/763871475771238?comment_id=914500409903285","https://www.facebook.com/454965103328545/posts/763871475771238?comment_id=914500409903285")</f>
        <v>https://www.facebook.com/454965103328545/posts/763871475771238?comment_id=914500409903285</v>
      </c>
      <c r="O3688">
        <v>0</v>
      </c>
      <c r="P3688">
        <v>0</v>
      </c>
      <c r="Q3688">
        <v>0</v>
      </c>
      <c r="S3688">
        <v>0</v>
      </c>
      <c r="T3688">
        <v>0</v>
      </c>
      <c r="U3688">
        <v>0</v>
      </c>
      <c r="W3688" t="s">
        <v>62</v>
      </c>
    </row>
    <row r="3689" spans="1:45" x14ac:dyDescent="0.35">
      <c r="A3689" t="s">
        <v>45</v>
      </c>
      <c r="B3689" t="s">
        <v>8332</v>
      </c>
      <c r="C3689" t="s">
        <v>47</v>
      </c>
      <c r="D3689" t="s">
        <v>5936</v>
      </c>
      <c r="E3689" t="s">
        <v>5936</v>
      </c>
      <c r="F3689" t="s">
        <v>49</v>
      </c>
      <c r="G3689" t="s">
        <v>8471</v>
      </c>
      <c r="H3689" t="s">
        <v>8472</v>
      </c>
      <c r="J3689" t="str">
        <f>HYPERLINK("https://www.facebook.com/357267201017935/inbox/6992751124136143/","https://www.facebook.com/357267201017935/inbox/6992751124136143/")</f>
        <v>https://www.facebook.com/357267201017935/inbox/6992751124136143/</v>
      </c>
      <c r="O3689">
        <v>0</v>
      </c>
      <c r="P3689">
        <v>0</v>
      </c>
      <c r="Q3689">
        <v>0</v>
      </c>
      <c r="S3689">
        <v>0</v>
      </c>
      <c r="T3689">
        <v>0</v>
      </c>
      <c r="U3689">
        <v>0</v>
      </c>
      <c r="W3689" t="s">
        <v>52</v>
      </c>
      <c r="AS3689" t="s">
        <v>375</v>
      </c>
    </row>
    <row r="3690" spans="1:45" x14ac:dyDescent="0.35">
      <c r="A3690" t="s">
        <v>45</v>
      </c>
      <c r="B3690" t="s">
        <v>8332</v>
      </c>
      <c r="C3690" t="s">
        <v>47</v>
      </c>
      <c r="D3690" t="s">
        <v>5936</v>
      </c>
      <c r="E3690" t="s">
        <v>5936</v>
      </c>
      <c r="F3690" t="s">
        <v>49</v>
      </c>
      <c r="G3690" t="s">
        <v>8473</v>
      </c>
      <c r="H3690" t="s">
        <v>8474</v>
      </c>
      <c r="J3690" t="str">
        <f>HYPERLINK("https://www.facebook.com/454965103328545/videos/3697954183759550?comment_id=3694494820835229","https://www.facebook.com/454965103328545/videos/3697954183759550?comment_id=3694494820835229")</f>
        <v>https://www.facebook.com/454965103328545/videos/3697954183759550?comment_id=3694494820835229</v>
      </c>
      <c r="O3690">
        <v>0</v>
      </c>
      <c r="P3690">
        <v>0</v>
      </c>
      <c r="Q3690">
        <v>0</v>
      </c>
      <c r="S3690">
        <v>0</v>
      </c>
      <c r="T3690">
        <v>0</v>
      </c>
      <c r="U3690">
        <v>0</v>
      </c>
      <c r="W3690" t="s">
        <v>62</v>
      </c>
    </row>
    <row r="3691" spans="1:45" x14ac:dyDescent="0.35">
      <c r="A3691" t="s">
        <v>45</v>
      </c>
      <c r="B3691" t="s">
        <v>8332</v>
      </c>
      <c r="C3691" t="s">
        <v>47</v>
      </c>
      <c r="D3691" t="s">
        <v>8475</v>
      </c>
      <c r="E3691" t="s">
        <v>8475</v>
      </c>
      <c r="F3691" t="s">
        <v>49</v>
      </c>
      <c r="G3691" t="s">
        <v>8476</v>
      </c>
      <c r="H3691" t="s">
        <v>8477</v>
      </c>
      <c r="J3691" t="str">
        <f>HYPERLINK("https://www.facebook.com/454965103328545/posts/763899692435083?comment_id=945214650368870","https://www.facebook.com/454965103328545/posts/763899692435083?comment_id=945214650368870")</f>
        <v>https://www.facebook.com/454965103328545/posts/763899692435083?comment_id=945214650368870</v>
      </c>
      <c r="O3691">
        <v>0</v>
      </c>
      <c r="P3691">
        <v>0</v>
      </c>
      <c r="Q3691">
        <v>0</v>
      </c>
      <c r="S3691">
        <v>0</v>
      </c>
      <c r="T3691">
        <v>0</v>
      </c>
      <c r="U3691">
        <v>0</v>
      </c>
      <c r="W3691" t="s">
        <v>62</v>
      </c>
      <c r="AS3691" t="s">
        <v>375</v>
      </c>
    </row>
    <row r="3692" spans="1:45" x14ac:dyDescent="0.35">
      <c r="A3692" t="s">
        <v>45</v>
      </c>
      <c r="B3692" t="s">
        <v>8332</v>
      </c>
      <c r="C3692" t="s">
        <v>47</v>
      </c>
      <c r="D3692" t="s">
        <v>5936</v>
      </c>
      <c r="E3692" t="s">
        <v>5936</v>
      </c>
      <c r="F3692" t="s">
        <v>49</v>
      </c>
      <c r="G3692" t="s">
        <v>8478</v>
      </c>
      <c r="H3692" t="s">
        <v>8479</v>
      </c>
      <c r="J3692" t="str">
        <f>HYPERLINK("https://www.facebook.com/454965103328545/videos/3697954183759550?comment_id=1575325123221278","https://www.facebook.com/454965103328545/videos/3697954183759550?comment_id=1575325123221278")</f>
        <v>https://www.facebook.com/454965103328545/videos/3697954183759550?comment_id=1575325123221278</v>
      </c>
      <c r="O3692">
        <v>0</v>
      </c>
      <c r="P3692">
        <v>0</v>
      </c>
      <c r="Q3692">
        <v>0</v>
      </c>
      <c r="S3692">
        <v>0</v>
      </c>
      <c r="T3692">
        <v>0</v>
      </c>
      <c r="U3692">
        <v>0</v>
      </c>
      <c r="W3692" t="s">
        <v>62</v>
      </c>
    </row>
    <row r="3693" spans="1:45" x14ac:dyDescent="0.35">
      <c r="A3693" t="s">
        <v>45</v>
      </c>
      <c r="B3693" t="s">
        <v>8332</v>
      </c>
      <c r="C3693" t="s">
        <v>47</v>
      </c>
      <c r="D3693" t="s">
        <v>8480</v>
      </c>
      <c r="E3693" t="s">
        <v>8480</v>
      </c>
      <c r="F3693" t="s">
        <v>49</v>
      </c>
      <c r="G3693" t="s">
        <v>8481</v>
      </c>
      <c r="H3693" t="s">
        <v>8482</v>
      </c>
      <c r="J3693" t="str">
        <f>HYPERLINK("https://www.facebook.com/454965103328545/videos/3697954183759550?comment_id=1704494366959253","https://www.facebook.com/454965103328545/videos/3697954183759550?comment_id=1704494366959253")</f>
        <v>https://www.facebook.com/454965103328545/videos/3697954183759550?comment_id=1704494366959253</v>
      </c>
      <c r="O3693">
        <v>0</v>
      </c>
      <c r="P3693">
        <v>0</v>
      </c>
      <c r="Q3693">
        <v>0</v>
      </c>
      <c r="S3693">
        <v>0</v>
      </c>
      <c r="T3693">
        <v>0</v>
      </c>
      <c r="U3693">
        <v>0</v>
      </c>
      <c r="W3693" t="s">
        <v>62</v>
      </c>
      <c r="AS3693" t="s">
        <v>375</v>
      </c>
    </row>
    <row r="3694" spans="1:45" x14ac:dyDescent="0.35">
      <c r="A3694" t="s">
        <v>45</v>
      </c>
      <c r="B3694" t="s">
        <v>8332</v>
      </c>
      <c r="C3694" t="s">
        <v>47</v>
      </c>
      <c r="D3694" t="s">
        <v>8483</v>
      </c>
      <c r="E3694" t="s">
        <v>8483</v>
      </c>
      <c r="F3694" t="s">
        <v>49</v>
      </c>
      <c r="G3694" t="s">
        <v>8484</v>
      </c>
      <c r="H3694" t="s">
        <v>8485</v>
      </c>
      <c r="J3694" t="str">
        <f>HYPERLINK("https://www.facebook.com/454965103328545/videos/3697954183759550?comment_id=1623541318417545&amp;reply_comment_id=1441368200095266","https://www.facebook.com/454965103328545/videos/3697954183759550?comment_id=1623541318417545&amp;reply_comment_id=1441368200095266")</f>
        <v>https://www.facebook.com/454965103328545/videos/3697954183759550?comment_id=1623541318417545&amp;reply_comment_id=1441368200095266</v>
      </c>
      <c r="O3694">
        <v>0</v>
      </c>
      <c r="P3694">
        <v>0</v>
      </c>
      <c r="Q3694">
        <v>0</v>
      </c>
      <c r="S3694">
        <v>0</v>
      </c>
      <c r="T3694">
        <v>0</v>
      </c>
      <c r="U3694">
        <v>0</v>
      </c>
      <c r="W3694" t="s">
        <v>62</v>
      </c>
    </row>
    <row r="3695" spans="1:45" x14ac:dyDescent="0.35">
      <c r="A3695" t="s">
        <v>45</v>
      </c>
      <c r="B3695" t="s">
        <v>8332</v>
      </c>
      <c r="C3695" t="s">
        <v>47</v>
      </c>
      <c r="D3695" t="s">
        <v>8486</v>
      </c>
      <c r="E3695" t="s">
        <v>8486</v>
      </c>
      <c r="F3695" t="s">
        <v>49</v>
      </c>
      <c r="G3695" t="s">
        <v>8487</v>
      </c>
      <c r="H3695" t="s">
        <v>8488</v>
      </c>
      <c r="J3695" t="str">
        <f>HYPERLINK("https://www.facebook.com/357267201017935/inbox/6992719317472657/","https://www.facebook.com/357267201017935/inbox/6992719317472657/")</f>
        <v>https://www.facebook.com/357267201017935/inbox/6992719317472657/</v>
      </c>
      <c r="O3695">
        <v>0</v>
      </c>
      <c r="P3695">
        <v>0</v>
      </c>
      <c r="Q3695">
        <v>0</v>
      </c>
      <c r="S3695">
        <v>0</v>
      </c>
      <c r="T3695">
        <v>0</v>
      </c>
      <c r="U3695">
        <v>0</v>
      </c>
      <c r="W3695" t="s">
        <v>52</v>
      </c>
    </row>
    <row r="3696" spans="1:45" x14ac:dyDescent="0.35">
      <c r="A3696" t="s">
        <v>45</v>
      </c>
      <c r="B3696" t="s">
        <v>8332</v>
      </c>
      <c r="C3696" t="s">
        <v>47</v>
      </c>
      <c r="D3696" t="s">
        <v>4421</v>
      </c>
      <c r="E3696" t="s">
        <v>4421</v>
      </c>
      <c r="F3696" t="s">
        <v>76</v>
      </c>
      <c r="G3696" t="s">
        <v>8489</v>
      </c>
      <c r="H3696" t="s">
        <v>8490</v>
      </c>
      <c r="J3696" t="str">
        <f>HYPERLINK("https://www.facebook.com/454965103328545/videos/3697954183759550?comment_id=1311632246201651","https://www.facebook.com/454965103328545/videos/3697954183759550?comment_id=1311632246201651")</f>
        <v>https://www.facebook.com/454965103328545/videos/3697954183759550?comment_id=1311632246201651</v>
      </c>
      <c r="O3696">
        <v>0</v>
      </c>
      <c r="P3696">
        <v>0</v>
      </c>
      <c r="Q3696">
        <v>0</v>
      </c>
      <c r="S3696">
        <v>0</v>
      </c>
      <c r="T3696">
        <v>0</v>
      </c>
      <c r="U3696">
        <v>0</v>
      </c>
      <c r="W3696" t="s">
        <v>62</v>
      </c>
      <c r="AS3696" t="s">
        <v>375</v>
      </c>
    </row>
    <row r="3697" spans="1:45" x14ac:dyDescent="0.35">
      <c r="A3697" t="s">
        <v>45</v>
      </c>
      <c r="B3697" t="s">
        <v>8332</v>
      </c>
      <c r="C3697" t="s">
        <v>47</v>
      </c>
      <c r="D3697" t="s">
        <v>8486</v>
      </c>
      <c r="E3697" t="s">
        <v>8486</v>
      </c>
      <c r="F3697" t="s">
        <v>49</v>
      </c>
      <c r="G3697" t="s">
        <v>8491</v>
      </c>
      <c r="H3697" t="s">
        <v>8492</v>
      </c>
      <c r="J3697" t="str">
        <f>HYPERLINK("https://www.facebook.com/454965103328545/videos/3697954183759550?comment_id=421567817047252","https://www.facebook.com/454965103328545/videos/3697954183759550?comment_id=421567817047252")</f>
        <v>https://www.facebook.com/454965103328545/videos/3697954183759550?comment_id=421567817047252</v>
      </c>
      <c r="O3697">
        <v>0</v>
      </c>
      <c r="P3697">
        <v>0</v>
      </c>
      <c r="Q3697">
        <v>0</v>
      </c>
      <c r="S3697">
        <v>0</v>
      </c>
      <c r="T3697">
        <v>0</v>
      </c>
      <c r="U3697">
        <v>0</v>
      </c>
      <c r="W3697" t="s">
        <v>62</v>
      </c>
      <c r="AS3697" t="s">
        <v>375</v>
      </c>
    </row>
    <row r="3698" spans="1:45" x14ac:dyDescent="0.35">
      <c r="A3698" t="s">
        <v>45</v>
      </c>
      <c r="B3698" t="s">
        <v>8332</v>
      </c>
      <c r="C3698" t="s">
        <v>47</v>
      </c>
      <c r="D3698" t="s">
        <v>8493</v>
      </c>
      <c r="E3698" t="s">
        <v>8493</v>
      </c>
      <c r="F3698" t="s">
        <v>49</v>
      </c>
      <c r="G3698" t="s">
        <v>8494</v>
      </c>
      <c r="H3698" t="s">
        <v>8495</v>
      </c>
      <c r="J3698" t="str">
        <f>HYPERLINK("https://www.facebook.com/454965103328545/videos/3697954183759550?comment_id=322026193579083","https://www.facebook.com/454965103328545/videos/3697954183759550?comment_id=322026193579083")</f>
        <v>https://www.facebook.com/454965103328545/videos/3697954183759550?comment_id=322026193579083</v>
      </c>
      <c r="O3698">
        <v>0</v>
      </c>
      <c r="P3698">
        <v>0</v>
      </c>
      <c r="Q3698">
        <v>0</v>
      </c>
      <c r="S3698">
        <v>0</v>
      </c>
      <c r="T3698">
        <v>0</v>
      </c>
      <c r="U3698">
        <v>0</v>
      </c>
      <c r="W3698" t="s">
        <v>62</v>
      </c>
    </row>
    <row r="3699" spans="1:45" x14ac:dyDescent="0.35">
      <c r="A3699" t="s">
        <v>45</v>
      </c>
      <c r="B3699" t="s">
        <v>8332</v>
      </c>
      <c r="C3699" t="s">
        <v>47</v>
      </c>
      <c r="D3699" t="s">
        <v>8493</v>
      </c>
      <c r="E3699" t="s">
        <v>8493</v>
      </c>
      <c r="F3699" t="s">
        <v>49</v>
      </c>
      <c r="G3699" t="s">
        <v>1017</v>
      </c>
      <c r="H3699" t="s">
        <v>8496</v>
      </c>
      <c r="J3699" t="str">
        <f>HYPERLINK("https://www.facebook.com/454965103328545/videos/3697954183759550?comment_id=1130220801490385","https://www.facebook.com/454965103328545/videos/3697954183759550?comment_id=1130220801490385")</f>
        <v>https://www.facebook.com/454965103328545/videos/3697954183759550?comment_id=1130220801490385</v>
      </c>
      <c r="O3699">
        <v>0</v>
      </c>
      <c r="P3699">
        <v>0</v>
      </c>
      <c r="Q3699">
        <v>0</v>
      </c>
      <c r="S3699">
        <v>0</v>
      </c>
      <c r="T3699">
        <v>0</v>
      </c>
      <c r="U3699">
        <v>0</v>
      </c>
      <c r="W3699" t="s">
        <v>62</v>
      </c>
    </row>
    <row r="3700" spans="1:45" x14ac:dyDescent="0.35">
      <c r="A3700" t="s">
        <v>45</v>
      </c>
      <c r="B3700" t="s">
        <v>8332</v>
      </c>
      <c r="C3700" t="s">
        <v>47</v>
      </c>
      <c r="D3700" t="s">
        <v>8497</v>
      </c>
      <c r="E3700" t="s">
        <v>8497</v>
      </c>
      <c r="F3700" t="s">
        <v>49</v>
      </c>
      <c r="G3700" t="s">
        <v>8498</v>
      </c>
      <c r="H3700" t="s">
        <v>8499</v>
      </c>
      <c r="J3700" t="str">
        <f>HYPERLINK("https://www.facebook.com/357267201017935/inbox/6992692514142004/","https://www.facebook.com/357267201017935/inbox/6992692514142004/")</f>
        <v>https://www.facebook.com/357267201017935/inbox/6992692514142004/</v>
      </c>
      <c r="O3700">
        <v>0</v>
      </c>
      <c r="P3700">
        <v>0</v>
      </c>
      <c r="Q3700">
        <v>0</v>
      </c>
      <c r="S3700">
        <v>0</v>
      </c>
      <c r="T3700">
        <v>0</v>
      </c>
      <c r="U3700">
        <v>0</v>
      </c>
      <c r="W3700" t="s">
        <v>52</v>
      </c>
      <c r="AP3700" t="s">
        <v>94</v>
      </c>
      <c r="AS3700" t="s">
        <v>375</v>
      </c>
    </row>
    <row r="3701" spans="1:45" x14ac:dyDescent="0.35">
      <c r="A3701" t="s">
        <v>45</v>
      </c>
      <c r="B3701" t="s">
        <v>8332</v>
      </c>
      <c r="C3701" t="s">
        <v>47</v>
      </c>
      <c r="D3701" t="s">
        <v>6252</v>
      </c>
      <c r="E3701" t="s">
        <v>6252</v>
      </c>
      <c r="F3701" t="s">
        <v>49</v>
      </c>
      <c r="G3701" t="s">
        <v>8500</v>
      </c>
      <c r="H3701" t="s">
        <v>8501</v>
      </c>
      <c r="J3701" t="str">
        <f>HYPERLINK("https://www.facebook.com/454965103328545/posts/763871475771238?comment_id=296937866726554&amp;reply_comment_id=384797274135454","https://www.facebook.com/454965103328545/posts/763871475771238?comment_id=296937866726554&amp;reply_comment_id=384797274135454")</f>
        <v>https://www.facebook.com/454965103328545/posts/763871475771238?comment_id=296937866726554&amp;reply_comment_id=384797274135454</v>
      </c>
      <c r="O3701">
        <v>0</v>
      </c>
      <c r="P3701">
        <v>0</v>
      </c>
      <c r="Q3701">
        <v>0</v>
      </c>
      <c r="S3701">
        <v>0</v>
      </c>
      <c r="T3701">
        <v>0</v>
      </c>
      <c r="U3701">
        <v>0</v>
      </c>
      <c r="W3701" t="s">
        <v>62</v>
      </c>
    </row>
    <row r="3702" spans="1:45" x14ac:dyDescent="0.35">
      <c r="A3702" t="s">
        <v>45</v>
      </c>
      <c r="B3702" t="s">
        <v>8332</v>
      </c>
      <c r="C3702" t="s">
        <v>47</v>
      </c>
      <c r="D3702" t="s">
        <v>8502</v>
      </c>
      <c r="E3702" t="s">
        <v>8502</v>
      </c>
      <c r="F3702" t="s">
        <v>49</v>
      </c>
      <c r="G3702" t="s">
        <v>8503</v>
      </c>
      <c r="H3702" t="s">
        <v>8504</v>
      </c>
      <c r="J3702" t="str">
        <f>HYPERLINK("https://www.facebook.com/454965103328545/videos/3697954183759550?comment_id=343831898615024","https://www.facebook.com/454965103328545/videos/3697954183759550?comment_id=343831898615024")</f>
        <v>https://www.facebook.com/454965103328545/videos/3697954183759550?comment_id=343831898615024</v>
      </c>
      <c r="O3702">
        <v>0</v>
      </c>
      <c r="P3702">
        <v>0</v>
      </c>
      <c r="Q3702">
        <v>0</v>
      </c>
      <c r="S3702">
        <v>0</v>
      </c>
      <c r="T3702">
        <v>0</v>
      </c>
      <c r="U3702">
        <v>0</v>
      </c>
      <c r="W3702" t="s">
        <v>62</v>
      </c>
      <c r="AS3702" t="s">
        <v>375</v>
      </c>
    </row>
    <row r="3703" spans="1:45" x14ac:dyDescent="0.35">
      <c r="A3703" t="s">
        <v>45</v>
      </c>
      <c r="B3703" t="s">
        <v>8332</v>
      </c>
      <c r="C3703" t="s">
        <v>47</v>
      </c>
      <c r="D3703" t="s">
        <v>8505</v>
      </c>
      <c r="E3703" t="s">
        <v>8505</v>
      </c>
      <c r="F3703" t="s">
        <v>49</v>
      </c>
      <c r="H3703" t="s">
        <v>8506</v>
      </c>
      <c r="J3703" t="str">
        <f>HYPERLINK("https://www.facebook.com/454965103328545/videos/3697954183759550?comment_id=1036660217415701","https://www.facebook.com/454965103328545/videos/3697954183759550?comment_id=1036660217415701")</f>
        <v>https://www.facebook.com/454965103328545/videos/3697954183759550?comment_id=1036660217415701</v>
      </c>
      <c r="O3703">
        <v>0</v>
      </c>
      <c r="P3703">
        <v>0</v>
      </c>
      <c r="Q3703">
        <v>0</v>
      </c>
      <c r="S3703">
        <v>0</v>
      </c>
      <c r="T3703">
        <v>0</v>
      </c>
      <c r="U3703">
        <v>0</v>
      </c>
      <c r="W3703" t="s">
        <v>62</v>
      </c>
    </row>
    <row r="3704" spans="1:45" x14ac:dyDescent="0.35">
      <c r="A3704" t="s">
        <v>45</v>
      </c>
      <c r="B3704" t="s">
        <v>8332</v>
      </c>
      <c r="C3704" t="s">
        <v>47</v>
      </c>
      <c r="D3704" t="s">
        <v>8505</v>
      </c>
      <c r="E3704" t="s">
        <v>8505</v>
      </c>
      <c r="F3704" t="s">
        <v>49</v>
      </c>
      <c r="H3704" t="s">
        <v>8507</v>
      </c>
      <c r="J3704" t="str">
        <f>HYPERLINK("https://www.facebook.com/454965103328545/videos/3697954183759550?comment_id=1548253426020008","https://www.facebook.com/454965103328545/videos/3697954183759550?comment_id=1548253426020008")</f>
        <v>https://www.facebook.com/454965103328545/videos/3697954183759550?comment_id=1548253426020008</v>
      </c>
      <c r="O3704">
        <v>0</v>
      </c>
      <c r="P3704">
        <v>0</v>
      </c>
      <c r="Q3704">
        <v>0</v>
      </c>
      <c r="S3704">
        <v>0</v>
      </c>
      <c r="T3704">
        <v>0</v>
      </c>
      <c r="U3704">
        <v>0</v>
      </c>
      <c r="W3704" t="s">
        <v>62</v>
      </c>
    </row>
    <row r="3705" spans="1:45" x14ac:dyDescent="0.35">
      <c r="A3705" t="s">
        <v>45</v>
      </c>
      <c r="B3705" t="s">
        <v>8332</v>
      </c>
      <c r="C3705" t="s">
        <v>47</v>
      </c>
      <c r="D3705" t="s">
        <v>8505</v>
      </c>
      <c r="E3705" t="s">
        <v>8505</v>
      </c>
      <c r="F3705" t="s">
        <v>49</v>
      </c>
      <c r="H3705" t="s">
        <v>8508</v>
      </c>
      <c r="J3705" t="str">
        <f>HYPERLINK("https://www.facebook.com/454965103328545/videos/3697954183759550?comment_id=1530654694379107","https://www.facebook.com/454965103328545/videos/3697954183759550?comment_id=1530654694379107")</f>
        <v>https://www.facebook.com/454965103328545/videos/3697954183759550?comment_id=1530654694379107</v>
      </c>
      <c r="O3705">
        <v>0</v>
      </c>
      <c r="P3705">
        <v>0</v>
      </c>
      <c r="Q3705">
        <v>0</v>
      </c>
      <c r="S3705">
        <v>0</v>
      </c>
      <c r="T3705">
        <v>0</v>
      </c>
      <c r="U3705">
        <v>0</v>
      </c>
      <c r="W3705" t="s">
        <v>62</v>
      </c>
    </row>
    <row r="3706" spans="1:45" x14ac:dyDescent="0.35">
      <c r="A3706" t="s">
        <v>45</v>
      </c>
      <c r="B3706" t="s">
        <v>8332</v>
      </c>
      <c r="C3706" t="s">
        <v>47</v>
      </c>
      <c r="D3706" t="s">
        <v>8509</v>
      </c>
      <c r="E3706" t="s">
        <v>8509</v>
      </c>
      <c r="F3706" t="s">
        <v>49</v>
      </c>
      <c r="G3706" t="s">
        <v>8510</v>
      </c>
      <c r="H3706" t="s">
        <v>8511</v>
      </c>
      <c r="J3706" t="str">
        <f>HYPERLINK("https://www.facebook.com/454965103328545/posts/760895469402172?comment_id=400075059102054","https://www.facebook.com/454965103328545/posts/760895469402172?comment_id=400075059102054")</f>
        <v>https://www.facebook.com/454965103328545/posts/760895469402172?comment_id=400075059102054</v>
      </c>
      <c r="O3706">
        <v>0</v>
      </c>
      <c r="P3706">
        <v>0</v>
      </c>
      <c r="Q3706">
        <v>0</v>
      </c>
      <c r="S3706">
        <v>0</v>
      </c>
      <c r="T3706">
        <v>0</v>
      </c>
      <c r="U3706">
        <v>0</v>
      </c>
      <c r="W3706" t="s">
        <v>62</v>
      </c>
    </row>
    <row r="3707" spans="1:45" x14ac:dyDescent="0.35">
      <c r="A3707" t="s">
        <v>45</v>
      </c>
      <c r="B3707" t="s">
        <v>8332</v>
      </c>
      <c r="C3707" t="s">
        <v>47</v>
      </c>
      <c r="D3707" t="s">
        <v>8512</v>
      </c>
      <c r="E3707" t="s">
        <v>8512</v>
      </c>
      <c r="F3707" t="s">
        <v>49</v>
      </c>
      <c r="G3707" t="s">
        <v>8513</v>
      </c>
      <c r="H3707" t="s">
        <v>8514</v>
      </c>
      <c r="J3707" t="str">
        <f>HYPERLINK("https://www.facebook.com/454965103328545/posts/763871475771238?comment_id=1064887848131076&amp;reply_comment_id=1540269000089899","https://www.facebook.com/454965103328545/posts/763871475771238?comment_id=1064887848131076&amp;reply_comment_id=1540269000089899")</f>
        <v>https://www.facebook.com/454965103328545/posts/763871475771238?comment_id=1064887848131076&amp;reply_comment_id=1540269000089899</v>
      </c>
      <c r="O3707">
        <v>0</v>
      </c>
      <c r="P3707">
        <v>0</v>
      </c>
      <c r="Q3707">
        <v>0</v>
      </c>
      <c r="S3707">
        <v>0</v>
      </c>
      <c r="T3707">
        <v>0</v>
      </c>
      <c r="U3707">
        <v>0</v>
      </c>
      <c r="W3707" t="s">
        <v>62</v>
      </c>
    </row>
    <row r="3708" spans="1:45" x14ac:dyDescent="0.35">
      <c r="A3708" t="s">
        <v>45</v>
      </c>
      <c r="B3708" t="s">
        <v>8332</v>
      </c>
      <c r="C3708" t="s">
        <v>47</v>
      </c>
      <c r="D3708" t="s">
        <v>8512</v>
      </c>
      <c r="E3708" t="s">
        <v>8512</v>
      </c>
      <c r="F3708" t="s">
        <v>49</v>
      </c>
      <c r="G3708" t="s">
        <v>8515</v>
      </c>
      <c r="H3708" t="s">
        <v>8516</v>
      </c>
      <c r="J3708" t="str">
        <f>HYPERLINK("https://www.facebook.com/454965103328545/posts/763871475771238?comment_id=242199658930116&amp;reply_comment_id=1235569591164376","https://www.facebook.com/454965103328545/posts/763871475771238?comment_id=242199658930116&amp;reply_comment_id=1235569591164376")</f>
        <v>https://www.facebook.com/454965103328545/posts/763871475771238?comment_id=242199658930116&amp;reply_comment_id=1235569591164376</v>
      </c>
      <c r="O3708">
        <v>0</v>
      </c>
      <c r="P3708">
        <v>0</v>
      </c>
      <c r="Q3708">
        <v>0</v>
      </c>
      <c r="S3708">
        <v>0</v>
      </c>
      <c r="T3708">
        <v>0</v>
      </c>
      <c r="U3708">
        <v>0</v>
      </c>
      <c r="W3708" t="s">
        <v>62</v>
      </c>
    </row>
    <row r="3709" spans="1:45" x14ac:dyDescent="0.35">
      <c r="A3709" t="s">
        <v>45</v>
      </c>
      <c r="B3709" t="s">
        <v>8332</v>
      </c>
      <c r="C3709" t="s">
        <v>47</v>
      </c>
      <c r="D3709" t="s">
        <v>8517</v>
      </c>
      <c r="E3709" t="s">
        <v>8517</v>
      </c>
      <c r="F3709" t="s">
        <v>49</v>
      </c>
      <c r="G3709" t="s">
        <v>7706</v>
      </c>
      <c r="H3709" t="s">
        <v>8518</v>
      </c>
      <c r="J3709" t="str">
        <f>HYPERLINK("https://www.facebook.com/454965103328545/videos/3697954183759550?comment_id=7184999364893715","https://www.facebook.com/454965103328545/videos/3697954183759550?comment_id=7184999364893715")</f>
        <v>https://www.facebook.com/454965103328545/videos/3697954183759550?comment_id=7184999364893715</v>
      </c>
      <c r="O3709">
        <v>0</v>
      </c>
      <c r="P3709">
        <v>0</v>
      </c>
      <c r="Q3709">
        <v>0</v>
      </c>
      <c r="S3709">
        <v>0</v>
      </c>
      <c r="T3709">
        <v>0</v>
      </c>
      <c r="U3709">
        <v>0</v>
      </c>
      <c r="W3709" t="s">
        <v>62</v>
      </c>
    </row>
    <row r="3710" spans="1:45" x14ac:dyDescent="0.35">
      <c r="A3710" t="s">
        <v>45</v>
      </c>
      <c r="B3710" t="s">
        <v>8332</v>
      </c>
      <c r="C3710" t="s">
        <v>47</v>
      </c>
      <c r="D3710" t="s">
        <v>8505</v>
      </c>
      <c r="E3710" t="s">
        <v>8505</v>
      </c>
      <c r="F3710" t="s">
        <v>49</v>
      </c>
      <c r="G3710" t="s">
        <v>8519</v>
      </c>
      <c r="H3710" t="s">
        <v>8520</v>
      </c>
      <c r="J3710" t="str">
        <f>HYPERLINK("https://www.facebook.com/454965103328545/videos/3697954183759550?comment_id=869075238299948","https://www.facebook.com/454965103328545/videos/3697954183759550?comment_id=869075238299948")</f>
        <v>https://www.facebook.com/454965103328545/videos/3697954183759550?comment_id=869075238299948</v>
      </c>
      <c r="O3710">
        <v>0</v>
      </c>
      <c r="P3710">
        <v>0</v>
      </c>
      <c r="Q3710">
        <v>0</v>
      </c>
      <c r="S3710">
        <v>0</v>
      </c>
      <c r="T3710">
        <v>0</v>
      </c>
      <c r="U3710">
        <v>0</v>
      </c>
      <c r="W3710" t="s">
        <v>62</v>
      </c>
      <c r="AS3710" t="s">
        <v>375</v>
      </c>
    </row>
    <row r="3711" spans="1:45" x14ac:dyDescent="0.35">
      <c r="A3711" t="s">
        <v>45</v>
      </c>
      <c r="B3711" t="s">
        <v>8332</v>
      </c>
      <c r="C3711" t="s">
        <v>47</v>
      </c>
      <c r="D3711" t="s">
        <v>8521</v>
      </c>
      <c r="E3711" t="s">
        <v>8521</v>
      </c>
      <c r="F3711" t="s">
        <v>49</v>
      </c>
      <c r="G3711" t="s">
        <v>8522</v>
      </c>
      <c r="H3711" t="s">
        <v>8523</v>
      </c>
      <c r="J3711" t="str">
        <f>HYPERLINK("https://www.facebook.com/454965103328545/posts/763899692435083?comment_id=1083127899675003","https://www.facebook.com/454965103328545/posts/763899692435083?comment_id=1083127899675003")</f>
        <v>https://www.facebook.com/454965103328545/posts/763899692435083?comment_id=1083127899675003</v>
      </c>
      <c r="O3711">
        <v>0</v>
      </c>
      <c r="P3711">
        <v>0</v>
      </c>
      <c r="Q3711">
        <v>0</v>
      </c>
      <c r="S3711">
        <v>0</v>
      </c>
      <c r="T3711">
        <v>0</v>
      </c>
      <c r="U3711">
        <v>0</v>
      </c>
      <c r="W3711" t="s">
        <v>62</v>
      </c>
    </row>
    <row r="3712" spans="1:45" x14ac:dyDescent="0.35">
      <c r="A3712" t="s">
        <v>45</v>
      </c>
      <c r="B3712" t="s">
        <v>8332</v>
      </c>
      <c r="C3712" t="s">
        <v>47</v>
      </c>
      <c r="D3712" t="s">
        <v>8524</v>
      </c>
      <c r="E3712" t="s">
        <v>8524</v>
      </c>
      <c r="F3712" t="s">
        <v>49</v>
      </c>
      <c r="G3712" t="s">
        <v>459</v>
      </c>
      <c r="H3712" t="s">
        <v>8525</v>
      </c>
      <c r="J3712" t="str">
        <f>HYPERLINK("https://www.facebook.com/454965103328545/videos/3697954183759550?comment_id=1540456743416004","https://www.facebook.com/454965103328545/videos/3697954183759550?comment_id=1540456743416004")</f>
        <v>https://www.facebook.com/454965103328545/videos/3697954183759550?comment_id=1540456743416004</v>
      </c>
      <c r="O3712">
        <v>0</v>
      </c>
      <c r="P3712">
        <v>0</v>
      </c>
      <c r="Q3712">
        <v>0</v>
      </c>
      <c r="S3712">
        <v>0</v>
      </c>
      <c r="T3712">
        <v>0</v>
      </c>
      <c r="U3712">
        <v>0</v>
      </c>
      <c r="W3712" t="s">
        <v>62</v>
      </c>
    </row>
    <row r="3713" spans="1:45" x14ac:dyDescent="0.35">
      <c r="A3713" t="s">
        <v>45</v>
      </c>
      <c r="B3713" t="s">
        <v>8332</v>
      </c>
      <c r="C3713" t="s">
        <v>47</v>
      </c>
      <c r="D3713" t="s">
        <v>8526</v>
      </c>
      <c r="E3713" t="s">
        <v>8526</v>
      </c>
      <c r="F3713" t="s">
        <v>49</v>
      </c>
      <c r="G3713" t="s">
        <v>8527</v>
      </c>
      <c r="H3713" t="s">
        <v>8528</v>
      </c>
      <c r="J3713" t="str">
        <f>HYPERLINK("https://www.facebook.com/454965103328545/posts/764462805712105?comment_id=228602183652654","https://www.facebook.com/454965103328545/posts/764462805712105?comment_id=228602183652654")</f>
        <v>https://www.facebook.com/454965103328545/posts/764462805712105?comment_id=228602183652654</v>
      </c>
      <c r="O3713">
        <v>0</v>
      </c>
      <c r="P3713">
        <v>0</v>
      </c>
      <c r="Q3713">
        <v>0</v>
      </c>
      <c r="S3713">
        <v>0</v>
      </c>
      <c r="T3713">
        <v>0</v>
      </c>
      <c r="U3713">
        <v>0</v>
      </c>
      <c r="W3713" t="s">
        <v>62</v>
      </c>
    </row>
    <row r="3714" spans="1:45" x14ac:dyDescent="0.35">
      <c r="A3714" t="s">
        <v>45</v>
      </c>
      <c r="B3714" t="s">
        <v>8332</v>
      </c>
      <c r="C3714" t="s">
        <v>47</v>
      </c>
      <c r="D3714" t="s">
        <v>8497</v>
      </c>
      <c r="E3714" t="s">
        <v>8497</v>
      </c>
      <c r="F3714" t="s">
        <v>49</v>
      </c>
      <c r="G3714" t="s">
        <v>8529</v>
      </c>
      <c r="H3714" t="s">
        <v>8530</v>
      </c>
      <c r="J3714" t="str">
        <f>HYPERLINK("https://www.facebook.com/454965103328545/videos/3697954183759550?comment_id=377858448273186","https://www.facebook.com/454965103328545/videos/3697954183759550?comment_id=377858448273186")</f>
        <v>https://www.facebook.com/454965103328545/videos/3697954183759550?comment_id=377858448273186</v>
      </c>
      <c r="O3714">
        <v>0</v>
      </c>
      <c r="P3714">
        <v>0</v>
      </c>
      <c r="Q3714">
        <v>0</v>
      </c>
      <c r="S3714">
        <v>0</v>
      </c>
      <c r="T3714">
        <v>0</v>
      </c>
      <c r="U3714">
        <v>0</v>
      </c>
      <c r="W3714" t="s">
        <v>62</v>
      </c>
    </row>
    <row r="3715" spans="1:45" x14ac:dyDescent="0.35">
      <c r="A3715" t="s">
        <v>45</v>
      </c>
      <c r="B3715" t="s">
        <v>8332</v>
      </c>
      <c r="C3715" t="s">
        <v>47</v>
      </c>
      <c r="D3715" t="s">
        <v>8531</v>
      </c>
      <c r="E3715" t="s">
        <v>8531</v>
      </c>
      <c r="F3715" t="s">
        <v>49</v>
      </c>
      <c r="G3715" t="s">
        <v>8532</v>
      </c>
      <c r="H3715" t="s">
        <v>8533</v>
      </c>
      <c r="J3715" t="str">
        <f>HYPERLINK("https://www.facebook.com/454965103328545/videos/3697954183759550?comment_id=323206707392001","https://www.facebook.com/454965103328545/videos/3697954183759550?comment_id=323206707392001")</f>
        <v>https://www.facebook.com/454965103328545/videos/3697954183759550?comment_id=323206707392001</v>
      </c>
      <c r="O3715">
        <v>0</v>
      </c>
      <c r="P3715">
        <v>0</v>
      </c>
      <c r="Q3715">
        <v>0</v>
      </c>
      <c r="S3715">
        <v>0</v>
      </c>
      <c r="T3715">
        <v>0</v>
      </c>
      <c r="U3715">
        <v>0</v>
      </c>
      <c r="W3715" t="s">
        <v>62</v>
      </c>
    </row>
    <row r="3716" spans="1:45" x14ac:dyDescent="0.35">
      <c r="A3716" t="s">
        <v>45</v>
      </c>
      <c r="B3716" t="s">
        <v>8332</v>
      </c>
      <c r="C3716" t="s">
        <v>47</v>
      </c>
      <c r="D3716" t="s">
        <v>8534</v>
      </c>
      <c r="E3716" t="s">
        <v>8534</v>
      </c>
      <c r="F3716" t="s">
        <v>142</v>
      </c>
      <c r="G3716" t="s">
        <v>8535</v>
      </c>
      <c r="H3716" t="s">
        <v>8536</v>
      </c>
      <c r="J3716" t="str">
        <f>HYPERLINK("https://www.facebook.com/454965103328545/videos/3697954183759550?comment_id=1376943083189393","https://www.facebook.com/454965103328545/videos/3697954183759550?comment_id=1376943083189393")</f>
        <v>https://www.facebook.com/454965103328545/videos/3697954183759550?comment_id=1376943083189393</v>
      </c>
      <c r="O3716">
        <v>0</v>
      </c>
      <c r="P3716">
        <v>0</v>
      </c>
      <c r="Q3716">
        <v>0</v>
      </c>
      <c r="S3716">
        <v>0</v>
      </c>
      <c r="T3716">
        <v>0</v>
      </c>
      <c r="U3716">
        <v>0</v>
      </c>
      <c r="W3716" t="s">
        <v>62</v>
      </c>
      <c r="AP3716" t="s">
        <v>147</v>
      </c>
      <c r="AS3716" t="s">
        <v>375</v>
      </c>
    </row>
    <row r="3717" spans="1:45" x14ac:dyDescent="0.35">
      <c r="A3717" t="s">
        <v>45</v>
      </c>
      <c r="B3717" t="s">
        <v>8332</v>
      </c>
      <c r="C3717" t="s">
        <v>47</v>
      </c>
      <c r="D3717" t="s">
        <v>7125</v>
      </c>
      <c r="E3717" t="s">
        <v>7125</v>
      </c>
      <c r="F3717" t="s">
        <v>49</v>
      </c>
      <c r="G3717" t="s">
        <v>8537</v>
      </c>
      <c r="H3717" t="s">
        <v>8538</v>
      </c>
      <c r="J3717" t="str">
        <f>HYPERLINK("https://www.facebook.com/454965103328545/videos/3697954183759550?comment_id=243608152164423","https://www.facebook.com/454965103328545/videos/3697954183759550?comment_id=243608152164423")</f>
        <v>https://www.facebook.com/454965103328545/videos/3697954183759550?comment_id=243608152164423</v>
      </c>
      <c r="O3717">
        <v>0</v>
      </c>
      <c r="P3717">
        <v>0</v>
      </c>
      <c r="Q3717">
        <v>0</v>
      </c>
      <c r="S3717">
        <v>0</v>
      </c>
      <c r="T3717">
        <v>0</v>
      </c>
      <c r="U3717">
        <v>0</v>
      </c>
      <c r="W3717" t="s">
        <v>62</v>
      </c>
      <c r="AO3717" t="s">
        <v>67</v>
      </c>
    </row>
    <row r="3718" spans="1:45" x14ac:dyDescent="0.35">
      <c r="A3718" t="s">
        <v>45</v>
      </c>
      <c r="B3718" t="s">
        <v>8332</v>
      </c>
      <c r="C3718" t="s">
        <v>47</v>
      </c>
      <c r="D3718" t="s">
        <v>8539</v>
      </c>
      <c r="E3718" t="s">
        <v>8539</v>
      </c>
      <c r="F3718" t="s">
        <v>49</v>
      </c>
      <c r="G3718" t="s">
        <v>373</v>
      </c>
      <c r="H3718" t="s">
        <v>8540</v>
      </c>
      <c r="J3718" t="str">
        <f>HYPERLINK("https://www.facebook.com/357267201017935/inbox/6992540457490543/","https://www.facebook.com/357267201017935/inbox/6992540457490543/")</f>
        <v>https://www.facebook.com/357267201017935/inbox/6992540457490543/</v>
      </c>
      <c r="O3718">
        <v>0</v>
      </c>
      <c r="P3718">
        <v>0</v>
      </c>
      <c r="Q3718">
        <v>0</v>
      </c>
      <c r="S3718">
        <v>0</v>
      </c>
      <c r="T3718">
        <v>0</v>
      </c>
      <c r="U3718">
        <v>0</v>
      </c>
      <c r="W3718" t="s">
        <v>52</v>
      </c>
    </row>
    <row r="3719" spans="1:45" x14ac:dyDescent="0.35">
      <c r="A3719" t="s">
        <v>45</v>
      </c>
      <c r="B3719" t="s">
        <v>8332</v>
      </c>
      <c r="C3719" t="s">
        <v>47</v>
      </c>
      <c r="D3719" t="s">
        <v>7125</v>
      </c>
      <c r="E3719" t="s">
        <v>7125</v>
      </c>
      <c r="F3719" t="s">
        <v>49</v>
      </c>
      <c r="G3719" t="s">
        <v>8541</v>
      </c>
      <c r="H3719" t="s">
        <v>8542</v>
      </c>
      <c r="J3719" t="str">
        <f>HYPERLINK("https://www.facebook.com/454965103328545/videos/3697954183759550?comment_id=3783369178616959","https://www.facebook.com/454965103328545/videos/3697954183759550?comment_id=3783369178616959")</f>
        <v>https://www.facebook.com/454965103328545/videos/3697954183759550?comment_id=3783369178616959</v>
      </c>
      <c r="O3719">
        <v>0</v>
      </c>
      <c r="P3719">
        <v>0</v>
      </c>
      <c r="Q3719">
        <v>0</v>
      </c>
      <c r="S3719">
        <v>0</v>
      </c>
      <c r="T3719">
        <v>0</v>
      </c>
      <c r="U3719">
        <v>0</v>
      </c>
      <c r="W3719" t="s">
        <v>62</v>
      </c>
    </row>
    <row r="3720" spans="1:45" x14ac:dyDescent="0.35">
      <c r="A3720" t="s">
        <v>45</v>
      </c>
      <c r="B3720" t="s">
        <v>8332</v>
      </c>
      <c r="C3720" t="s">
        <v>139</v>
      </c>
      <c r="D3720" t="s">
        <v>190</v>
      </c>
      <c r="E3720" t="s">
        <v>45</v>
      </c>
      <c r="F3720" t="s">
        <v>49</v>
      </c>
      <c r="G3720" t="s">
        <v>8543</v>
      </c>
      <c r="H3720" t="s">
        <v>8544</v>
      </c>
      <c r="J3720" t="str">
        <f>HYPERLINK("https://twitter.com/FinoPaymntsBank/status/1753421387207770614","https://twitter.com/FinoPaymntsBank/status/1753421387207770614")</f>
        <v>https://twitter.com/FinoPaymntsBank/status/1753421387207770614</v>
      </c>
      <c r="K3720" t="s">
        <v>145</v>
      </c>
      <c r="O3720">
        <v>0</v>
      </c>
      <c r="P3720">
        <v>0</v>
      </c>
      <c r="Q3720">
        <v>8355</v>
      </c>
      <c r="R3720" t="s">
        <v>193</v>
      </c>
      <c r="S3720">
        <v>0</v>
      </c>
      <c r="T3720">
        <v>0</v>
      </c>
      <c r="U3720">
        <v>0</v>
      </c>
      <c r="W3720" t="s">
        <v>146</v>
      </c>
    </row>
    <row r="3721" spans="1:45" x14ac:dyDescent="0.35">
      <c r="A3721" t="s">
        <v>45</v>
      </c>
      <c r="B3721" t="s">
        <v>8332</v>
      </c>
      <c r="C3721" t="s">
        <v>47</v>
      </c>
      <c r="D3721" t="s">
        <v>4488</v>
      </c>
      <c r="E3721" t="s">
        <v>4488</v>
      </c>
      <c r="F3721" t="s">
        <v>49</v>
      </c>
      <c r="G3721" t="s">
        <v>8347</v>
      </c>
      <c r="H3721" t="s">
        <v>8545</v>
      </c>
      <c r="J3721" t="str">
        <f>HYPERLINK("https://www.facebook.com/454965103328545/posts/763902162434836?comment_id=1312107259487698","https://www.facebook.com/454965103328545/posts/763902162434836?comment_id=1312107259487698")</f>
        <v>https://www.facebook.com/454965103328545/posts/763902162434836?comment_id=1312107259487698</v>
      </c>
      <c r="O3721">
        <v>0</v>
      </c>
      <c r="P3721">
        <v>0</v>
      </c>
      <c r="Q3721">
        <v>0</v>
      </c>
      <c r="S3721">
        <v>0</v>
      </c>
      <c r="T3721">
        <v>0</v>
      </c>
      <c r="U3721">
        <v>0</v>
      </c>
      <c r="W3721" t="s">
        <v>62</v>
      </c>
      <c r="AS3721" t="s">
        <v>375</v>
      </c>
    </row>
    <row r="3722" spans="1:45" x14ac:dyDescent="0.35">
      <c r="A3722" t="s">
        <v>45</v>
      </c>
      <c r="B3722" t="s">
        <v>8332</v>
      </c>
      <c r="C3722" t="s">
        <v>47</v>
      </c>
      <c r="D3722" t="s">
        <v>8546</v>
      </c>
      <c r="E3722" t="s">
        <v>8546</v>
      </c>
      <c r="F3722" t="s">
        <v>76</v>
      </c>
      <c r="G3722" t="s">
        <v>8547</v>
      </c>
      <c r="H3722" t="s">
        <v>8548</v>
      </c>
      <c r="J3722" t="str">
        <f>HYPERLINK("https://www.facebook.com/454965103328545/posts/763233329168386?comment_id=3618902478428732","https://www.facebook.com/454965103328545/posts/763233329168386?comment_id=3618902478428732")</f>
        <v>https://www.facebook.com/454965103328545/posts/763233329168386?comment_id=3618902478428732</v>
      </c>
      <c r="O3722">
        <v>0</v>
      </c>
      <c r="P3722">
        <v>0</v>
      </c>
      <c r="Q3722">
        <v>0</v>
      </c>
      <c r="S3722">
        <v>0</v>
      </c>
      <c r="T3722">
        <v>0</v>
      </c>
      <c r="U3722">
        <v>0</v>
      </c>
      <c r="W3722" t="s">
        <v>62</v>
      </c>
      <c r="AS3722" t="s">
        <v>375</v>
      </c>
    </row>
    <row r="3723" spans="1:45" x14ac:dyDescent="0.35">
      <c r="A3723" t="s">
        <v>45</v>
      </c>
      <c r="B3723" t="s">
        <v>8332</v>
      </c>
      <c r="C3723" t="s">
        <v>47</v>
      </c>
      <c r="D3723" t="s">
        <v>8549</v>
      </c>
      <c r="E3723" t="s">
        <v>8549</v>
      </c>
      <c r="F3723" t="s">
        <v>49</v>
      </c>
      <c r="G3723" t="s">
        <v>8550</v>
      </c>
      <c r="H3723" t="s">
        <v>8551</v>
      </c>
      <c r="J3723" t="str">
        <f>HYPERLINK("https://www.facebook.com/454965103328545/videos/3697954183759550?comment_id=1429885704288156","https://www.facebook.com/454965103328545/videos/3697954183759550?comment_id=1429885704288156")</f>
        <v>https://www.facebook.com/454965103328545/videos/3697954183759550?comment_id=1429885704288156</v>
      </c>
      <c r="O3723">
        <v>0</v>
      </c>
      <c r="P3723">
        <v>0</v>
      </c>
      <c r="Q3723">
        <v>0</v>
      </c>
      <c r="S3723">
        <v>0</v>
      </c>
      <c r="T3723">
        <v>0</v>
      </c>
      <c r="U3723">
        <v>0</v>
      </c>
      <c r="W3723" t="s">
        <v>62</v>
      </c>
    </row>
    <row r="3724" spans="1:45" x14ac:dyDescent="0.35">
      <c r="A3724" t="s">
        <v>45</v>
      </c>
      <c r="B3724" t="s">
        <v>8332</v>
      </c>
      <c r="C3724" t="s">
        <v>47</v>
      </c>
      <c r="D3724" t="s">
        <v>7125</v>
      </c>
      <c r="E3724" t="s">
        <v>7125</v>
      </c>
      <c r="F3724" t="s">
        <v>49</v>
      </c>
      <c r="G3724" t="s">
        <v>8552</v>
      </c>
      <c r="H3724" t="s">
        <v>8553</v>
      </c>
      <c r="J3724" t="str">
        <f>HYPERLINK("https://www.facebook.com/454965103328545/videos/3697954183759550?comment_id=847113217170013","https://www.facebook.com/454965103328545/videos/3697954183759550?comment_id=847113217170013")</f>
        <v>https://www.facebook.com/454965103328545/videos/3697954183759550?comment_id=847113217170013</v>
      </c>
      <c r="O3724">
        <v>0</v>
      </c>
      <c r="P3724">
        <v>0</v>
      </c>
      <c r="Q3724">
        <v>0</v>
      </c>
      <c r="S3724">
        <v>0</v>
      </c>
      <c r="T3724">
        <v>0</v>
      </c>
      <c r="U3724">
        <v>0</v>
      </c>
      <c r="W3724" t="s">
        <v>62</v>
      </c>
    </row>
    <row r="3725" spans="1:45" x14ac:dyDescent="0.35">
      <c r="A3725" t="s">
        <v>45</v>
      </c>
      <c r="B3725" t="s">
        <v>8332</v>
      </c>
      <c r="C3725" t="s">
        <v>47</v>
      </c>
      <c r="D3725" t="s">
        <v>8554</v>
      </c>
      <c r="E3725" t="s">
        <v>8554</v>
      </c>
      <c r="F3725" t="s">
        <v>49</v>
      </c>
      <c r="G3725" t="s">
        <v>253</v>
      </c>
      <c r="H3725" t="s">
        <v>8555</v>
      </c>
      <c r="J3725" t="str">
        <f>HYPERLINK("https://www.facebook.com/357267201017935/inbox/6992498744161381/","https://www.facebook.com/357267201017935/inbox/6992498744161381/")</f>
        <v>https://www.facebook.com/357267201017935/inbox/6992498744161381/</v>
      </c>
      <c r="O3725">
        <v>0</v>
      </c>
      <c r="P3725">
        <v>0</v>
      </c>
      <c r="Q3725">
        <v>0</v>
      </c>
      <c r="S3725">
        <v>0</v>
      </c>
      <c r="T3725">
        <v>0</v>
      </c>
      <c r="U3725">
        <v>0</v>
      </c>
      <c r="W3725" t="s">
        <v>52</v>
      </c>
    </row>
    <row r="3726" spans="1:45" x14ac:dyDescent="0.35">
      <c r="A3726" t="s">
        <v>45</v>
      </c>
      <c r="B3726" t="s">
        <v>8332</v>
      </c>
      <c r="C3726" t="s">
        <v>47</v>
      </c>
      <c r="D3726" t="s">
        <v>8554</v>
      </c>
      <c r="E3726" t="s">
        <v>8554</v>
      </c>
      <c r="F3726" t="s">
        <v>49</v>
      </c>
      <c r="G3726" t="s">
        <v>253</v>
      </c>
      <c r="H3726" t="s">
        <v>8556</v>
      </c>
      <c r="J3726" t="str">
        <f>HYPERLINK("https://www.facebook.com/357267201017935/inbox/6992498744161381/","https://www.facebook.com/357267201017935/inbox/6992498744161381/")</f>
        <v>https://www.facebook.com/357267201017935/inbox/6992498744161381/</v>
      </c>
      <c r="O3726">
        <v>0</v>
      </c>
      <c r="P3726">
        <v>0</v>
      </c>
      <c r="Q3726">
        <v>0</v>
      </c>
      <c r="S3726">
        <v>0</v>
      </c>
      <c r="T3726">
        <v>0</v>
      </c>
      <c r="U3726">
        <v>0</v>
      </c>
      <c r="W3726" t="s">
        <v>52</v>
      </c>
    </row>
    <row r="3727" spans="1:45" x14ac:dyDescent="0.35">
      <c r="A3727" t="s">
        <v>45</v>
      </c>
      <c r="B3727" t="s">
        <v>8332</v>
      </c>
      <c r="C3727" t="s">
        <v>47</v>
      </c>
      <c r="D3727" t="s">
        <v>8554</v>
      </c>
      <c r="E3727" t="s">
        <v>8554</v>
      </c>
      <c r="F3727" t="s">
        <v>49</v>
      </c>
      <c r="G3727" t="s">
        <v>253</v>
      </c>
      <c r="H3727" t="s">
        <v>8557</v>
      </c>
      <c r="J3727" t="str">
        <f>HYPERLINK("https://www.facebook.com/357267201017935/inbox/6992498744161381/","https://www.facebook.com/357267201017935/inbox/6992498744161381/")</f>
        <v>https://www.facebook.com/357267201017935/inbox/6992498744161381/</v>
      </c>
      <c r="O3727">
        <v>0</v>
      </c>
      <c r="P3727">
        <v>0</v>
      </c>
      <c r="Q3727">
        <v>0</v>
      </c>
      <c r="S3727">
        <v>0</v>
      </c>
      <c r="T3727">
        <v>0</v>
      </c>
      <c r="U3727">
        <v>0</v>
      </c>
      <c r="W3727" t="s">
        <v>52</v>
      </c>
    </row>
    <row r="3728" spans="1:45" x14ac:dyDescent="0.35">
      <c r="A3728" t="s">
        <v>45</v>
      </c>
      <c r="B3728" t="s">
        <v>8332</v>
      </c>
      <c r="C3728" t="s">
        <v>47</v>
      </c>
      <c r="D3728" t="s">
        <v>8554</v>
      </c>
      <c r="E3728" t="s">
        <v>8554</v>
      </c>
      <c r="F3728" t="s">
        <v>49</v>
      </c>
      <c r="G3728" t="s">
        <v>253</v>
      </c>
      <c r="H3728" t="s">
        <v>8558</v>
      </c>
      <c r="J3728" t="str">
        <f>HYPERLINK("https://www.facebook.com/357267201017935/inbox/6992498744161381/","https://www.facebook.com/357267201017935/inbox/6992498744161381/")</f>
        <v>https://www.facebook.com/357267201017935/inbox/6992498744161381/</v>
      </c>
      <c r="O3728">
        <v>0</v>
      </c>
      <c r="P3728">
        <v>0</v>
      </c>
      <c r="Q3728">
        <v>0</v>
      </c>
      <c r="S3728">
        <v>0</v>
      </c>
      <c r="T3728">
        <v>0</v>
      </c>
      <c r="U3728">
        <v>0</v>
      </c>
      <c r="W3728" t="s">
        <v>52</v>
      </c>
    </row>
    <row r="3729" spans="1:45" x14ac:dyDescent="0.35">
      <c r="A3729" t="s">
        <v>45</v>
      </c>
      <c r="B3729" t="s">
        <v>8332</v>
      </c>
      <c r="C3729" t="s">
        <v>47</v>
      </c>
      <c r="D3729" t="s">
        <v>8554</v>
      </c>
      <c r="E3729" t="s">
        <v>8554</v>
      </c>
      <c r="F3729" t="s">
        <v>49</v>
      </c>
      <c r="G3729" t="s">
        <v>253</v>
      </c>
      <c r="H3729" t="s">
        <v>8559</v>
      </c>
      <c r="J3729" t="str">
        <f>HYPERLINK("https://www.facebook.com/357267201017935/inbox/6992498744161381/","https://www.facebook.com/357267201017935/inbox/6992498744161381/")</f>
        <v>https://www.facebook.com/357267201017935/inbox/6992498744161381/</v>
      </c>
      <c r="O3729">
        <v>0</v>
      </c>
      <c r="P3729">
        <v>0</v>
      </c>
      <c r="Q3729">
        <v>0</v>
      </c>
      <c r="S3729">
        <v>0</v>
      </c>
      <c r="T3729">
        <v>0</v>
      </c>
      <c r="U3729">
        <v>0</v>
      </c>
      <c r="W3729" t="s">
        <v>52</v>
      </c>
    </row>
    <row r="3730" spans="1:45" x14ac:dyDescent="0.35">
      <c r="A3730" t="s">
        <v>45</v>
      </c>
      <c r="B3730" t="s">
        <v>8332</v>
      </c>
      <c r="C3730" t="s">
        <v>47</v>
      </c>
      <c r="D3730" t="s">
        <v>8560</v>
      </c>
      <c r="E3730" t="s">
        <v>8560</v>
      </c>
      <c r="F3730" t="s">
        <v>49</v>
      </c>
      <c r="G3730" t="s">
        <v>8561</v>
      </c>
      <c r="H3730" t="s">
        <v>8562</v>
      </c>
      <c r="J3730" t="str">
        <f>HYPERLINK("https://www.facebook.com/454965103328545/videos/3697954183759550?comment_id=922658002798703","https://www.facebook.com/454965103328545/videos/3697954183759550?comment_id=922658002798703")</f>
        <v>https://www.facebook.com/454965103328545/videos/3697954183759550?comment_id=922658002798703</v>
      </c>
      <c r="O3730">
        <v>0</v>
      </c>
      <c r="P3730">
        <v>0</v>
      </c>
      <c r="Q3730">
        <v>0</v>
      </c>
      <c r="S3730">
        <v>0</v>
      </c>
      <c r="T3730">
        <v>0</v>
      </c>
      <c r="U3730">
        <v>0</v>
      </c>
      <c r="W3730" t="s">
        <v>62</v>
      </c>
      <c r="AS3730" t="s">
        <v>375</v>
      </c>
    </row>
    <row r="3731" spans="1:45" x14ac:dyDescent="0.35">
      <c r="A3731" t="s">
        <v>45</v>
      </c>
      <c r="B3731" t="s">
        <v>8332</v>
      </c>
      <c r="C3731" t="s">
        <v>47</v>
      </c>
      <c r="D3731" t="s">
        <v>8563</v>
      </c>
      <c r="E3731" t="s">
        <v>8563</v>
      </c>
      <c r="F3731" t="s">
        <v>49</v>
      </c>
      <c r="G3731" t="s">
        <v>8564</v>
      </c>
      <c r="H3731" t="s">
        <v>8565</v>
      </c>
      <c r="J3731" t="str">
        <f>HYPERLINK("https://www.facebook.com/454965103328545/posts/763899692435083?comment_id=1054352659010028","https://www.facebook.com/454965103328545/posts/763899692435083?comment_id=1054352659010028")</f>
        <v>https://www.facebook.com/454965103328545/posts/763899692435083?comment_id=1054352659010028</v>
      </c>
      <c r="O3731">
        <v>0</v>
      </c>
      <c r="P3731">
        <v>0</v>
      </c>
      <c r="Q3731">
        <v>0</v>
      </c>
      <c r="S3731">
        <v>0</v>
      </c>
      <c r="T3731">
        <v>0</v>
      </c>
      <c r="U3731">
        <v>0</v>
      </c>
      <c r="W3731" t="s">
        <v>62</v>
      </c>
    </row>
    <row r="3732" spans="1:45" x14ac:dyDescent="0.35">
      <c r="A3732" t="s">
        <v>45</v>
      </c>
      <c r="B3732" t="s">
        <v>8332</v>
      </c>
      <c r="C3732" t="s">
        <v>47</v>
      </c>
      <c r="D3732" t="s">
        <v>7381</v>
      </c>
      <c r="E3732" t="s">
        <v>7381</v>
      </c>
      <c r="F3732" t="s">
        <v>49</v>
      </c>
      <c r="G3732" t="s">
        <v>8566</v>
      </c>
      <c r="H3732" t="s">
        <v>8567</v>
      </c>
      <c r="J3732" t="str">
        <f>HYPERLINK("https://www.facebook.com/454965103328545/videos/3697954183759550?comment_id=3988065311444866","https://www.facebook.com/454965103328545/videos/3697954183759550?comment_id=3988065311444866")</f>
        <v>https://www.facebook.com/454965103328545/videos/3697954183759550?comment_id=3988065311444866</v>
      </c>
      <c r="O3732">
        <v>0</v>
      </c>
      <c r="P3732">
        <v>0</v>
      </c>
      <c r="Q3732">
        <v>0</v>
      </c>
      <c r="S3732">
        <v>0</v>
      </c>
      <c r="T3732">
        <v>0</v>
      </c>
      <c r="U3732">
        <v>0</v>
      </c>
      <c r="W3732" t="s">
        <v>62</v>
      </c>
      <c r="AS3732" t="s">
        <v>375</v>
      </c>
    </row>
    <row r="3733" spans="1:45" x14ac:dyDescent="0.35">
      <c r="A3733" t="s">
        <v>45</v>
      </c>
      <c r="B3733" t="s">
        <v>8332</v>
      </c>
      <c r="C3733" t="s">
        <v>47</v>
      </c>
      <c r="D3733" t="s">
        <v>8568</v>
      </c>
      <c r="E3733" t="s">
        <v>8568</v>
      </c>
      <c r="F3733" t="s">
        <v>142</v>
      </c>
      <c r="G3733" t="s">
        <v>8569</v>
      </c>
      <c r="H3733" t="s">
        <v>8570</v>
      </c>
      <c r="J3733" t="str">
        <f>HYPERLINK("https://www.facebook.com/454965103328545/videos/3697954183759550?comment_id=717368666842169","https://www.facebook.com/454965103328545/videos/3697954183759550?comment_id=717368666842169")</f>
        <v>https://www.facebook.com/454965103328545/videos/3697954183759550?comment_id=717368666842169</v>
      </c>
      <c r="O3733">
        <v>0</v>
      </c>
      <c r="P3733">
        <v>0</v>
      </c>
      <c r="Q3733">
        <v>0</v>
      </c>
      <c r="S3733">
        <v>0</v>
      </c>
      <c r="T3733">
        <v>0</v>
      </c>
      <c r="U3733">
        <v>0</v>
      </c>
      <c r="W3733" t="s">
        <v>62</v>
      </c>
      <c r="AP3733" t="s">
        <v>147</v>
      </c>
    </row>
    <row r="3734" spans="1:45" x14ac:dyDescent="0.35">
      <c r="A3734" t="s">
        <v>45</v>
      </c>
      <c r="B3734" t="s">
        <v>8332</v>
      </c>
      <c r="C3734" t="s">
        <v>47</v>
      </c>
      <c r="D3734" t="s">
        <v>7381</v>
      </c>
      <c r="E3734" t="s">
        <v>7381</v>
      </c>
      <c r="F3734" t="s">
        <v>49</v>
      </c>
      <c r="G3734" t="s">
        <v>8571</v>
      </c>
      <c r="H3734" t="s">
        <v>8572</v>
      </c>
      <c r="J3734" t="str">
        <f>HYPERLINK("https://www.facebook.com/454965103328545/posts/763899692435083?comment_id=753263573026361&amp;reply_comment_id=1224349682281010","https://www.facebook.com/454965103328545/posts/763899692435083?comment_id=753263573026361&amp;reply_comment_id=1224349682281010")</f>
        <v>https://www.facebook.com/454965103328545/posts/763899692435083?comment_id=753263573026361&amp;reply_comment_id=1224349682281010</v>
      </c>
      <c r="O3734">
        <v>0</v>
      </c>
      <c r="P3734">
        <v>0</v>
      </c>
      <c r="Q3734">
        <v>0</v>
      </c>
      <c r="S3734">
        <v>0</v>
      </c>
      <c r="T3734">
        <v>0</v>
      </c>
      <c r="U3734">
        <v>0</v>
      </c>
      <c r="W3734" t="s">
        <v>62</v>
      </c>
      <c r="AP3734" t="s">
        <v>94</v>
      </c>
    </row>
    <row r="3735" spans="1:45" x14ac:dyDescent="0.35">
      <c r="A3735" t="s">
        <v>45</v>
      </c>
      <c r="B3735" t="s">
        <v>8332</v>
      </c>
      <c r="C3735" t="s">
        <v>47</v>
      </c>
      <c r="D3735" t="s">
        <v>45</v>
      </c>
      <c r="E3735" t="s">
        <v>45</v>
      </c>
      <c r="F3735" t="s">
        <v>49</v>
      </c>
      <c r="G3735" t="s">
        <v>8573</v>
      </c>
      <c r="H3735" t="s">
        <v>8574</v>
      </c>
      <c r="J3735" t="str">
        <f>HYPERLINK("https://www.facebook.com/454965103328545/posts/764462805712105","https://www.facebook.com/454965103328545/posts/764462805712105")</f>
        <v>https://www.facebook.com/454965103328545/posts/764462805712105</v>
      </c>
      <c r="O3735">
        <v>0</v>
      </c>
      <c r="P3735">
        <v>0</v>
      </c>
      <c r="Q3735">
        <v>0</v>
      </c>
      <c r="S3735">
        <v>5</v>
      </c>
      <c r="T3735">
        <v>84</v>
      </c>
      <c r="U3735">
        <v>7</v>
      </c>
      <c r="W3735" t="s">
        <v>106</v>
      </c>
    </row>
    <row r="3736" spans="1:45" x14ac:dyDescent="0.35">
      <c r="A3736" t="s">
        <v>45</v>
      </c>
      <c r="B3736" t="s">
        <v>8332</v>
      </c>
      <c r="C3736" t="s">
        <v>47</v>
      </c>
      <c r="D3736" t="s">
        <v>7381</v>
      </c>
      <c r="E3736" t="s">
        <v>7381</v>
      </c>
      <c r="F3736" t="s">
        <v>49</v>
      </c>
      <c r="G3736" t="s">
        <v>8575</v>
      </c>
      <c r="H3736" t="s">
        <v>8576</v>
      </c>
      <c r="J3736" t="str">
        <f>HYPERLINK("https://www.facebook.com/454965103328545/posts/763871475771238?comment_id=1333279217414342&amp;reply_comment_id=759112722381721","https://www.facebook.com/454965103328545/posts/763871475771238?comment_id=1333279217414342&amp;reply_comment_id=759112722381721")</f>
        <v>https://www.facebook.com/454965103328545/posts/763871475771238?comment_id=1333279217414342&amp;reply_comment_id=759112722381721</v>
      </c>
      <c r="O3736">
        <v>0</v>
      </c>
      <c r="P3736">
        <v>0</v>
      </c>
      <c r="Q3736">
        <v>0</v>
      </c>
      <c r="S3736">
        <v>0</v>
      </c>
      <c r="T3736">
        <v>0</v>
      </c>
      <c r="U3736">
        <v>0</v>
      </c>
      <c r="W3736" t="s">
        <v>62</v>
      </c>
    </row>
    <row r="3737" spans="1:45" x14ac:dyDescent="0.35">
      <c r="A3737" t="s">
        <v>45</v>
      </c>
      <c r="B3737" t="s">
        <v>8332</v>
      </c>
      <c r="C3737" t="s">
        <v>102</v>
      </c>
      <c r="D3737" t="s">
        <v>965</v>
      </c>
      <c r="E3737" t="s">
        <v>965</v>
      </c>
      <c r="F3737" t="s">
        <v>49</v>
      </c>
      <c r="G3737" t="s">
        <v>8577</v>
      </c>
      <c r="H3737" t="s">
        <v>8578</v>
      </c>
      <c r="J3737" t="str">
        <f>HYPERLINK("https://www.linkedin.com/feed/update/urn:li:share:7159179277924544514","https://www.linkedin.com/feed/update/urn:li:share:7159179277924544514")</f>
        <v>https://www.linkedin.com/feed/update/urn:li:share:7159179277924544514</v>
      </c>
      <c r="O3737">
        <v>0</v>
      </c>
      <c r="P3737">
        <v>0</v>
      </c>
      <c r="Q3737">
        <v>0</v>
      </c>
      <c r="S3737">
        <v>6</v>
      </c>
      <c r="T3737">
        <v>250</v>
      </c>
      <c r="U3737">
        <v>0</v>
      </c>
      <c r="W3737" t="s">
        <v>106</v>
      </c>
    </row>
    <row r="3738" spans="1:45" x14ac:dyDescent="0.35">
      <c r="A3738" t="s">
        <v>45</v>
      </c>
      <c r="B3738" t="s">
        <v>8332</v>
      </c>
      <c r="C3738" t="s">
        <v>47</v>
      </c>
      <c r="D3738" t="s">
        <v>7381</v>
      </c>
      <c r="E3738" t="s">
        <v>7381</v>
      </c>
      <c r="F3738" t="s">
        <v>49</v>
      </c>
      <c r="G3738" t="s">
        <v>8579</v>
      </c>
      <c r="H3738" t="s">
        <v>8580</v>
      </c>
      <c r="J3738" t="str">
        <f>HYPERLINK("https://www.facebook.com/454965103328545/posts/763871475771238?comment_id=1112351649923562","https://www.facebook.com/454965103328545/posts/763871475771238?comment_id=1112351649923562")</f>
        <v>https://www.facebook.com/454965103328545/posts/763871475771238?comment_id=1112351649923562</v>
      </c>
      <c r="O3738">
        <v>0</v>
      </c>
      <c r="P3738">
        <v>0</v>
      </c>
      <c r="Q3738">
        <v>0</v>
      </c>
      <c r="S3738">
        <v>0</v>
      </c>
      <c r="T3738">
        <v>0</v>
      </c>
      <c r="U3738">
        <v>0</v>
      </c>
      <c r="W3738" t="s">
        <v>62</v>
      </c>
    </row>
    <row r="3739" spans="1:45" x14ac:dyDescent="0.35">
      <c r="A3739" t="s">
        <v>45</v>
      </c>
      <c r="B3739" t="s">
        <v>8332</v>
      </c>
      <c r="C3739" t="s">
        <v>47</v>
      </c>
      <c r="D3739" t="s">
        <v>8581</v>
      </c>
      <c r="E3739" t="s">
        <v>8581</v>
      </c>
      <c r="F3739" t="s">
        <v>49</v>
      </c>
      <c r="G3739" t="s">
        <v>459</v>
      </c>
      <c r="H3739" t="s">
        <v>8582</v>
      </c>
      <c r="J3739" t="str">
        <f>HYPERLINK("https://www.facebook.com/454965103328545/videos/3697954183759550?comment_id=950214093142544","https://www.facebook.com/454965103328545/videos/3697954183759550?comment_id=950214093142544")</f>
        <v>https://www.facebook.com/454965103328545/videos/3697954183759550?comment_id=950214093142544</v>
      </c>
      <c r="O3739">
        <v>0</v>
      </c>
      <c r="P3739">
        <v>0</v>
      </c>
      <c r="Q3739">
        <v>0</v>
      </c>
      <c r="S3739">
        <v>0</v>
      </c>
      <c r="T3739">
        <v>0</v>
      </c>
      <c r="U3739">
        <v>0</v>
      </c>
      <c r="W3739" t="s">
        <v>62</v>
      </c>
    </row>
    <row r="3740" spans="1:45" x14ac:dyDescent="0.35">
      <c r="A3740" t="s">
        <v>45</v>
      </c>
      <c r="B3740" t="s">
        <v>8332</v>
      </c>
      <c r="C3740" t="s">
        <v>47</v>
      </c>
      <c r="D3740" t="s">
        <v>8583</v>
      </c>
      <c r="E3740" t="s">
        <v>8583</v>
      </c>
      <c r="F3740" t="s">
        <v>49</v>
      </c>
      <c r="G3740" t="s">
        <v>8584</v>
      </c>
      <c r="H3740" t="s">
        <v>8585</v>
      </c>
      <c r="J3740" t="str">
        <f>HYPERLINK("https://www.facebook.com/454965103328545/videos/3697954183759550?comment_id=2113936962273924","https://www.facebook.com/454965103328545/videos/3697954183759550?comment_id=2113936962273924")</f>
        <v>https://www.facebook.com/454965103328545/videos/3697954183759550?comment_id=2113936962273924</v>
      </c>
      <c r="O3740">
        <v>0</v>
      </c>
      <c r="P3740">
        <v>0</v>
      </c>
      <c r="Q3740">
        <v>0</v>
      </c>
      <c r="S3740">
        <v>0</v>
      </c>
      <c r="T3740">
        <v>0</v>
      </c>
      <c r="U3740">
        <v>0</v>
      </c>
      <c r="W3740" t="s">
        <v>62</v>
      </c>
      <c r="AS3740" t="s">
        <v>375</v>
      </c>
    </row>
    <row r="3741" spans="1:45" x14ac:dyDescent="0.35">
      <c r="A3741" t="s">
        <v>45</v>
      </c>
      <c r="B3741" t="s">
        <v>8332</v>
      </c>
      <c r="C3741" t="s">
        <v>47</v>
      </c>
      <c r="D3741" t="s">
        <v>151</v>
      </c>
      <c r="E3741" t="s">
        <v>151</v>
      </c>
      <c r="F3741" t="s">
        <v>142</v>
      </c>
      <c r="G3741" t="s">
        <v>8586</v>
      </c>
      <c r="H3741" t="s">
        <v>8587</v>
      </c>
      <c r="J3741" t="str">
        <f>HYPERLINK("https://www.facebook.com/454965103328545/videos/3697954183759550?comment_id=1577628136392084","https://www.facebook.com/454965103328545/videos/3697954183759550?comment_id=1577628136392084")</f>
        <v>https://www.facebook.com/454965103328545/videos/3697954183759550?comment_id=1577628136392084</v>
      </c>
      <c r="O3741">
        <v>0</v>
      </c>
      <c r="P3741">
        <v>0</v>
      </c>
      <c r="Q3741">
        <v>0</v>
      </c>
      <c r="S3741">
        <v>0</v>
      </c>
      <c r="T3741">
        <v>0</v>
      </c>
      <c r="U3741">
        <v>0</v>
      </c>
      <c r="W3741" t="s">
        <v>62</v>
      </c>
    </row>
    <row r="3742" spans="1:45" x14ac:dyDescent="0.35">
      <c r="A3742" t="s">
        <v>45</v>
      </c>
      <c r="B3742" t="s">
        <v>8332</v>
      </c>
      <c r="C3742" t="s">
        <v>47</v>
      </c>
      <c r="D3742" t="s">
        <v>151</v>
      </c>
      <c r="E3742" t="s">
        <v>151</v>
      </c>
      <c r="F3742" t="s">
        <v>49</v>
      </c>
      <c r="G3742" t="s">
        <v>8588</v>
      </c>
      <c r="H3742" t="s">
        <v>8589</v>
      </c>
      <c r="J3742" t="str">
        <f>HYPERLINK("https://www.facebook.com/454965103328545/videos/3697954183759550?comment_id=399672412661479","https://www.facebook.com/454965103328545/videos/3697954183759550?comment_id=399672412661479")</f>
        <v>https://www.facebook.com/454965103328545/videos/3697954183759550?comment_id=399672412661479</v>
      </c>
      <c r="O3742">
        <v>0</v>
      </c>
      <c r="P3742">
        <v>0</v>
      </c>
      <c r="Q3742">
        <v>0</v>
      </c>
      <c r="S3742">
        <v>0</v>
      </c>
      <c r="T3742">
        <v>0</v>
      </c>
      <c r="U3742">
        <v>0</v>
      </c>
      <c r="W3742" t="s">
        <v>62</v>
      </c>
    </row>
    <row r="3743" spans="1:45" x14ac:dyDescent="0.35">
      <c r="A3743" t="s">
        <v>45</v>
      </c>
      <c r="B3743" t="s">
        <v>8332</v>
      </c>
      <c r="C3743" t="s">
        <v>47</v>
      </c>
      <c r="D3743" t="s">
        <v>151</v>
      </c>
      <c r="E3743" t="s">
        <v>151</v>
      </c>
      <c r="F3743" t="s">
        <v>49</v>
      </c>
      <c r="G3743" t="s">
        <v>8590</v>
      </c>
      <c r="H3743" t="s">
        <v>8591</v>
      </c>
      <c r="J3743" t="str">
        <f>HYPERLINK("https://www.facebook.com/454965103328545/videos/3697954183759550?comment_id=759525662340475","https://www.facebook.com/454965103328545/videos/3697954183759550?comment_id=759525662340475")</f>
        <v>https://www.facebook.com/454965103328545/videos/3697954183759550?comment_id=759525662340475</v>
      </c>
      <c r="O3743">
        <v>0</v>
      </c>
      <c r="P3743">
        <v>0</v>
      </c>
      <c r="Q3743">
        <v>0</v>
      </c>
      <c r="S3743">
        <v>0</v>
      </c>
      <c r="T3743">
        <v>0</v>
      </c>
      <c r="U3743">
        <v>0</v>
      </c>
      <c r="W3743" t="s">
        <v>62</v>
      </c>
    </row>
    <row r="3744" spans="1:45" x14ac:dyDescent="0.35">
      <c r="A3744" t="s">
        <v>45</v>
      </c>
      <c r="B3744" t="s">
        <v>8332</v>
      </c>
      <c r="C3744" t="s">
        <v>47</v>
      </c>
      <c r="D3744" t="s">
        <v>8455</v>
      </c>
      <c r="E3744" t="s">
        <v>8455</v>
      </c>
      <c r="F3744" t="s">
        <v>49</v>
      </c>
      <c r="G3744" t="s">
        <v>8592</v>
      </c>
      <c r="H3744" t="s">
        <v>8593</v>
      </c>
      <c r="J3744" t="str">
        <f>HYPERLINK("https://www.facebook.com/454965103328545/videos/3697954183759550?comment_id=2038658269851723","https://www.facebook.com/454965103328545/videos/3697954183759550?comment_id=2038658269851723")</f>
        <v>https://www.facebook.com/454965103328545/videos/3697954183759550?comment_id=2038658269851723</v>
      </c>
      <c r="O3744">
        <v>0</v>
      </c>
      <c r="P3744">
        <v>0</v>
      </c>
      <c r="Q3744">
        <v>0</v>
      </c>
      <c r="S3744">
        <v>0</v>
      </c>
      <c r="T3744">
        <v>0</v>
      </c>
      <c r="U3744">
        <v>0</v>
      </c>
      <c r="W3744" t="s">
        <v>62</v>
      </c>
    </row>
    <row r="3745" spans="1:45" x14ac:dyDescent="0.35">
      <c r="A3745" t="s">
        <v>45</v>
      </c>
      <c r="B3745" t="s">
        <v>8332</v>
      </c>
      <c r="C3745" t="s">
        <v>47</v>
      </c>
      <c r="D3745" t="s">
        <v>8594</v>
      </c>
      <c r="E3745" t="s">
        <v>8594</v>
      </c>
      <c r="F3745" t="s">
        <v>49</v>
      </c>
      <c r="G3745" t="s">
        <v>8595</v>
      </c>
      <c r="H3745" t="s">
        <v>8596</v>
      </c>
      <c r="J3745" t="str">
        <f>HYPERLINK("https://www.facebook.com/454965103328545/posts/763871475771238?comment_id=895709895416552","https://www.facebook.com/454965103328545/posts/763871475771238?comment_id=895709895416552")</f>
        <v>https://www.facebook.com/454965103328545/posts/763871475771238?comment_id=895709895416552</v>
      </c>
      <c r="O3745">
        <v>0</v>
      </c>
      <c r="P3745">
        <v>0</v>
      </c>
      <c r="Q3745">
        <v>0</v>
      </c>
      <c r="S3745">
        <v>0</v>
      </c>
      <c r="T3745">
        <v>0</v>
      </c>
      <c r="U3745">
        <v>0</v>
      </c>
      <c r="W3745" t="s">
        <v>62</v>
      </c>
    </row>
    <row r="3746" spans="1:45" x14ac:dyDescent="0.35">
      <c r="A3746" t="s">
        <v>45</v>
      </c>
      <c r="B3746" t="s">
        <v>8332</v>
      </c>
      <c r="C3746" t="s">
        <v>47</v>
      </c>
      <c r="D3746" t="s">
        <v>8597</v>
      </c>
      <c r="E3746" t="s">
        <v>8597</v>
      </c>
      <c r="F3746" t="s">
        <v>49</v>
      </c>
      <c r="G3746" t="s">
        <v>8598</v>
      </c>
      <c r="H3746" t="s">
        <v>8599</v>
      </c>
      <c r="J3746" t="str">
        <f>HYPERLINK("https://www.facebook.com/454965103328545/videos/3697954183759550?comment_id=930065612059758","https://www.facebook.com/454965103328545/videos/3697954183759550?comment_id=930065612059758")</f>
        <v>https://www.facebook.com/454965103328545/videos/3697954183759550?comment_id=930065612059758</v>
      </c>
      <c r="O3746">
        <v>0</v>
      </c>
      <c r="P3746">
        <v>0</v>
      </c>
      <c r="Q3746">
        <v>0</v>
      </c>
      <c r="S3746">
        <v>0</v>
      </c>
      <c r="T3746">
        <v>0</v>
      </c>
      <c r="U3746">
        <v>0</v>
      </c>
      <c r="W3746" t="s">
        <v>62</v>
      </c>
    </row>
    <row r="3747" spans="1:45" x14ac:dyDescent="0.35">
      <c r="A3747" t="s">
        <v>45</v>
      </c>
      <c r="B3747" t="s">
        <v>8332</v>
      </c>
      <c r="C3747" t="s">
        <v>47</v>
      </c>
      <c r="D3747" t="s">
        <v>8600</v>
      </c>
      <c r="E3747" t="s">
        <v>8600</v>
      </c>
      <c r="F3747" t="s">
        <v>49</v>
      </c>
      <c r="G3747" t="s">
        <v>8601</v>
      </c>
      <c r="H3747" t="s">
        <v>8602</v>
      </c>
      <c r="J3747" t="str">
        <f>HYPERLINK("https://www.facebook.com/454965103328545/videos/3697954183759550?comment_id=1301066930562100","https://www.facebook.com/454965103328545/videos/3697954183759550?comment_id=1301066930562100")</f>
        <v>https://www.facebook.com/454965103328545/videos/3697954183759550?comment_id=1301066930562100</v>
      </c>
      <c r="O3747">
        <v>0</v>
      </c>
      <c r="P3747">
        <v>0</v>
      </c>
      <c r="Q3747">
        <v>0</v>
      </c>
      <c r="S3747">
        <v>0</v>
      </c>
      <c r="T3747">
        <v>0</v>
      </c>
      <c r="U3747">
        <v>0</v>
      </c>
      <c r="W3747" t="s">
        <v>62</v>
      </c>
    </row>
    <row r="3748" spans="1:45" x14ac:dyDescent="0.35">
      <c r="A3748" t="s">
        <v>45</v>
      </c>
      <c r="B3748" t="s">
        <v>8332</v>
      </c>
      <c r="C3748" t="s">
        <v>47</v>
      </c>
      <c r="D3748" t="s">
        <v>8603</v>
      </c>
      <c r="E3748" t="s">
        <v>8603</v>
      </c>
      <c r="F3748" t="s">
        <v>49</v>
      </c>
      <c r="G3748" t="s">
        <v>8604</v>
      </c>
      <c r="H3748" t="s">
        <v>8605</v>
      </c>
      <c r="J3748" t="str">
        <f>HYPERLINK("https://www.facebook.com/357267201017935/inbox/6992334217511167/","https://www.facebook.com/357267201017935/inbox/6992334217511167/")</f>
        <v>https://www.facebook.com/357267201017935/inbox/6992334217511167/</v>
      </c>
      <c r="O3748">
        <v>0</v>
      </c>
      <c r="P3748">
        <v>0</v>
      </c>
      <c r="Q3748">
        <v>0</v>
      </c>
      <c r="S3748">
        <v>0</v>
      </c>
      <c r="T3748">
        <v>0</v>
      </c>
      <c r="U3748">
        <v>0</v>
      </c>
      <c r="W3748" t="s">
        <v>52</v>
      </c>
      <c r="AO3748" t="s">
        <v>119</v>
      </c>
      <c r="AP3748" t="s">
        <v>101</v>
      </c>
      <c r="AS3748" t="s">
        <v>375</v>
      </c>
    </row>
    <row r="3749" spans="1:45" x14ac:dyDescent="0.35">
      <c r="A3749" t="s">
        <v>45</v>
      </c>
      <c r="B3749" t="s">
        <v>8332</v>
      </c>
      <c r="C3749" t="s">
        <v>47</v>
      </c>
      <c r="D3749" t="s">
        <v>151</v>
      </c>
      <c r="E3749" t="s">
        <v>151</v>
      </c>
      <c r="F3749" t="s">
        <v>49</v>
      </c>
      <c r="G3749" t="s">
        <v>8606</v>
      </c>
      <c r="H3749" t="s">
        <v>8607</v>
      </c>
      <c r="J3749" t="str">
        <f>HYPERLINK("https://www.facebook.com/454965103328545/videos/3697954183759550?comment_id=1346220512712021","https://www.facebook.com/454965103328545/videos/3697954183759550?comment_id=1346220512712021")</f>
        <v>https://www.facebook.com/454965103328545/videos/3697954183759550?comment_id=1346220512712021</v>
      </c>
      <c r="O3749">
        <v>0</v>
      </c>
      <c r="P3749">
        <v>0</v>
      </c>
      <c r="Q3749">
        <v>0</v>
      </c>
      <c r="S3749">
        <v>0</v>
      </c>
      <c r="T3749">
        <v>0</v>
      </c>
      <c r="U3749">
        <v>0</v>
      </c>
      <c r="W3749" t="s">
        <v>62</v>
      </c>
      <c r="AO3749" t="s">
        <v>119</v>
      </c>
    </row>
    <row r="3750" spans="1:45" x14ac:dyDescent="0.35">
      <c r="A3750" t="s">
        <v>45</v>
      </c>
      <c r="B3750" t="s">
        <v>8332</v>
      </c>
      <c r="C3750" t="s">
        <v>58</v>
      </c>
      <c r="D3750" t="s">
        <v>7887</v>
      </c>
      <c r="E3750" t="s">
        <v>7887</v>
      </c>
      <c r="F3750" t="s">
        <v>49</v>
      </c>
      <c r="G3750" t="s">
        <v>8608</v>
      </c>
      <c r="H3750" t="s">
        <v>8609</v>
      </c>
      <c r="J3750" t="str">
        <f>HYPERLINK("https://www.youtube.com/watch?v=aAecvGSN6S0","https://www.youtube.com/watch?v=aAecvGSN6S0")</f>
        <v>https://www.youtube.com/watch?v=aAecvGSN6S0</v>
      </c>
      <c r="O3750">
        <v>0</v>
      </c>
      <c r="P3750">
        <v>0</v>
      </c>
      <c r="Q3750">
        <v>0</v>
      </c>
      <c r="S3750">
        <v>0</v>
      </c>
      <c r="T3750">
        <v>0</v>
      </c>
      <c r="U3750">
        <v>0</v>
      </c>
      <c r="W3750" t="s">
        <v>106</v>
      </c>
    </row>
    <row r="3751" spans="1:45" x14ac:dyDescent="0.35">
      <c r="A3751" t="s">
        <v>45</v>
      </c>
      <c r="B3751" t="s">
        <v>8332</v>
      </c>
      <c r="C3751" t="s">
        <v>47</v>
      </c>
      <c r="D3751" t="s">
        <v>8600</v>
      </c>
      <c r="E3751" t="s">
        <v>8600</v>
      </c>
      <c r="F3751" t="s">
        <v>49</v>
      </c>
      <c r="G3751" t="s">
        <v>4056</v>
      </c>
      <c r="H3751" t="s">
        <v>8610</v>
      </c>
      <c r="J3751" t="str">
        <f>HYPERLINK("https://www.facebook.com/454965103328545/videos/3697954183759550?comment_id=367082485963425&amp;reply_comment_id=2057373824661325","https://www.facebook.com/454965103328545/videos/3697954183759550?comment_id=367082485963425&amp;reply_comment_id=2057373824661325")</f>
        <v>https://www.facebook.com/454965103328545/videos/3697954183759550?comment_id=367082485963425&amp;reply_comment_id=2057373824661325</v>
      </c>
      <c r="O3751">
        <v>0</v>
      </c>
      <c r="P3751">
        <v>0</v>
      </c>
      <c r="Q3751">
        <v>0</v>
      </c>
      <c r="S3751">
        <v>0</v>
      </c>
      <c r="T3751">
        <v>0</v>
      </c>
      <c r="U3751">
        <v>0</v>
      </c>
      <c r="W3751" t="s">
        <v>62</v>
      </c>
    </row>
    <row r="3752" spans="1:45" x14ac:dyDescent="0.35">
      <c r="A3752" t="s">
        <v>45</v>
      </c>
      <c r="B3752" t="s">
        <v>8332</v>
      </c>
      <c r="C3752" t="s">
        <v>47</v>
      </c>
      <c r="D3752" t="s">
        <v>8600</v>
      </c>
      <c r="E3752" t="s">
        <v>8600</v>
      </c>
      <c r="F3752" t="s">
        <v>49</v>
      </c>
      <c r="G3752" t="s">
        <v>8611</v>
      </c>
      <c r="H3752" t="s">
        <v>8612</v>
      </c>
      <c r="J3752" t="str">
        <f>HYPERLINK("https://www.facebook.com/454965103328545/videos/3697954183759550?comment_id=770979691746971&amp;reply_comment_id=344204118528421","https://www.facebook.com/454965103328545/videos/3697954183759550?comment_id=770979691746971&amp;reply_comment_id=344204118528421")</f>
        <v>https://www.facebook.com/454965103328545/videos/3697954183759550?comment_id=770979691746971&amp;reply_comment_id=344204118528421</v>
      </c>
      <c r="O3752">
        <v>0</v>
      </c>
      <c r="P3752">
        <v>0</v>
      </c>
      <c r="Q3752">
        <v>0</v>
      </c>
      <c r="S3752">
        <v>0</v>
      </c>
      <c r="T3752">
        <v>0</v>
      </c>
      <c r="U3752">
        <v>0</v>
      </c>
      <c r="W3752" t="s">
        <v>62</v>
      </c>
    </row>
    <row r="3753" spans="1:45" x14ac:dyDescent="0.35">
      <c r="A3753" t="s">
        <v>45</v>
      </c>
      <c r="B3753" t="s">
        <v>8332</v>
      </c>
      <c r="C3753" t="s">
        <v>47</v>
      </c>
      <c r="D3753" t="s">
        <v>8600</v>
      </c>
      <c r="E3753" t="s">
        <v>8600</v>
      </c>
      <c r="F3753" t="s">
        <v>49</v>
      </c>
      <c r="G3753" t="s">
        <v>8613</v>
      </c>
      <c r="H3753" t="s">
        <v>8614</v>
      </c>
      <c r="J3753" t="str">
        <f>HYPERLINK("https://www.facebook.com/454965103328545/videos/3697954183759550?comment_id=770979691746971&amp;reply_comment_id=1329165487782570","https://www.facebook.com/454965103328545/videos/3697954183759550?comment_id=770979691746971&amp;reply_comment_id=1329165487782570")</f>
        <v>https://www.facebook.com/454965103328545/videos/3697954183759550?comment_id=770979691746971&amp;reply_comment_id=1329165487782570</v>
      </c>
      <c r="O3753">
        <v>0</v>
      </c>
      <c r="P3753">
        <v>0</v>
      </c>
      <c r="Q3753">
        <v>0</v>
      </c>
      <c r="S3753">
        <v>0</v>
      </c>
      <c r="T3753">
        <v>0</v>
      </c>
      <c r="U3753">
        <v>0</v>
      </c>
      <c r="W3753" t="s">
        <v>62</v>
      </c>
      <c r="AS3753" t="s">
        <v>375</v>
      </c>
    </row>
    <row r="3754" spans="1:45" x14ac:dyDescent="0.35">
      <c r="A3754" t="s">
        <v>45</v>
      </c>
      <c r="B3754" t="s">
        <v>8332</v>
      </c>
      <c r="C3754" t="s">
        <v>47</v>
      </c>
      <c r="D3754" t="s">
        <v>8615</v>
      </c>
      <c r="E3754" t="s">
        <v>8615</v>
      </c>
      <c r="F3754" t="s">
        <v>49</v>
      </c>
      <c r="G3754" t="s">
        <v>8616</v>
      </c>
      <c r="H3754" t="s">
        <v>8617</v>
      </c>
      <c r="J3754" t="str">
        <f>HYPERLINK("https://www.facebook.com/454965103328545/videos/3697954183759550?comment_id=320994807038579","https://www.facebook.com/454965103328545/videos/3697954183759550?comment_id=320994807038579")</f>
        <v>https://www.facebook.com/454965103328545/videos/3697954183759550?comment_id=320994807038579</v>
      </c>
      <c r="O3754">
        <v>0</v>
      </c>
      <c r="P3754">
        <v>0</v>
      </c>
      <c r="Q3754">
        <v>0</v>
      </c>
      <c r="S3754">
        <v>0</v>
      </c>
      <c r="T3754">
        <v>0</v>
      </c>
      <c r="U3754">
        <v>0</v>
      </c>
      <c r="W3754" t="s">
        <v>62</v>
      </c>
      <c r="AP3754" t="s">
        <v>101</v>
      </c>
    </row>
    <row r="3755" spans="1:45" x14ac:dyDescent="0.35">
      <c r="A3755" t="s">
        <v>45</v>
      </c>
      <c r="B3755" t="s">
        <v>8332</v>
      </c>
      <c r="C3755" t="s">
        <v>47</v>
      </c>
      <c r="D3755" t="s">
        <v>8618</v>
      </c>
      <c r="E3755" t="s">
        <v>8618</v>
      </c>
      <c r="F3755" t="s">
        <v>76</v>
      </c>
      <c r="G3755" t="s">
        <v>8619</v>
      </c>
      <c r="H3755" t="s">
        <v>8620</v>
      </c>
      <c r="J3755" t="str">
        <f>HYPERLINK("https://www.facebook.com/454965103328545/videos/3697954183759550?comment_id=685065037040568","https://www.facebook.com/454965103328545/videos/3697954183759550?comment_id=685065037040568")</f>
        <v>https://www.facebook.com/454965103328545/videos/3697954183759550?comment_id=685065037040568</v>
      </c>
      <c r="O3755">
        <v>0</v>
      </c>
      <c r="P3755">
        <v>0</v>
      </c>
      <c r="Q3755">
        <v>0</v>
      </c>
      <c r="S3755">
        <v>0</v>
      </c>
      <c r="T3755">
        <v>0</v>
      </c>
      <c r="U3755">
        <v>0</v>
      </c>
      <c r="W3755" t="s">
        <v>62</v>
      </c>
    </row>
    <row r="3756" spans="1:45" x14ac:dyDescent="0.35">
      <c r="A3756" t="s">
        <v>45</v>
      </c>
      <c r="B3756" t="s">
        <v>8332</v>
      </c>
      <c r="C3756" t="s">
        <v>47</v>
      </c>
      <c r="D3756" t="s">
        <v>8615</v>
      </c>
      <c r="E3756" t="s">
        <v>8615</v>
      </c>
      <c r="F3756" t="s">
        <v>49</v>
      </c>
      <c r="G3756" t="s">
        <v>8621</v>
      </c>
      <c r="H3756" t="s">
        <v>8622</v>
      </c>
      <c r="J3756" t="str">
        <f>HYPERLINK("https://www.facebook.com/454965103328545/videos/3697954183759550?comment_id=704332278452384","https://www.facebook.com/454965103328545/videos/3697954183759550?comment_id=704332278452384")</f>
        <v>https://www.facebook.com/454965103328545/videos/3697954183759550?comment_id=704332278452384</v>
      </c>
      <c r="O3756">
        <v>0</v>
      </c>
      <c r="P3756">
        <v>0</v>
      </c>
      <c r="Q3756">
        <v>0</v>
      </c>
      <c r="S3756">
        <v>0</v>
      </c>
      <c r="T3756">
        <v>0</v>
      </c>
      <c r="U3756">
        <v>0</v>
      </c>
      <c r="W3756" t="s">
        <v>62</v>
      </c>
      <c r="AS3756" t="s">
        <v>375</v>
      </c>
    </row>
    <row r="3757" spans="1:45" x14ac:dyDescent="0.35">
      <c r="A3757" t="s">
        <v>45</v>
      </c>
      <c r="B3757" t="s">
        <v>8332</v>
      </c>
      <c r="C3757" t="s">
        <v>47</v>
      </c>
      <c r="D3757" t="s">
        <v>8623</v>
      </c>
      <c r="E3757" t="s">
        <v>8623</v>
      </c>
      <c r="F3757" t="s">
        <v>49</v>
      </c>
      <c r="G3757" t="s">
        <v>8624</v>
      </c>
      <c r="H3757" t="s">
        <v>8625</v>
      </c>
      <c r="J3757" t="str">
        <f>HYPERLINK("https://www.facebook.com/454965103328545/videos/3697954183759550?comment_id=24605076155802892","https://www.facebook.com/454965103328545/videos/3697954183759550?comment_id=24605076155802892")</f>
        <v>https://www.facebook.com/454965103328545/videos/3697954183759550?comment_id=24605076155802892</v>
      </c>
      <c r="O3757">
        <v>0</v>
      </c>
      <c r="P3757">
        <v>0</v>
      </c>
      <c r="Q3757">
        <v>0</v>
      </c>
      <c r="S3757">
        <v>0</v>
      </c>
      <c r="T3757">
        <v>0</v>
      </c>
      <c r="U3757">
        <v>0</v>
      </c>
      <c r="W3757" t="s">
        <v>62</v>
      </c>
    </row>
    <row r="3758" spans="1:45" x14ac:dyDescent="0.35">
      <c r="A3758" t="s">
        <v>45</v>
      </c>
      <c r="B3758" t="s">
        <v>8332</v>
      </c>
      <c r="C3758" t="s">
        <v>47</v>
      </c>
      <c r="D3758" t="s">
        <v>151</v>
      </c>
      <c r="E3758" t="s">
        <v>151</v>
      </c>
      <c r="F3758" t="s">
        <v>49</v>
      </c>
      <c r="G3758" t="s">
        <v>8626</v>
      </c>
      <c r="H3758" t="s">
        <v>8627</v>
      </c>
      <c r="J3758" t="str">
        <f>HYPERLINK("https://www.facebook.com/454965103328545/videos/3697954183759550?comment_id=765823102260085","https://www.facebook.com/454965103328545/videos/3697954183759550?comment_id=765823102260085")</f>
        <v>https://www.facebook.com/454965103328545/videos/3697954183759550?comment_id=765823102260085</v>
      </c>
      <c r="O3758">
        <v>0</v>
      </c>
      <c r="P3758">
        <v>0</v>
      </c>
      <c r="Q3758">
        <v>0</v>
      </c>
      <c r="S3758">
        <v>0</v>
      </c>
      <c r="T3758">
        <v>0</v>
      </c>
      <c r="U3758">
        <v>0</v>
      </c>
      <c r="W3758" t="s">
        <v>62</v>
      </c>
    </row>
    <row r="3759" spans="1:45" x14ac:dyDescent="0.35">
      <c r="A3759" t="s">
        <v>45</v>
      </c>
      <c r="B3759" t="s">
        <v>8332</v>
      </c>
      <c r="C3759" t="s">
        <v>47</v>
      </c>
      <c r="D3759" t="s">
        <v>8628</v>
      </c>
      <c r="E3759" t="s">
        <v>8628</v>
      </c>
      <c r="F3759" t="s">
        <v>49</v>
      </c>
      <c r="G3759" t="s">
        <v>8629</v>
      </c>
      <c r="H3759" t="s">
        <v>8630</v>
      </c>
      <c r="J3759" t="str">
        <f>HYPERLINK("https://www.facebook.com/454965103328545/videos/3697954183759550?comment_id=373050395338589","https://www.facebook.com/454965103328545/videos/3697954183759550?comment_id=373050395338589")</f>
        <v>https://www.facebook.com/454965103328545/videos/3697954183759550?comment_id=373050395338589</v>
      </c>
      <c r="O3759">
        <v>0</v>
      </c>
      <c r="P3759">
        <v>0</v>
      </c>
      <c r="Q3759">
        <v>0</v>
      </c>
      <c r="S3759">
        <v>0</v>
      </c>
      <c r="T3759">
        <v>0</v>
      </c>
      <c r="U3759">
        <v>0</v>
      </c>
      <c r="W3759" t="s">
        <v>62</v>
      </c>
    </row>
    <row r="3760" spans="1:45" x14ac:dyDescent="0.35">
      <c r="A3760" t="s">
        <v>45</v>
      </c>
      <c r="B3760" t="s">
        <v>8332</v>
      </c>
      <c r="C3760" t="s">
        <v>47</v>
      </c>
      <c r="D3760" t="s">
        <v>151</v>
      </c>
      <c r="E3760" t="s">
        <v>151</v>
      </c>
      <c r="F3760" t="s">
        <v>49</v>
      </c>
      <c r="G3760" t="s">
        <v>8631</v>
      </c>
      <c r="H3760" t="s">
        <v>8632</v>
      </c>
      <c r="J3760" t="str">
        <f>HYPERLINK("https://www.facebook.com/454965103328545/videos/3697954183759550?comment_id=370420685705290","https://www.facebook.com/454965103328545/videos/3697954183759550?comment_id=370420685705290")</f>
        <v>https://www.facebook.com/454965103328545/videos/3697954183759550?comment_id=370420685705290</v>
      </c>
      <c r="O3760">
        <v>0</v>
      </c>
      <c r="P3760">
        <v>0</v>
      </c>
      <c r="Q3760">
        <v>0</v>
      </c>
      <c r="S3760">
        <v>0</v>
      </c>
      <c r="T3760">
        <v>0</v>
      </c>
      <c r="U3760">
        <v>0</v>
      </c>
      <c r="W3760" t="s">
        <v>62</v>
      </c>
    </row>
    <row r="3761" spans="1:45" x14ac:dyDescent="0.35">
      <c r="A3761" t="s">
        <v>45</v>
      </c>
      <c r="B3761" t="s">
        <v>8332</v>
      </c>
      <c r="C3761" t="s">
        <v>47</v>
      </c>
      <c r="D3761" t="s">
        <v>6710</v>
      </c>
      <c r="E3761" t="s">
        <v>6710</v>
      </c>
      <c r="F3761" t="s">
        <v>142</v>
      </c>
      <c r="G3761" t="s">
        <v>8633</v>
      </c>
      <c r="H3761" t="s">
        <v>8634</v>
      </c>
      <c r="J3761" t="str">
        <f>HYPERLINK("https://www.facebook.com/357267201017935/inbox/6743898455688079/","https://www.facebook.com/357267201017935/inbox/6743898455688079/")</f>
        <v>https://www.facebook.com/357267201017935/inbox/6743898455688079/</v>
      </c>
      <c r="O3761">
        <v>0</v>
      </c>
      <c r="P3761">
        <v>0</v>
      </c>
      <c r="Q3761">
        <v>0</v>
      </c>
      <c r="S3761">
        <v>0</v>
      </c>
      <c r="T3761">
        <v>0</v>
      </c>
      <c r="U3761">
        <v>0</v>
      </c>
      <c r="W3761" t="s">
        <v>52</v>
      </c>
      <c r="AP3761" t="s">
        <v>147</v>
      </c>
    </row>
    <row r="3762" spans="1:45" x14ac:dyDescent="0.35">
      <c r="A3762" t="s">
        <v>45</v>
      </c>
      <c r="B3762" t="s">
        <v>8332</v>
      </c>
      <c r="C3762" t="s">
        <v>47</v>
      </c>
      <c r="D3762" t="s">
        <v>6710</v>
      </c>
      <c r="E3762" t="s">
        <v>6710</v>
      </c>
      <c r="F3762" t="s">
        <v>49</v>
      </c>
      <c r="G3762" t="s">
        <v>8635</v>
      </c>
      <c r="H3762" t="s">
        <v>8636</v>
      </c>
      <c r="J3762" t="str">
        <f>HYPERLINK("https://www.facebook.com/357267201017935/inbox/6743898455688079/","https://www.facebook.com/357267201017935/inbox/6743898455688079/")</f>
        <v>https://www.facebook.com/357267201017935/inbox/6743898455688079/</v>
      </c>
      <c r="O3762">
        <v>0</v>
      </c>
      <c r="P3762">
        <v>0</v>
      </c>
      <c r="Q3762">
        <v>0</v>
      </c>
      <c r="S3762">
        <v>0</v>
      </c>
      <c r="T3762">
        <v>0</v>
      </c>
      <c r="U3762">
        <v>0</v>
      </c>
      <c r="W3762" t="s">
        <v>52</v>
      </c>
    </row>
    <row r="3763" spans="1:45" x14ac:dyDescent="0.35">
      <c r="A3763" t="s">
        <v>45</v>
      </c>
      <c r="B3763" t="s">
        <v>8332</v>
      </c>
      <c r="C3763" t="s">
        <v>47</v>
      </c>
      <c r="D3763" t="s">
        <v>8637</v>
      </c>
      <c r="E3763" t="s">
        <v>8637</v>
      </c>
      <c r="F3763" t="s">
        <v>49</v>
      </c>
      <c r="G3763" t="s">
        <v>8638</v>
      </c>
      <c r="H3763" t="s">
        <v>8639</v>
      </c>
      <c r="J3763" t="str">
        <f>HYPERLINK("https://www.facebook.com/454965103328545/videos/3697954183759550?comment_id=357756533684790","https://www.facebook.com/454965103328545/videos/3697954183759550?comment_id=357756533684790")</f>
        <v>https://www.facebook.com/454965103328545/videos/3697954183759550?comment_id=357756533684790</v>
      </c>
      <c r="O3763">
        <v>0</v>
      </c>
      <c r="P3763">
        <v>0</v>
      </c>
      <c r="Q3763">
        <v>0</v>
      </c>
      <c r="S3763">
        <v>0</v>
      </c>
      <c r="T3763">
        <v>0</v>
      </c>
      <c r="U3763">
        <v>0</v>
      </c>
      <c r="W3763" t="s">
        <v>62</v>
      </c>
    </row>
    <row r="3764" spans="1:45" x14ac:dyDescent="0.35">
      <c r="A3764" t="s">
        <v>45</v>
      </c>
      <c r="B3764" t="s">
        <v>8332</v>
      </c>
      <c r="C3764" t="s">
        <v>47</v>
      </c>
      <c r="D3764" t="s">
        <v>8640</v>
      </c>
      <c r="E3764" t="s">
        <v>8640</v>
      </c>
      <c r="F3764" t="s">
        <v>49</v>
      </c>
      <c r="G3764" t="s">
        <v>8641</v>
      </c>
      <c r="H3764" t="s">
        <v>8642</v>
      </c>
      <c r="J3764" t="str">
        <f>HYPERLINK("https://www.facebook.com/454965103328545/videos/3697954183759550?comment_id=920876076153687","https://www.facebook.com/454965103328545/videos/3697954183759550?comment_id=920876076153687")</f>
        <v>https://www.facebook.com/454965103328545/videos/3697954183759550?comment_id=920876076153687</v>
      </c>
      <c r="O3764">
        <v>0</v>
      </c>
      <c r="P3764">
        <v>0</v>
      </c>
      <c r="Q3764">
        <v>0</v>
      </c>
      <c r="S3764">
        <v>0</v>
      </c>
      <c r="T3764">
        <v>0</v>
      </c>
      <c r="U3764">
        <v>0</v>
      </c>
      <c r="W3764" t="s">
        <v>62</v>
      </c>
      <c r="AS3764" t="s">
        <v>375</v>
      </c>
    </row>
    <row r="3765" spans="1:45" x14ac:dyDescent="0.35">
      <c r="A3765" t="s">
        <v>45</v>
      </c>
      <c r="B3765" t="s">
        <v>8332</v>
      </c>
      <c r="C3765" t="s">
        <v>47</v>
      </c>
      <c r="D3765" t="s">
        <v>6252</v>
      </c>
      <c r="E3765" t="s">
        <v>6252</v>
      </c>
      <c r="F3765" t="s">
        <v>49</v>
      </c>
      <c r="G3765" t="s">
        <v>8643</v>
      </c>
      <c r="H3765" t="s">
        <v>8644</v>
      </c>
      <c r="J3765" t="str">
        <f>HYPERLINK("https://www.facebook.com/454965103328545/videos/3697954183759550?comment_id=1115892916109495","https://www.facebook.com/454965103328545/videos/3697954183759550?comment_id=1115892916109495")</f>
        <v>https://www.facebook.com/454965103328545/videos/3697954183759550?comment_id=1115892916109495</v>
      </c>
      <c r="O3765">
        <v>0</v>
      </c>
      <c r="P3765">
        <v>0</v>
      </c>
      <c r="Q3765">
        <v>0</v>
      </c>
      <c r="S3765">
        <v>0</v>
      </c>
      <c r="T3765">
        <v>0</v>
      </c>
      <c r="U3765">
        <v>0</v>
      </c>
      <c r="W3765" t="s">
        <v>62</v>
      </c>
    </row>
    <row r="3766" spans="1:45" x14ac:dyDescent="0.35">
      <c r="A3766" t="s">
        <v>45</v>
      </c>
      <c r="B3766" t="s">
        <v>8332</v>
      </c>
      <c r="C3766" t="s">
        <v>47</v>
      </c>
      <c r="D3766" t="s">
        <v>7807</v>
      </c>
      <c r="E3766" t="s">
        <v>7807</v>
      </c>
      <c r="F3766" t="s">
        <v>49</v>
      </c>
      <c r="G3766" t="s">
        <v>8645</v>
      </c>
      <c r="H3766" t="s">
        <v>8646</v>
      </c>
      <c r="J3766" t="str">
        <f>HYPERLINK("https://www.facebook.com/454965103328545/videos/3697954183759550?comment_id=578711314469783","https://www.facebook.com/454965103328545/videos/3697954183759550?comment_id=578711314469783")</f>
        <v>https://www.facebook.com/454965103328545/videos/3697954183759550?comment_id=578711314469783</v>
      </c>
      <c r="O3766">
        <v>0</v>
      </c>
      <c r="P3766">
        <v>0</v>
      </c>
      <c r="Q3766">
        <v>0</v>
      </c>
      <c r="S3766">
        <v>0</v>
      </c>
      <c r="T3766">
        <v>0</v>
      </c>
      <c r="U3766">
        <v>0</v>
      </c>
      <c r="W3766" t="s">
        <v>62</v>
      </c>
      <c r="AS3766" t="s">
        <v>375</v>
      </c>
    </row>
    <row r="3767" spans="1:45" x14ac:dyDescent="0.35">
      <c r="A3767" t="s">
        <v>45</v>
      </c>
      <c r="B3767" t="s">
        <v>8332</v>
      </c>
      <c r="C3767" t="s">
        <v>47</v>
      </c>
      <c r="D3767" t="s">
        <v>8647</v>
      </c>
      <c r="E3767" t="s">
        <v>8647</v>
      </c>
      <c r="F3767" t="s">
        <v>49</v>
      </c>
      <c r="G3767" t="s">
        <v>459</v>
      </c>
      <c r="H3767" t="s">
        <v>8648</v>
      </c>
      <c r="J3767" t="str">
        <f>HYPERLINK("https://www.facebook.com/454965103328545/videos/3697954183759550?comment_id=1105559607252204","https://www.facebook.com/454965103328545/videos/3697954183759550?comment_id=1105559607252204")</f>
        <v>https://www.facebook.com/454965103328545/videos/3697954183759550?comment_id=1105559607252204</v>
      </c>
      <c r="O3767">
        <v>0</v>
      </c>
      <c r="P3767">
        <v>0</v>
      </c>
      <c r="Q3767">
        <v>0</v>
      </c>
      <c r="S3767">
        <v>0</v>
      </c>
      <c r="T3767">
        <v>0</v>
      </c>
      <c r="U3767">
        <v>0</v>
      </c>
      <c r="W3767" t="s">
        <v>62</v>
      </c>
    </row>
    <row r="3768" spans="1:45" x14ac:dyDescent="0.35">
      <c r="A3768" t="s">
        <v>45</v>
      </c>
      <c r="B3768" t="s">
        <v>8332</v>
      </c>
      <c r="C3768" t="s">
        <v>47</v>
      </c>
      <c r="D3768" t="s">
        <v>8647</v>
      </c>
      <c r="E3768" t="s">
        <v>8647</v>
      </c>
      <c r="F3768" t="s">
        <v>49</v>
      </c>
      <c r="G3768" t="s">
        <v>7706</v>
      </c>
      <c r="H3768" t="s">
        <v>8649</v>
      </c>
      <c r="J3768" t="str">
        <f>HYPERLINK("https://www.facebook.com/454965103328545/videos/3697954183759550?comment_id=2616989385133913","https://www.facebook.com/454965103328545/videos/3697954183759550?comment_id=2616989385133913")</f>
        <v>https://www.facebook.com/454965103328545/videos/3697954183759550?comment_id=2616989385133913</v>
      </c>
      <c r="O3768">
        <v>0</v>
      </c>
      <c r="P3768">
        <v>0</v>
      </c>
      <c r="Q3768">
        <v>0</v>
      </c>
      <c r="S3768">
        <v>0</v>
      </c>
      <c r="T3768">
        <v>0</v>
      </c>
      <c r="U3768">
        <v>0</v>
      </c>
      <c r="W3768" t="s">
        <v>62</v>
      </c>
    </row>
    <row r="3769" spans="1:45" x14ac:dyDescent="0.35">
      <c r="A3769" t="s">
        <v>45</v>
      </c>
      <c r="B3769" t="s">
        <v>8332</v>
      </c>
      <c r="C3769" t="s">
        <v>47</v>
      </c>
      <c r="D3769" t="s">
        <v>8650</v>
      </c>
      <c r="E3769" t="s">
        <v>8650</v>
      </c>
      <c r="F3769" t="s">
        <v>49</v>
      </c>
      <c r="G3769" t="s">
        <v>7706</v>
      </c>
      <c r="H3769" t="s">
        <v>8651</v>
      </c>
      <c r="J3769" t="str">
        <f>HYPERLINK("https://www.facebook.com/454965103328545/videos/3697954183759550?comment_id=1505291576918042","https://www.facebook.com/454965103328545/videos/3697954183759550?comment_id=1505291576918042")</f>
        <v>https://www.facebook.com/454965103328545/videos/3697954183759550?comment_id=1505291576918042</v>
      </c>
      <c r="O3769">
        <v>0</v>
      </c>
      <c r="P3769">
        <v>0</v>
      </c>
      <c r="Q3769">
        <v>0</v>
      </c>
      <c r="S3769">
        <v>0</v>
      </c>
      <c r="T3769">
        <v>0</v>
      </c>
      <c r="U3769">
        <v>0</v>
      </c>
      <c r="W3769" t="s">
        <v>62</v>
      </c>
      <c r="AS3769" t="s">
        <v>375</v>
      </c>
    </row>
    <row r="3770" spans="1:45" x14ac:dyDescent="0.35">
      <c r="A3770" t="s">
        <v>45</v>
      </c>
      <c r="B3770" t="s">
        <v>8332</v>
      </c>
      <c r="C3770" t="s">
        <v>47</v>
      </c>
      <c r="D3770" t="s">
        <v>8652</v>
      </c>
      <c r="E3770" t="s">
        <v>8652</v>
      </c>
      <c r="F3770" t="s">
        <v>49</v>
      </c>
      <c r="G3770" t="s">
        <v>8653</v>
      </c>
      <c r="H3770" t="s">
        <v>8654</v>
      </c>
      <c r="J3770" t="str">
        <f>HYPERLINK("https://www.facebook.com/454965103328545/videos/3697954183759550?comment_id=1449309908958246","https://www.facebook.com/454965103328545/videos/3697954183759550?comment_id=1449309908958246")</f>
        <v>https://www.facebook.com/454965103328545/videos/3697954183759550?comment_id=1449309908958246</v>
      </c>
      <c r="O3770">
        <v>0</v>
      </c>
      <c r="P3770">
        <v>0</v>
      </c>
      <c r="Q3770">
        <v>0</v>
      </c>
      <c r="S3770">
        <v>0</v>
      </c>
      <c r="T3770">
        <v>0</v>
      </c>
      <c r="U3770">
        <v>0</v>
      </c>
      <c r="W3770" t="s">
        <v>62</v>
      </c>
    </row>
    <row r="3771" spans="1:45" x14ac:dyDescent="0.35">
      <c r="A3771" t="s">
        <v>45</v>
      </c>
      <c r="B3771" t="s">
        <v>8332</v>
      </c>
      <c r="C3771" t="s">
        <v>47</v>
      </c>
      <c r="D3771" t="s">
        <v>8655</v>
      </c>
      <c r="E3771" t="s">
        <v>8655</v>
      </c>
      <c r="F3771" t="s">
        <v>49</v>
      </c>
      <c r="G3771" t="s">
        <v>8656</v>
      </c>
      <c r="H3771" t="s">
        <v>8657</v>
      </c>
      <c r="J3771" t="str">
        <f>HYPERLINK("https://www.facebook.com/454965103328545/posts/763871475771238?comment_id=275120192066737","https://www.facebook.com/454965103328545/posts/763871475771238?comment_id=275120192066737")</f>
        <v>https://www.facebook.com/454965103328545/posts/763871475771238?comment_id=275120192066737</v>
      </c>
      <c r="O3771">
        <v>0</v>
      </c>
      <c r="P3771">
        <v>0</v>
      </c>
      <c r="Q3771">
        <v>0</v>
      </c>
      <c r="S3771">
        <v>0</v>
      </c>
      <c r="T3771">
        <v>0</v>
      </c>
      <c r="U3771">
        <v>0</v>
      </c>
      <c r="W3771" t="s">
        <v>62</v>
      </c>
      <c r="AS3771" t="s">
        <v>375</v>
      </c>
    </row>
    <row r="3772" spans="1:45" x14ac:dyDescent="0.35">
      <c r="A3772" t="s">
        <v>45</v>
      </c>
      <c r="B3772" t="s">
        <v>8332</v>
      </c>
      <c r="C3772" t="s">
        <v>47</v>
      </c>
      <c r="D3772" t="s">
        <v>588</v>
      </c>
      <c r="E3772" t="s">
        <v>588</v>
      </c>
      <c r="F3772" t="s">
        <v>49</v>
      </c>
      <c r="G3772" t="s">
        <v>8658</v>
      </c>
      <c r="H3772" t="s">
        <v>8659</v>
      </c>
      <c r="J3772" t="str">
        <f>HYPERLINK("https://www.facebook.com/454965103328545/videos/3697954183759550?comment_id=634142102132543","https://www.facebook.com/454965103328545/videos/3697954183759550?comment_id=634142102132543")</f>
        <v>https://www.facebook.com/454965103328545/videos/3697954183759550?comment_id=634142102132543</v>
      </c>
      <c r="O3772">
        <v>0</v>
      </c>
      <c r="P3772">
        <v>0</v>
      </c>
      <c r="Q3772">
        <v>0</v>
      </c>
      <c r="S3772">
        <v>0</v>
      </c>
      <c r="T3772">
        <v>0</v>
      </c>
      <c r="U3772">
        <v>0</v>
      </c>
      <c r="W3772" t="s">
        <v>62</v>
      </c>
      <c r="AP3772" t="s">
        <v>101</v>
      </c>
    </row>
    <row r="3773" spans="1:45" x14ac:dyDescent="0.35">
      <c r="A3773" t="s">
        <v>45</v>
      </c>
      <c r="B3773" t="s">
        <v>8332</v>
      </c>
      <c r="C3773" t="s">
        <v>47</v>
      </c>
      <c r="D3773" t="s">
        <v>8655</v>
      </c>
      <c r="E3773" t="s">
        <v>8655</v>
      </c>
      <c r="F3773" t="s">
        <v>49</v>
      </c>
      <c r="G3773" t="s">
        <v>8660</v>
      </c>
      <c r="H3773" t="s">
        <v>8661</v>
      </c>
      <c r="J3773" t="str">
        <f>HYPERLINK("https://www.facebook.com/357267201017935/inbox/6992218457522743/","https://www.facebook.com/357267201017935/inbox/6992218457522743/")</f>
        <v>https://www.facebook.com/357267201017935/inbox/6992218457522743/</v>
      </c>
      <c r="O3773">
        <v>0</v>
      </c>
      <c r="P3773">
        <v>0</v>
      </c>
      <c r="Q3773">
        <v>0</v>
      </c>
      <c r="S3773">
        <v>0</v>
      </c>
      <c r="T3773">
        <v>0</v>
      </c>
      <c r="U3773">
        <v>0</v>
      </c>
      <c r="W3773" t="s">
        <v>52</v>
      </c>
    </row>
    <row r="3774" spans="1:45" x14ac:dyDescent="0.35">
      <c r="A3774" t="s">
        <v>45</v>
      </c>
      <c r="B3774" t="s">
        <v>8332</v>
      </c>
      <c r="C3774" t="s">
        <v>47</v>
      </c>
      <c r="D3774" t="s">
        <v>8655</v>
      </c>
      <c r="E3774" t="s">
        <v>8655</v>
      </c>
      <c r="F3774" t="s">
        <v>49</v>
      </c>
      <c r="G3774" t="s">
        <v>8662</v>
      </c>
      <c r="H3774" t="s">
        <v>8663</v>
      </c>
      <c r="J3774" t="str">
        <f>HYPERLINK("https://www.facebook.com/357267201017935/inbox/6992218457522743/","https://www.facebook.com/357267201017935/inbox/6992218457522743/")</f>
        <v>https://www.facebook.com/357267201017935/inbox/6992218457522743/</v>
      </c>
      <c r="O3774">
        <v>0</v>
      </c>
      <c r="P3774">
        <v>0</v>
      </c>
      <c r="Q3774">
        <v>0</v>
      </c>
      <c r="S3774">
        <v>0</v>
      </c>
      <c r="T3774">
        <v>0</v>
      </c>
      <c r="U3774">
        <v>0</v>
      </c>
      <c r="W3774" t="s">
        <v>52</v>
      </c>
      <c r="AS3774" t="s">
        <v>375</v>
      </c>
    </row>
    <row r="3775" spans="1:45" x14ac:dyDescent="0.35">
      <c r="A3775" t="s">
        <v>45</v>
      </c>
      <c r="B3775" t="s">
        <v>8332</v>
      </c>
      <c r="C3775" t="s">
        <v>47</v>
      </c>
      <c r="D3775" t="s">
        <v>8664</v>
      </c>
      <c r="E3775" t="s">
        <v>8664</v>
      </c>
      <c r="F3775" t="s">
        <v>49</v>
      </c>
      <c r="G3775" t="s">
        <v>50</v>
      </c>
      <c r="H3775" t="s">
        <v>8665</v>
      </c>
      <c r="J3775" t="str">
        <f>HYPERLINK("https://www.facebook.com/357267201017935/inbox/6992218177522771/","https://www.facebook.com/357267201017935/inbox/6992218177522771/")</f>
        <v>https://www.facebook.com/357267201017935/inbox/6992218177522771/</v>
      </c>
      <c r="O3775">
        <v>0</v>
      </c>
      <c r="P3775">
        <v>0</v>
      </c>
      <c r="Q3775">
        <v>0</v>
      </c>
      <c r="S3775">
        <v>0</v>
      </c>
      <c r="T3775">
        <v>0</v>
      </c>
      <c r="U3775">
        <v>0</v>
      </c>
      <c r="W3775" t="s">
        <v>52</v>
      </c>
    </row>
    <row r="3776" spans="1:45" x14ac:dyDescent="0.35">
      <c r="A3776" t="s">
        <v>45</v>
      </c>
      <c r="B3776" t="s">
        <v>8332</v>
      </c>
      <c r="C3776" t="s">
        <v>47</v>
      </c>
      <c r="D3776" t="s">
        <v>8666</v>
      </c>
      <c r="E3776" t="s">
        <v>8666</v>
      </c>
      <c r="F3776" t="s">
        <v>49</v>
      </c>
      <c r="G3776" t="s">
        <v>8667</v>
      </c>
      <c r="H3776" t="s">
        <v>8668</v>
      </c>
      <c r="J3776" t="str">
        <f>HYPERLINK("https://www.facebook.com/454965103328545/posts/763307319160987?comment_id=1322250641800640","https://www.facebook.com/454965103328545/posts/763307319160987?comment_id=1322250641800640")</f>
        <v>https://www.facebook.com/454965103328545/posts/763307319160987?comment_id=1322250641800640</v>
      </c>
      <c r="O3776">
        <v>0</v>
      </c>
      <c r="P3776">
        <v>0</v>
      </c>
      <c r="Q3776">
        <v>0</v>
      </c>
      <c r="S3776">
        <v>0</v>
      </c>
      <c r="T3776">
        <v>0</v>
      </c>
      <c r="U3776">
        <v>0</v>
      </c>
      <c r="W3776" t="s">
        <v>62</v>
      </c>
    </row>
    <row r="3777" spans="1:45" x14ac:dyDescent="0.35">
      <c r="A3777" t="s">
        <v>45</v>
      </c>
      <c r="B3777" t="s">
        <v>8332</v>
      </c>
      <c r="C3777" t="s">
        <v>47</v>
      </c>
      <c r="D3777" t="s">
        <v>8669</v>
      </c>
      <c r="E3777" t="s">
        <v>8669</v>
      </c>
      <c r="F3777" t="s">
        <v>76</v>
      </c>
      <c r="G3777" t="s">
        <v>8670</v>
      </c>
      <c r="H3777" t="s">
        <v>8671</v>
      </c>
      <c r="J3777" t="str">
        <f>HYPERLINK("https://www.facebook.com/454965103328545/videos/3697954183759550?comment_id=725796363012844","https://www.facebook.com/454965103328545/videos/3697954183759550?comment_id=725796363012844")</f>
        <v>https://www.facebook.com/454965103328545/videos/3697954183759550?comment_id=725796363012844</v>
      </c>
      <c r="O3777">
        <v>0</v>
      </c>
      <c r="P3777">
        <v>0</v>
      </c>
      <c r="Q3777">
        <v>0</v>
      </c>
      <c r="S3777">
        <v>0</v>
      </c>
      <c r="T3777">
        <v>0</v>
      </c>
      <c r="U3777">
        <v>0</v>
      </c>
      <c r="W3777" t="s">
        <v>62</v>
      </c>
    </row>
    <row r="3778" spans="1:45" x14ac:dyDescent="0.35">
      <c r="A3778" t="s">
        <v>45</v>
      </c>
      <c r="B3778" t="s">
        <v>8332</v>
      </c>
      <c r="C3778" t="s">
        <v>47</v>
      </c>
      <c r="D3778" t="s">
        <v>8666</v>
      </c>
      <c r="E3778" t="s">
        <v>8666</v>
      </c>
      <c r="F3778" t="s">
        <v>49</v>
      </c>
      <c r="G3778" t="s">
        <v>8672</v>
      </c>
      <c r="H3778" t="s">
        <v>8673</v>
      </c>
      <c r="J3778" t="str">
        <f>HYPERLINK("https://www.facebook.com/454965103328545/posts/763307319160987?comment_id=2326695244201549","https://www.facebook.com/454965103328545/posts/763307319160987?comment_id=2326695244201549")</f>
        <v>https://www.facebook.com/454965103328545/posts/763307319160987?comment_id=2326695244201549</v>
      </c>
      <c r="O3778">
        <v>0</v>
      </c>
      <c r="P3778">
        <v>0</v>
      </c>
      <c r="Q3778">
        <v>0</v>
      </c>
      <c r="S3778">
        <v>0</v>
      </c>
      <c r="T3778">
        <v>0</v>
      </c>
      <c r="U3778">
        <v>0</v>
      </c>
      <c r="W3778" t="s">
        <v>62</v>
      </c>
    </row>
    <row r="3779" spans="1:45" x14ac:dyDescent="0.35">
      <c r="A3779" t="s">
        <v>45</v>
      </c>
      <c r="B3779" t="s">
        <v>8332</v>
      </c>
      <c r="C3779" t="s">
        <v>47</v>
      </c>
      <c r="D3779" t="s">
        <v>8655</v>
      </c>
      <c r="E3779" t="s">
        <v>8655</v>
      </c>
      <c r="F3779" t="s">
        <v>49</v>
      </c>
      <c r="G3779" t="s">
        <v>8674</v>
      </c>
      <c r="H3779" t="s">
        <v>8675</v>
      </c>
      <c r="J3779" t="str">
        <f>HYPERLINK("https://www.facebook.com/454965103328545/videos/3697954183759550?comment_id=373648078747104","https://www.facebook.com/454965103328545/videos/3697954183759550?comment_id=373648078747104")</f>
        <v>https://www.facebook.com/454965103328545/videos/3697954183759550?comment_id=373648078747104</v>
      </c>
      <c r="O3779">
        <v>0</v>
      </c>
      <c r="P3779">
        <v>0</v>
      </c>
      <c r="Q3779">
        <v>0</v>
      </c>
      <c r="S3779">
        <v>0</v>
      </c>
      <c r="T3779">
        <v>0</v>
      </c>
      <c r="U3779">
        <v>0</v>
      </c>
      <c r="W3779" t="s">
        <v>62</v>
      </c>
    </row>
    <row r="3780" spans="1:45" x14ac:dyDescent="0.35">
      <c r="A3780" t="s">
        <v>45</v>
      </c>
      <c r="B3780" t="s">
        <v>8332</v>
      </c>
      <c r="C3780" t="s">
        <v>47</v>
      </c>
      <c r="D3780" t="s">
        <v>888</v>
      </c>
      <c r="E3780" t="s">
        <v>888</v>
      </c>
      <c r="F3780" t="s">
        <v>49</v>
      </c>
      <c r="G3780" t="s">
        <v>8676</v>
      </c>
      <c r="H3780" t="s">
        <v>8677</v>
      </c>
      <c r="J3780" t="str">
        <f>HYPERLINK("https://www.facebook.com/454965103328545/videos/3697954183759550?comment_id=1307122903291374","https://www.facebook.com/454965103328545/videos/3697954183759550?comment_id=1307122903291374")</f>
        <v>https://www.facebook.com/454965103328545/videos/3697954183759550?comment_id=1307122903291374</v>
      </c>
      <c r="O3780">
        <v>0</v>
      </c>
      <c r="P3780">
        <v>0</v>
      </c>
      <c r="Q3780">
        <v>0</v>
      </c>
      <c r="S3780">
        <v>0</v>
      </c>
      <c r="T3780">
        <v>0</v>
      </c>
      <c r="U3780">
        <v>0</v>
      </c>
      <c r="W3780" t="s">
        <v>62</v>
      </c>
    </row>
    <row r="3781" spans="1:45" x14ac:dyDescent="0.35">
      <c r="A3781" t="s">
        <v>45</v>
      </c>
      <c r="B3781" t="s">
        <v>8332</v>
      </c>
      <c r="C3781" t="s">
        <v>47</v>
      </c>
      <c r="D3781" t="s">
        <v>8678</v>
      </c>
      <c r="E3781" t="s">
        <v>8678</v>
      </c>
      <c r="F3781" t="s">
        <v>49</v>
      </c>
      <c r="G3781" t="s">
        <v>7706</v>
      </c>
      <c r="H3781" t="s">
        <v>8679</v>
      </c>
      <c r="J3781" t="str">
        <f>HYPERLINK("https://www.facebook.com/454965103328545/videos/3697954183759550?comment_id=940225861154830","https://www.facebook.com/454965103328545/videos/3697954183759550?comment_id=940225861154830")</f>
        <v>https://www.facebook.com/454965103328545/videos/3697954183759550?comment_id=940225861154830</v>
      </c>
      <c r="O3781">
        <v>0</v>
      </c>
      <c r="P3781">
        <v>0</v>
      </c>
      <c r="Q3781">
        <v>0</v>
      </c>
      <c r="S3781">
        <v>0</v>
      </c>
      <c r="T3781">
        <v>0</v>
      </c>
      <c r="U3781">
        <v>0</v>
      </c>
      <c r="W3781" t="s">
        <v>62</v>
      </c>
    </row>
    <row r="3782" spans="1:45" x14ac:dyDescent="0.35">
      <c r="A3782" t="s">
        <v>45</v>
      </c>
      <c r="B3782" t="s">
        <v>8332</v>
      </c>
      <c r="C3782" t="s">
        <v>47</v>
      </c>
      <c r="D3782" t="s">
        <v>8680</v>
      </c>
      <c r="E3782" t="s">
        <v>8680</v>
      </c>
      <c r="F3782" t="s">
        <v>49</v>
      </c>
      <c r="G3782" t="s">
        <v>8681</v>
      </c>
      <c r="H3782" t="s">
        <v>8682</v>
      </c>
      <c r="J3782" t="str">
        <f>HYPERLINK("https://www.facebook.com/454965103328545/videos/3697954183759550?comment_id=1039764550419633","https://www.facebook.com/454965103328545/videos/3697954183759550?comment_id=1039764550419633")</f>
        <v>https://www.facebook.com/454965103328545/videos/3697954183759550?comment_id=1039764550419633</v>
      </c>
      <c r="O3782">
        <v>0</v>
      </c>
      <c r="P3782">
        <v>0</v>
      </c>
      <c r="Q3782">
        <v>0</v>
      </c>
      <c r="S3782">
        <v>0</v>
      </c>
      <c r="T3782">
        <v>0</v>
      </c>
      <c r="U3782">
        <v>0</v>
      </c>
      <c r="W3782" t="s">
        <v>62</v>
      </c>
    </row>
    <row r="3783" spans="1:45" x14ac:dyDescent="0.35">
      <c r="A3783" t="s">
        <v>45</v>
      </c>
      <c r="B3783" t="s">
        <v>8332</v>
      </c>
      <c r="C3783" t="s">
        <v>47</v>
      </c>
      <c r="D3783" t="s">
        <v>45</v>
      </c>
      <c r="E3783" t="s">
        <v>45</v>
      </c>
      <c r="F3783" t="s">
        <v>49</v>
      </c>
      <c r="G3783" t="s">
        <v>8363</v>
      </c>
      <c r="H3783" t="s">
        <v>8683</v>
      </c>
      <c r="J3783" t="str">
        <f>HYPERLINK("https://www.facebook.com/357267201017935_263786673401768","https://www.facebook.com/357267201017935_263786673401768")</f>
        <v>https://www.facebook.com/357267201017935_263786673401768</v>
      </c>
      <c r="O3783">
        <v>0</v>
      </c>
      <c r="P3783">
        <v>0</v>
      </c>
      <c r="Q3783">
        <v>0</v>
      </c>
      <c r="S3783">
        <v>0</v>
      </c>
      <c r="T3783">
        <v>0</v>
      </c>
      <c r="U3783">
        <v>0</v>
      </c>
      <c r="W3783" t="s">
        <v>106</v>
      </c>
      <c r="AS3783" t="s">
        <v>115</v>
      </c>
    </row>
    <row r="3784" spans="1:45" x14ac:dyDescent="0.35">
      <c r="A3784" t="s">
        <v>45</v>
      </c>
      <c r="B3784" t="s">
        <v>8332</v>
      </c>
      <c r="C3784" t="s">
        <v>47</v>
      </c>
      <c r="D3784" t="s">
        <v>3782</v>
      </c>
      <c r="E3784" t="s">
        <v>3782</v>
      </c>
      <c r="F3784" t="s">
        <v>49</v>
      </c>
      <c r="G3784" t="s">
        <v>8684</v>
      </c>
      <c r="H3784" t="s">
        <v>8685</v>
      </c>
      <c r="J3784" t="str">
        <f>HYPERLINK("https://www.facebook.com/454965103328545/videos/3697954183759550?comment_id=752278549784783","https://www.facebook.com/454965103328545/videos/3697954183759550?comment_id=752278549784783")</f>
        <v>https://www.facebook.com/454965103328545/videos/3697954183759550?comment_id=752278549784783</v>
      </c>
      <c r="O3784">
        <v>0</v>
      </c>
      <c r="P3784">
        <v>0</v>
      </c>
      <c r="Q3784">
        <v>0</v>
      </c>
      <c r="S3784">
        <v>0</v>
      </c>
      <c r="T3784">
        <v>0</v>
      </c>
      <c r="U3784">
        <v>0</v>
      </c>
      <c r="W3784" t="s">
        <v>62</v>
      </c>
      <c r="AP3784" t="s">
        <v>94</v>
      </c>
    </row>
    <row r="3785" spans="1:45" x14ac:dyDescent="0.35">
      <c r="A3785" t="s">
        <v>45</v>
      </c>
      <c r="B3785" t="s">
        <v>8332</v>
      </c>
      <c r="C3785" t="s">
        <v>47</v>
      </c>
      <c r="D3785" t="s">
        <v>3782</v>
      </c>
      <c r="E3785" t="s">
        <v>3782</v>
      </c>
      <c r="F3785" t="s">
        <v>49</v>
      </c>
      <c r="G3785" t="s">
        <v>8686</v>
      </c>
      <c r="H3785" t="s">
        <v>8687</v>
      </c>
      <c r="J3785" t="str">
        <f>HYPERLINK("https://www.facebook.com/454965103328545/videos/3697954183759550?comment_id=337096939303219","https://www.facebook.com/454965103328545/videos/3697954183759550?comment_id=337096939303219")</f>
        <v>https://www.facebook.com/454965103328545/videos/3697954183759550?comment_id=337096939303219</v>
      </c>
      <c r="O3785">
        <v>0</v>
      </c>
      <c r="P3785">
        <v>0</v>
      </c>
      <c r="Q3785">
        <v>0</v>
      </c>
      <c r="S3785">
        <v>0</v>
      </c>
      <c r="T3785">
        <v>0</v>
      </c>
      <c r="U3785">
        <v>0</v>
      </c>
      <c r="W3785" t="s">
        <v>62</v>
      </c>
    </row>
    <row r="3786" spans="1:45" x14ac:dyDescent="0.35">
      <c r="A3786" t="s">
        <v>45</v>
      </c>
      <c r="B3786" t="s">
        <v>8332</v>
      </c>
      <c r="C3786" t="s">
        <v>47</v>
      </c>
      <c r="D3786" t="s">
        <v>8688</v>
      </c>
      <c r="E3786" t="s">
        <v>8688</v>
      </c>
      <c r="F3786" t="s">
        <v>49</v>
      </c>
      <c r="G3786" t="s">
        <v>8689</v>
      </c>
      <c r="H3786" t="s">
        <v>8690</v>
      </c>
      <c r="J3786" t="str">
        <f>HYPERLINK("https://www.facebook.com/454965103328545/videos/3697954183759550?comment_id=1108276457281654","https://www.facebook.com/454965103328545/videos/3697954183759550?comment_id=1108276457281654")</f>
        <v>https://www.facebook.com/454965103328545/videos/3697954183759550?comment_id=1108276457281654</v>
      </c>
      <c r="O3786">
        <v>0</v>
      </c>
      <c r="P3786">
        <v>0</v>
      </c>
      <c r="Q3786">
        <v>0</v>
      </c>
      <c r="S3786">
        <v>0</v>
      </c>
      <c r="T3786">
        <v>0</v>
      </c>
      <c r="U3786">
        <v>0</v>
      </c>
      <c r="W3786" t="s">
        <v>62</v>
      </c>
    </row>
    <row r="3787" spans="1:45" x14ac:dyDescent="0.35">
      <c r="A3787" t="s">
        <v>45</v>
      </c>
      <c r="B3787" t="s">
        <v>8332</v>
      </c>
      <c r="C3787" t="s">
        <v>47</v>
      </c>
      <c r="D3787" t="s">
        <v>3782</v>
      </c>
      <c r="E3787" t="s">
        <v>3782</v>
      </c>
      <c r="F3787" t="s">
        <v>49</v>
      </c>
      <c r="G3787" t="s">
        <v>8691</v>
      </c>
      <c r="H3787" t="s">
        <v>8692</v>
      </c>
      <c r="J3787" t="str">
        <f>HYPERLINK("https://www.facebook.com/454965103328545/videos/3697954183759550?comment_id=692194026454392","https://www.facebook.com/454965103328545/videos/3697954183759550?comment_id=692194026454392")</f>
        <v>https://www.facebook.com/454965103328545/videos/3697954183759550?comment_id=692194026454392</v>
      </c>
      <c r="O3787">
        <v>0</v>
      </c>
      <c r="P3787">
        <v>0</v>
      </c>
      <c r="Q3787">
        <v>0</v>
      </c>
      <c r="S3787">
        <v>0</v>
      </c>
      <c r="T3787">
        <v>0</v>
      </c>
      <c r="U3787">
        <v>0</v>
      </c>
      <c r="W3787" t="s">
        <v>62</v>
      </c>
      <c r="AO3787" t="s">
        <v>67</v>
      </c>
    </row>
    <row r="3788" spans="1:45" x14ac:dyDescent="0.35">
      <c r="A3788" t="s">
        <v>45</v>
      </c>
      <c r="B3788" t="s">
        <v>8332</v>
      </c>
      <c r="C3788" t="s">
        <v>47</v>
      </c>
      <c r="D3788" t="s">
        <v>3782</v>
      </c>
      <c r="E3788" t="s">
        <v>3782</v>
      </c>
      <c r="F3788" t="s">
        <v>49</v>
      </c>
      <c r="G3788" t="s">
        <v>8691</v>
      </c>
      <c r="H3788" t="s">
        <v>8693</v>
      </c>
      <c r="J3788" t="str">
        <f>HYPERLINK("https://www.facebook.com/454965103328545/videos/3697954183759550?comment_id=264520196666294","https://www.facebook.com/454965103328545/videos/3697954183759550?comment_id=264520196666294")</f>
        <v>https://www.facebook.com/454965103328545/videos/3697954183759550?comment_id=264520196666294</v>
      </c>
      <c r="O3788">
        <v>0</v>
      </c>
      <c r="P3788">
        <v>0</v>
      </c>
      <c r="Q3788">
        <v>0</v>
      </c>
      <c r="S3788">
        <v>0</v>
      </c>
      <c r="T3788">
        <v>0</v>
      </c>
      <c r="U3788">
        <v>0</v>
      </c>
      <c r="W3788" t="s">
        <v>62</v>
      </c>
      <c r="AO3788" t="s">
        <v>67</v>
      </c>
    </row>
    <row r="3789" spans="1:45" x14ac:dyDescent="0.35">
      <c r="A3789" t="s">
        <v>45</v>
      </c>
      <c r="B3789" t="s">
        <v>8332</v>
      </c>
      <c r="C3789" t="s">
        <v>47</v>
      </c>
      <c r="D3789" t="s">
        <v>1281</v>
      </c>
      <c r="E3789" t="s">
        <v>1281</v>
      </c>
      <c r="F3789" t="s">
        <v>49</v>
      </c>
      <c r="G3789" t="s">
        <v>8694</v>
      </c>
      <c r="H3789" t="s">
        <v>8695</v>
      </c>
      <c r="J3789" t="str">
        <f>HYPERLINK("https://www.facebook.com/454965103328545/videos/3697954183759550?comment_id=1424176668456544","https://www.facebook.com/454965103328545/videos/3697954183759550?comment_id=1424176668456544")</f>
        <v>https://www.facebook.com/454965103328545/videos/3697954183759550?comment_id=1424176668456544</v>
      </c>
      <c r="O3789">
        <v>0</v>
      </c>
      <c r="P3789">
        <v>0</v>
      </c>
      <c r="Q3789">
        <v>0</v>
      </c>
      <c r="S3789">
        <v>0</v>
      </c>
      <c r="T3789">
        <v>0</v>
      </c>
      <c r="U3789">
        <v>0</v>
      </c>
      <c r="W3789" t="s">
        <v>62</v>
      </c>
    </row>
    <row r="3790" spans="1:45" x14ac:dyDescent="0.35">
      <c r="A3790" t="s">
        <v>45</v>
      </c>
      <c r="B3790" t="s">
        <v>8332</v>
      </c>
      <c r="C3790" t="s">
        <v>47</v>
      </c>
      <c r="D3790" t="s">
        <v>1281</v>
      </c>
      <c r="E3790" t="s">
        <v>1281</v>
      </c>
      <c r="F3790" t="s">
        <v>142</v>
      </c>
      <c r="G3790" t="s">
        <v>8696</v>
      </c>
      <c r="H3790" t="s">
        <v>8697</v>
      </c>
      <c r="J3790" t="str">
        <f>HYPERLINK("https://www.facebook.com/454965103328545/videos/3697954183759550?comment_id=884048283730490","https://www.facebook.com/454965103328545/videos/3697954183759550?comment_id=884048283730490")</f>
        <v>https://www.facebook.com/454965103328545/videos/3697954183759550?comment_id=884048283730490</v>
      </c>
      <c r="O3790">
        <v>0</v>
      </c>
      <c r="P3790">
        <v>0</v>
      </c>
      <c r="Q3790">
        <v>0</v>
      </c>
      <c r="S3790">
        <v>0</v>
      </c>
      <c r="T3790">
        <v>0</v>
      </c>
      <c r="U3790">
        <v>0</v>
      </c>
      <c r="W3790" t="s">
        <v>62</v>
      </c>
      <c r="AP3790" t="s">
        <v>147</v>
      </c>
    </row>
    <row r="3791" spans="1:45" x14ac:dyDescent="0.35">
      <c r="A3791" t="s">
        <v>45</v>
      </c>
      <c r="B3791" t="s">
        <v>8332</v>
      </c>
      <c r="C3791" t="s">
        <v>47</v>
      </c>
      <c r="D3791" t="s">
        <v>8698</v>
      </c>
      <c r="E3791" t="s">
        <v>8698</v>
      </c>
      <c r="F3791" t="s">
        <v>49</v>
      </c>
      <c r="G3791" t="s">
        <v>8699</v>
      </c>
      <c r="H3791" t="s">
        <v>8700</v>
      </c>
      <c r="J3791" t="str">
        <f>HYPERLINK("https://www.facebook.com/357267201017935/inbox/6992165497528039/","https://www.facebook.com/357267201017935/inbox/6992165497528039/")</f>
        <v>https://www.facebook.com/357267201017935/inbox/6992165497528039/</v>
      </c>
      <c r="O3791">
        <v>0</v>
      </c>
      <c r="P3791">
        <v>0</v>
      </c>
      <c r="Q3791">
        <v>0</v>
      </c>
      <c r="S3791">
        <v>0</v>
      </c>
      <c r="T3791">
        <v>0</v>
      </c>
      <c r="U3791">
        <v>0</v>
      </c>
      <c r="W3791" t="s">
        <v>52</v>
      </c>
      <c r="AS3791" t="s">
        <v>375</v>
      </c>
    </row>
    <row r="3792" spans="1:45" x14ac:dyDescent="0.35">
      <c r="A3792" t="s">
        <v>45</v>
      </c>
      <c r="B3792" t="s">
        <v>8332</v>
      </c>
      <c r="C3792" t="s">
        <v>47</v>
      </c>
      <c r="D3792" t="s">
        <v>8701</v>
      </c>
      <c r="E3792" t="s">
        <v>8701</v>
      </c>
      <c r="F3792" t="s">
        <v>49</v>
      </c>
      <c r="G3792" t="s">
        <v>8702</v>
      </c>
      <c r="H3792" t="s">
        <v>8703</v>
      </c>
      <c r="J3792" t="str">
        <f>HYPERLINK("https://www.facebook.com/454965103328545/videos/3697954183759550?comment_id=403976095425686","https://www.facebook.com/454965103328545/videos/3697954183759550?comment_id=403976095425686")</f>
        <v>https://www.facebook.com/454965103328545/videos/3697954183759550?comment_id=403976095425686</v>
      </c>
      <c r="O3792">
        <v>0</v>
      </c>
      <c r="P3792">
        <v>0</v>
      </c>
      <c r="Q3792">
        <v>0</v>
      </c>
      <c r="S3792">
        <v>0</v>
      </c>
      <c r="T3792">
        <v>0</v>
      </c>
      <c r="U3792">
        <v>0</v>
      </c>
      <c r="W3792" t="s">
        <v>62</v>
      </c>
    </row>
    <row r="3793" spans="1:45" x14ac:dyDescent="0.35">
      <c r="A3793" t="s">
        <v>45</v>
      </c>
      <c r="B3793" t="s">
        <v>8332</v>
      </c>
      <c r="C3793" t="s">
        <v>47</v>
      </c>
      <c r="D3793" t="s">
        <v>8704</v>
      </c>
      <c r="E3793" t="s">
        <v>8704</v>
      </c>
      <c r="F3793" t="s">
        <v>49</v>
      </c>
      <c r="G3793" t="s">
        <v>8705</v>
      </c>
      <c r="H3793" t="s">
        <v>8706</v>
      </c>
      <c r="J3793" t="str">
        <f>HYPERLINK("https://www.facebook.com/454965103328545/videos/3697954183759550?comment_id=760035516032908","https://www.facebook.com/454965103328545/videos/3697954183759550?comment_id=760035516032908")</f>
        <v>https://www.facebook.com/454965103328545/videos/3697954183759550?comment_id=760035516032908</v>
      </c>
      <c r="O3793">
        <v>0</v>
      </c>
      <c r="P3793">
        <v>0</v>
      </c>
      <c r="Q3793">
        <v>0</v>
      </c>
      <c r="S3793">
        <v>0</v>
      </c>
      <c r="T3793">
        <v>0</v>
      </c>
      <c r="U3793">
        <v>0</v>
      </c>
      <c r="W3793" t="s">
        <v>62</v>
      </c>
      <c r="AS3793" t="s">
        <v>375</v>
      </c>
    </row>
    <row r="3794" spans="1:45" x14ac:dyDescent="0.35">
      <c r="A3794" t="s">
        <v>45</v>
      </c>
      <c r="B3794" t="s">
        <v>8332</v>
      </c>
      <c r="C3794" t="s">
        <v>47</v>
      </c>
      <c r="D3794" t="s">
        <v>8704</v>
      </c>
      <c r="E3794" t="s">
        <v>8704</v>
      </c>
      <c r="F3794" t="s">
        <v>49</v>
      </c>
      <c r="G3794" t="s">
        <v>8705</v>
      </c>
      <c r="H3794" t="s">
        <v>8707</v>
      </c>
      <c r="J3794" t="str">
        <f>HYPERLINK("https://www.facebook.com/454965103328545/videos/3697954183759550?comment_id=271411409129819","https://www.facebook.com/454965103328545/videos/3697954183759550?comment_id=271411409129819")</f>
        <v>https://www.facebook.com/454965103328545/videos/3697954183759550?comment_id=271411409129819</v>
      </c>
      <c r="O3794">
        <v>0</v>
      </c>
      <c r="P3794">
        <v>0</v>
      </c>
      <c r="Q3794">
        <v>0</v>
      </c>
      <c r="S3794">
        <v>0</v>
      </c>
      <c r="T3794">
        <v>0</v>
      </c>
      <c r="U3794">
        <v>0</v>
      </c>
      <c r="W3794" t="s">
        <v>62</v>
      </c>
    </row>
    <row r="3795" spans="1:45" x14ac:dyDescent="0.35">
      <c r="A3795" t="s">
        <v>45</v>
      </c>
      <c r="B3795" t="s">
        <v>8332</v>
      </c>
      <c r="C3795" t="s">
        <v>47</v>
      </c>
      <c r="D3795" t="s">
        <v>8708</v>
      </c>
      <c r="E3795" t="s">
        <v>8708</v>
      </c>
      <c r="F3795" t="s">
        <v>49</v>
      </c>
      <c r="G3795" t="s">
        <v>8709</v>
      </c>
      <c r="H3795" t="s">
        <v>8710</v>
      </c>
      <c r="J3795" t="str">
        <f>HYPERLINK("https://www.facebook.com/454965103328545/videos/3697954183759550?comment_id=987719652925748","https://www.facebook.com/454965103328545/videos/3697954183759550?comment_id=987719652925748")</f>
        <v>https://www.facebook.com/454965103328545/videos/3697954183759550?comment_id=987719652925748</v>
      </c>
      <c r="O3795">
        <v>0</v>
      </c>
      <c r="P3795">
        <v>0</v>
      </c>
      <c r="Q3795">
        <v>0</v>
      </c>
      <c r="S3795">
        <v>0</v>
      </c>
      <c r="T3795">
        <v>0</v>
      </c>
      <c r="U3795">
        <v>0</v>
      </c>
      <c r="W3795" t="s">
        <v>62</v>
      </c>
    </row>
    <row r="3796" spans="1:45" x14ac:dyDescent="0.35">
      <c r="A3796" t="s">
        <v>45</v>
      </c>
      <c r="B3796" t="s">
        <v>8332</v>
      </c>
      <c r="C3796" t="s">
        <v>47</v>
      </c>
      <c r="D3796" t="s">
        <v>8711</v>
      </c>
      <c r="E3796" t="s">
        <v>8711</v>
      </c>
      <c r="F3796" t="s">
        <v>49</v>
      </c>
      <c r="G3796" t="s">
        <v>8712</v>
      </c>
      <c r="H3796" t="s">
        <v>8713</v>
      </c>
      <c r="J3796" t="str">
        <f>HYPERLINK("https://www.facebook.com/454965103328545/videos/3697954183759550?comment_id=880191874111822","https://www.facebook.com/454965103328545/videos/3697954183759550?comment_id=880191874111822")</f>
        <v>https://www.facebook.com/454965103328545/videos/3697954183759550?comment_id=880191874111822</v>
      </c>
      <c r="O3796">
        <v>0</v>
      </c>
      <c r="P3796">
        <v>0</v>
      </c>
      <c r="Q3796">
        <v>0</v>
      </c>
      <c r="S3796">
        <v>0</v>
      </c>
      <c r="T3796">
        <v>0</v>
      </c>
      <c r="U3796">
        <v>0</v>
      </c>
      <c r="W3796" t="s">
        <v>62</v>
      </c>
    </row>
    <row r="3797" spans="1:45" x14ac:dyDescent="0.35">
      <c r="A3797" t="s">
        <v>45</v>
      </c>
      <c r="B3797" t="s">
        <v>8332</v>
      </c>
      <c r="C3797" t="s">
        <v>47</v>
      </c>
      <c r="D3797" t="s">
        <v>8704</v>
      </c>
      <c r="E3797" t="s">
        <v>8704</v>
      </c>
      <c r="F3797" t="s">
        <v>49</v>
      </c>
      <c r="G3797" t="s">
        <v>8714</v>
      </c>
      <c r="H3797" t="s">
        <v>8715</v>
      </c>
      <c r="J3797" t="str">
        <f>HYPERLINK("https://www.facebook.com/454965103328545/videos/3697954183759550?comment_id=1607758056719796","https://www.facebook.com/454965103328545/videos/3697954183759550?comment_id=1607758056719796")</f>
        <v>https://www.facebook.com/454965103328545/videos/3697954183759550?comment_id=1607758056719796</v>
      </c>
      <c r="O3797">
        <v>0</v>
      </c>
      <c r="P3797">
        <v>0</v>
      </c>
      <c r="Q3797">
        <v>0</v>
      </c>
      <c r="S3797">
        <v>0</v>
      </c>
      <c r="T3797">
        <v>0</v>
      </c>
      <c r="U3797">
        <v>0</v>
      </c>
      <c r="W3797" t="s">
        <v>62</v>
      </c>
    </row>
    <row r="3798" spans="1:45" x14ac:dyDescent="0.35">
      <c r="A3798" t="s">
        <v>45</v>
      </c>
      <c r="B3798" t="s">
        <v>8332</v>
      </c>
      <c r="C3798" t="s">
        <v>47</v>
      </c>
      <c r="D3798" t="s">
        <v>8716</v>
      </c>
      <c r="E3798" t="s">
        <v>8716</v>
      </c>
      <c r="F3798" t="s">
        <v>49</v>
      </c>
      <c r="G3798" t="s">
        <v>8717</v>
      </c>
      <c r="H3798" t="s">
        <v>8718</v>
      </c>
      <c r="J3798" t="str">
        <f>HYPERLINK("https://www.facebook.com/454965103328545/posts/763899692435083?comment_id=265485359900018","https://www.facebook.com/454965103328545/posts/763899692435083?comment_id=265485359900018")</f>
        <v>https://www.facebook.com/454965103328545/posts/763899692435083?comment_id=265485359900018</v>
      </c>
      <c r="O3798">
        <v>0</v>
      </c>
      <c r="P3798">
        <v>0</v>
      </c>
      <c r="Q3798">
        <v>0</v>
      </c>
      <c r="S3798">
        <v>0</v>
      </c>
      <c r="T3798">
        <v>0</v>
      </c>
      <c r="U3798">
        <v>0</v>
      </c>
      <c r="W3798" t="s">
        <v>62</v>
      </c>
    </row>
    <row r="3799" spans="1:45" x14ac:dyDescent="0.35">
      <c r="A3799" t="s">
        <v>45</v>
      </c>
      <c r="B3799" t="s">
        <v>8332</v>
      </c>
      <c r="C3799" t="s">
        <v>47</v>
      </c>
      <c r="D3799" t="s">
        <v>8704</v>
      </c>
      <c r="E3799" t="s">
        <v>8704</v>
      </c>
      <c r="F3799" t="s">
        <v>49</v>
      </c>
      <c r="G3799" t="s">
        <v>8719</v>
      </c>
      <c r="H3799" t="s">
        <v>8720</v>
      </c>
      <c r="J3799" t="str">
        <f>HYPERLINK("https://www.facebook.com/454965103328545/videos/3697954183759550?comment_id=351297684386615","https://www.facebook.com/454965103328545/videos/3697954183759550?comment_id=351297684386615")</f>
        <v>https://www.facebook.com/454965103328545/videos/3697954183759550?comment_id=351297684386615</v>
      </c>
      <c r="O3799">
        <v>0</v>
      </c>
      <c r="P3799">
        <v>0</v>
      </c>
      <c r="Q3799">
        <v>0</v>
      </c>
      <c r="S3799">
        <v>0</v>
      </c>
      <c r="T3799">
        <v>0</v>
      </c>
      <c r="U3799">
        <v>0</v>
      </c>
      <c r="W3799" t="s">
        <v>62</v>
      </c>
    </row>
    <row r="3800" spans="1:45" x14ac:dyDescent="0.35">
      <c r="A3800" t="s">
        <v>45</v>
      </c>
      <c r="B3800" t="s">
        <v>8332</v>
      </c>
      <c r="C3800" t="s">
        <v>47</v>
      </c>
      <c r="D3800" t="s">
        <v>8721</v>
      </c>
      <c r="E3800" t="s">
        <v>8721</v>
      </c>
      <c r="F3800" t="s">
        <v>49</v>
      </c>
      <c r="G3800" t="s">
        <v>8722</v>
      </c>
      <c r="H3800" t="s">
        <v>8723</v>
      </c>
      <c r="J3800" t="str">
        <f>HYPERLINK("https://www.facebook.com/454965103328545/posts/763871475771238?comment_id=358088383701543","https://www.facebook.com/454965103328545/posts/763871475771238?comment_id=358088383701543")</f>
        <v>https://www.facebook.com/454965103328545/posts/763871475771238?comment_id=358088383701543</v>
      </c>
      <c r="O3800">
        <v>0</v>
      </c>
      <c r="P3800">
        <v>0</v>
      </c>
      <c r="Q3800">
        <v>0</v>
      </c>
      <c r="S3800">
        <v>0</v>
      </c>
      <c r="T3800">
        <v>0</v>
      </c>
      <c r="U3800">
        <v>0</v>
      </c>
      <c r="W3800" t="s">
        <v>62</v>
      </c>
    </row>
    <row r="3801" spans="1:45" x14ac:dyDescent="0.35">
      <c r="A3801" t="s">
        <v>45</v>
      </c>
      <c r="B3801" t="s">
        <v>8332</v>
      </c>
      <c r="C3801" t="s">
        <v>47</v>
      </c>
      <c r="D3801" t="s">
        <v>8724</v>
      </c>
      <c r="E3801" t="s">
        <v>8724</v>
      </c>
      <c r="F3801" t="s">
        <v>49</v>
      </c>
      <c r="G3801" t="s">
        <v>459</v>
      </c>
      <c r="H3801" t="s">
        <v>8725</v>
      </c>
      <c r="J3801" t="str">
        <f>HYPERLINK("https://www.facebook.com/454965103328545/videos/3697954183759550?comment_id=325758806504161","https://www.facebook.com/454965103328545/videos/3697954183759550?comment_id=325758806504161")</f>
        <v>https://www.facebook.com/454965103328545/videos/3697954183759550?comment_id=325758806504161</v>
      </c>
      <c r="O3801">
        <v>0</v>
      </c>
      <c r="P3801">
        <v>0</v>
      </c>
      <c r="Q3801">
        <v>0</v>
      </c>
      <c r="S3801">
        <v>0</v>
      </c>
      <c r="T3801">
        <v>0</v>
      </c>
      <c r="U3801">
        <v>0</v>
      </c>
      <c r="W3801" t="s">
        <v>62</v>
      </c>
    </row>
    <row r="3802" spans="1:45" x14ac:dyDescent="0.35">
      <c r="A3802" t="s">
        <v>45</v>
      </c>
      <c r="B3802" t="s">
        <v>8332</v>
      </c>
      <c r="C3802" t="s">
        <v>47</v>
      </c>
      <c r="D3802" t="s">
        <v>8724</v>
      </c>
      <c r="E3802" t="s">
        <v>8724</v>
      </c>
      <c r="F3802" t="s">
        <v>49</v>
      </c>
      <c r="G3802" t="s">
        <v>459</v>
      </c>
      <c r="H3802" t="s">
        <v>8726</v>
      </c>
      <c r="J3802" t="str">
        <f>HYPERLINK("https://www.facebook.com/454965103328545/videos/3697954183759550?comment_id=1216497133071498","https://www.facebook.com/454965103328545/videos/3697954183759550?comment_id=1216497133071498")</f>
        <v>https://www.facebook.com/454965103328545/videos/3697954183759550?comment_id=1216497133071498</v>
      </c>
      <c r="O3802">
        <v>0</v>
      </c>
      <c r="P3802">
        <v>0</v>
      </c>
      <c r="Q3802">
        <v>0</v>
      </c>
      <c r="S3802">
        <v>0</v>
      </c>
      <c r="T3802">
        <v>0</v>
      </c>
      <c r="U3802">
        <v>0</v>
      </c>
      <c r="W3802" t="s">
        <v>62</v>
      </c>
    </row>
    <row r="3803" spans="1:45" x14ac:dyDescent="0.35">
      <c r="A3803" t="s">
        <v>45</v>
      </c>
      <c r="B3803" t="s">
        <v>8332</v>
      </c>
      <c r="C3803" t="s">
        <v>47</v>
      </c>
      <c r="D3803" t="s">
        <v>8727</v>
      </c>
      <c r="E3803" t="s">
        <v>8727</v>
      </c>
      <c r="F3803" t="s">
        <v>76</v>
      </c>
      <c r="G3803" t="s">
        <v>8728</v>
      </c>
      <c r="H3803" t="s">
        <v>8729</v>
      </c>
      <c r="J3803" t="str">
        <f>HYPERLINK("https://www.facebook.com/454965103328545/videos/3697954183759550?comment_id=1112298979792178","https://www.facebook.com/454965103328545/videos/3697954183759550?comment_id=1112298979792178")</f>
        <v>https://www.facebook.com/454965103328545/videos/3697954183759550?comment_id=1112298979792178</v>
      </c>
      <c r="O3803">
        <v>0</v>
      </c>
      <c r="P3803">
        <v>0</v>
      </c>
      <c r="Q3803">
        <v>0</v>
      </c>
      <c r="S3803">
        <v>0</v>
      </c>
      <c r="T3803">
        <v>0</v>
      </c>
      <c r="U3803">
        <v>0</v>
      </c>
      <c r="W3803" t="s">
        <v>62</v>
      </c>
    </row>
    <row r="3804" spans="1:45" x14ac:dyDescent="0.35">
      <c r="A3804" t="s">
        <v>45</v>
      </c>
      <c r="B3804" t="s">
        <v>8332</v>
      </c>
      <c r="C3804" t="s">
        <v>47</v>
      </c>
      <c r="D3804" t="s">
        <v>7771</v>
      </c>
      <c r="E3804" t="s">
        <v>7771</v>
      </c>
      <c r="F3804" t="s">
        <v>49</v>
      </c>
      <c r="G3804" t="s">
        <v>8730</v>
      </c>
      <c r="H3804" t="s">
        <v>8731</v>
      </c>
      <c r="J3804" t="str">
        <f>HYPERLINK("https://www.facebook.com/454965103328545/videos/3697954183759550?comment_id=1359056198307123","https://www.facebook.com/454965103328545/videos/3697954183759550?comment_id=1359056198307123")</f>
        <v>https://www.facebook.com/454965103328545/videos/3697954183759550?comment_id=1359056198307123</v>
      </c>
      <c r="O3804">
        <v>0</v>
      </c>
      <c r="P3804">
        <v>0</v>
      </c>
      <c r="Q3804">
        <v>0</v>
      </c>
      <c r="S3804">
        <v>0</v>
      </c>
      <c r="T3804">
        <v>0</v>
      </c>
      <c r="U3804">
        <v>0</v>
      </c>
      <c r="W3804" t="s">
        <v>62</v>
      </c>
      <c r="AO3804" t="s">
        <v>67</v>
      </c>
    </row>
    <row r="3805" spans="1:45" x14ac:dyDescent="0.35">
      <c r="A3805" t="s">
        <v>45</v>
      </c>
      <c r="B3805" t="s">
        <v>8332</v>
      </c>
      <c r="C3805" t="s">
        <v>47</v>
      </c>
      <c r="D3805" t="s">
        <v>8732</v>
      </c>
      <c r="E3805" t="s">
        <v>8732</v>
      </c>
      <c r="F3805" t="s">
        <v>49</v>
      </c>
      <c r="G3805" t="s">
        <v>8733</v>
      </c>
      <c r="H3805" t="s">
        <v>8734</v>
      </c>
      <c r="J3805" t="str">
        <f>HYPERLINK("https://www.facebook.com/357267201017935/inbox/6991938837550705/","https://www.facebook.com/357267201017935/inbox/6991938837550705/")</f>
        <v>https://www.facebook.com/357267201017935/inbox/6991938837550705/</v>
      </c>
      <c r="O3805">
        <v>0</v>
      </c>
      <c r="P3805">
        <v>0</v>
      </c>
      <c r="Q3805">
        <v>0</v>
      </c>
      <c r="S3805">
        <v>0</v>
      </c>
      <c r="T3805">
        <v>0</v>
      </c>
      <c r="U3805">
        <v>0</v>
      </c>
      <c r="W3805" t="s">
        <v>52</v>
      </c>
    </row>
    <row r="3806" spans="1:45" x14ac:dyDescent="0.35">
      <c r="A3806" t="s">
        <v>45</v>
      </c>
      <c r="B3806" t="s">
        <v>8332</v>
      </c>
      <c r="C3806" t="s">
        <v>47</v>
      </c>
      <c r="D3806" t="s">
        <v>8735</v>
      </c>
      <c r="E3806" t="s">
        <v>8735</v>
      </c>
      <c r="F3806" t="s">
        <v>142</v>
      </c>
      <c r="G3806" t="s">
        <v>8736</v>
      </c>
      <c r="H3806" t="s">
        <v>8737</v>
      </c>
      <c r="J3806" t="str">
        <f>HYPERLINK("https://www.facebook.com/454965103328545/videos/3697954183759550?comment_id=1574573889969365","https://www.facebook.com/454965103328545/videos/3697954183759550?comment_id=1574573889969365")</f>
        <v>https://www.facebook.com/454965103328545/videos/3697954183759550?comment_id=1574573889969365</v>
      </c>
      <c r="O3806">
        <v>0</v>
      </c>
      <c r="P3806">
        <v>0</v>
      </c>
      <c r="Q3806">
        <v>0</v>
      </c>
      <c r="S3806">
        <v>0</v>
      </c>
      <c r="T3806">
        <v>0</v>
      </c>
      <c r="U3806">
        <v>0</v>
      </c>
      <c r="W3806" t="s">
        <v>62</v>
      </c>
      <c r="AP3806" t="s">
        <v>147</v>
      </c>
    </row>
    <row r="3807" spans="1:45" x14ac:dyDescent="0.35">
      <c r="A3807" t="s">
        <v>45</v>
      </c>
      <c r="B3807" t="s">
        <v>8332</v>
      </c>
      <c r="C3807" t="s">
        <v>47</v>
      </c>
      <c r="D3807" t="s">
        <v>8738</v>
      </c>
      <c r="E3807" t="s">
        <v>8738</v>
      </c>
      <c r="F3807" t="s">
        <v>49</v>
      </c>
      <c r="G3807" t="s">
        <v>8739</v>
      </c>
      <c r="H3807" t="s">
        <v>8740</v>
      </c>
      <c r="J3807" t="str">
        <f>HYPERLINK("https://www.facebook.com/454965103328545/videos/3697954183759550?comment_id=1153220072362369","https://www.facebook.com/454965103328545/videos/3697954183759550?comment_id=1153220072362369")</f>
        <v>https://www.facebook.com/454965103328545/videos/3697954183759550?comment_id=1153220072362369</v>
      </c>
      <c r="O3807">
        <v>0</v>
      </c>
      <c r="P3807">
        <v>0</v>
      </c>
      <c r="Q3807">
        <v>0</v>
      </c>
      <c r="S3807">
        <v>0</v>
      </c>
      <c r="T3807">
        <v>0</v>
      </c>
      <c r="U3807">
        <v>0</v>
      </c>
      <c r="W3807" t="s">
        <v>62</v>
      </c>
    </row>
    <row r="3808" spans="1:45" x14ac:dyDescent="0.35">
      <c r="A3808" t="s">
        <v>45</v>
      </c>
      <c r="B3808" t="s">
        <v>8332</v>
      </c>
      <c r="C3808" t="s">
        <v>47</v>
      </c>
      <c r="D3808" t="s">
        <v>8741</v>
      </c>
      <c r="E3808" t="s">
        <v>8741</v>
      </c>
      <c r="F3808" t="s">
        <v>76</v>
      </c>
      <c r="G3808" t="s">
        <v>8367</v>
      </c>
      <c r="H3808" t="s">
        <v>8742</v>
      </c>
      <c r="J3808" t="str">
        <f>HYPERLINK("https://www.facebook.com/454965103328545/videos/3697954183759550?comment_id=1491303071450484","https://www.facebook.com/454965103328545/videos/3697954183759550?comment_id=1491303071450484")</f>
        <v>https://www.facebook.com/454965103328545/videos/3697954183759550?comment_id=1491303071450484</v>
      </c>
      <c r="O3808">
        <v>0</v>
      </c>
      <c r="P3808">
        <v>0</v>
      </c>
      <c r="Q3808">
        <v>0</v>
      </c>
      <c r="S3808">
        <v>0</v>
      </c>
      <c r="T3808">
        <v>0</v>
      </c>
      <c r="U3808">
        <v>0</v>
      </c>
      <c r="W3808" t="s">
        <v>62</v>
      </c>
    </row>
    <row r="3809" spans="1:45" x14ac:dyDescent="0.35">
      <c r="A3809" t="s">
        <v>45</v>
      </c>
      <c r="B3809" t="s">
        <v>8332</v>
      </c>
      <c r="C3809" t="s">
        <v>47</v>
      </c>
      <c r="D3809" t="s">
        <v>8743</v>
      </c>
      <c r="E3809" t="s">
        <v>8743</v>
      </c>
      <c r="F3809" t="s">
        <v>142</v>
      </c>
      <c r="G3809" t="s">
        <v>8744</v>
      </c>
      <c r="H3809" t="s">
        <v>8745</v>
      </c>
      <c r="J3809" t="str">
        <f>HYPERLINK("https://www.facebook.com/454965103328545/videos/3697954183759550?comment_id=7096843173731459","https://www.facebook.com/454965103328545/videos/3697954183759550?comment_id=7096843173731459")</f>
        <v>https://www.facebook.com/454965103328545/videos/3697954183759550?comment_id=7096843173731459</v>
      </c>
      <c r="O3809">
        <v>0</v>
      </c>
      <c r="P3809">
        <v>0</v>
      </c>
      <c r="Q3809">
        <v>0</v>
      </c>
      <c r="S3809">
        <v>0</v>
      </c>
      <c r="T3809">
        <v>0</v>
      </c>
      <c r="U3809">
        <v>0</v>
      </c>
      <c r="W3809" t="s">
        <v>62</v>
      </c>
      <c r="AP3809" t="s">
        <v>101</v>
      </c>
      <c r="AS3809" t="s">
        <v>375</v>
      </c>
    </row>
    <row r="3810" spans="1:45" x14ac:dyDescent="0.35">
      <c r="A3810" t="s">
        <v>45</v>
      </c>
      <c r="B3810" t="s">
        <v>8332</v>
      </c>
      <c r="C3810" t="s">
        <v>47</v>
      </c>
      <c r="D3810" t="s">
        <v>8721</v>
      </c>
      <c r="E3810" t="s">
        <v>8721</v>
      </c>
      <c r="F3810" t="s">
        <v>49</v>
      </c>
      <c r="G3810" t="s">
        <v>8722</v>
      </c>
      <c r="H3810" t="s">
        <v>8746</v>
      </c>
      <c r="J3810" t="str">
        <f>HYPERLINK("https://www.facebook.com/454965103328545/videos/3697954183759550?comment_id=659736042829074","https://www.facebook.com/454965103328545/videos/3697954183759550?comment_id=659736042829074")</f>
        <v>https://www.facebook.com/454965103328545/videos/3697954183759550?comment_id=659736042829074</v>
      </c>
      <c r="O3810">
        <v>0</v>
      </c>
      <c r="P3810">
        <v>0</v>
      </c>
      <c r="Q3810">
        <v>0</v>
      </c>
      <c r="S3810">
        <v>0</v>
      </c>
      <c r="T3810">
        <v>0</v>
      </c>
      <c r="U3810">
        <v>0</v>
      </c>
      <c r="W3810" t="s">
        <v>62</v>
      </c>
    </row>
    <row r="3811" spans="1:45" x14ac:dyDescent="0.35">
      <c r="A3811" t="s">
        <v>45</v>
      </c>
      <c r="B3811" t="s">
        <v>8332</v>
      </c>
      <c r="C3811" t="s">
        <v>47</v>
      </c>
      <c r="D3811" t="s">
        <v>8721</v>
      </c>
      <c r="E3811" t="s">
        <v>8721</v>
      </c>
      <c r="F3811" t="s">
        <v>49</v>
      </c>
      <c r="G3811" t="s">
        <v>8722</v>
      </c>
      <c r="H3811" t="s">
        <v>8747</v>
      </c>
      <c r="J3811" t="str">
        <f>HYPERLINK("https://www.facebook.com/454965103328545/posts/763902162434836?comment_id=364255129871097","https://www.facebook.com/454965103328545/posts/763902162434836?comment_id=364255129871097")</f>
        <v>https://www.facebook.com/454965103328545/posts/763902162434836?comment_id=364255129871097</v>
      </c>
      <c r="O3811">
        <v>0</v>
      </c>
      <c r="P3811">
        <v>0</v>
      </c>
      <c r="Q3811">
        <v>0</v>
      </c>
      <c r="S3811">
        <v>0</v>
      </c>
      <c r="T3811">
        <v>0</v>
      </c>
      <c r="U3811">
        <v>0</v>
      </c>
      <c r="W3811" t="s">
        <v>62</v>
      </c>
    </row>
    <row r="3812" spans="1:45" x14ac:dyDescent="0.35">
      <c r="A3812" t="s">
        <v>45</v>
      </c>
      <c r="B3812" t="s">
        <v>8332</v>
      </c>
      <c r="C3812" t="s">
        <v>47</v>
      </c>
      <c r="D3812" t="s">
        <v>8748</v>
      </c>
      <c r="E3812" t="s">
        <v>8748</v>
      </c>
      <c r="F3812" t="s">
        <v>49</v>
      </c>
      <c r="G3812">
        <v>450</v>
      </c>
      <c r="H3812" t="s">
        <v>8749</v>
      </c>
      <c r="J3812" t="str">
        <f>HYPERLINK("https://www.facebook.com/454965103328545/videos/3697954183759550?comment_id=379519611353957","https://www.facebook.com/454965103328545/videos/3697954183759550?comment_id=379519611353957")</f>
        <v>https://www.facebook.com/454965103328545/videos/3697954183759550?comment_id=379519611353957</v>
      </c>
      <c r="O3812">
        <v>0</v>
      </c>
      <c r="P3812">
        <v>0</v>
      </c>
      <c r="Q3812">
        <v>0</v>
      </c>
      <c r="S3812">
        <v>0</v>
      </c>
      <c r="T3812">
        <v>0</v>
      </c>
      <c r="U3812">
        <v>0</v>
      </c>
      <c r="W3812" t="s">
        <v>62</v>
      </c>
    </row>
    <row r="3813" spans="1:45" x14ac:dyDescent="0.35">
      <c r="A3813" t="s">
        <v>45</v>
      </c>
      <c r="B3813" t="s">
        <v>8332</v>
      </c>
      <c r="C3813" t="s">
        <v>47</v>
      </c>
      <c r="D3813" t="s">
        <v>8748</v>
      </c>
      <c r="E3813" t="s">
        <v>8748</v>
      </c>
      <c r="F3813" t="s">
        <v>49</v>
      </c>
      <c r="G3813" t="s">
        <v>8750</v>
      </c>
      <c r="H3813" t="s">
        <v>8751</v>
      </c>
      <c r="J3813" t="str">
        <f>HYPERLINK("https://www.facebook.com/454965103328545/videos/3697954183759550?comment_id=708601828074721","https://www.facebook.com/454965103328545/videos/3697954183759550?comment_id=708601828074721")</f>
        <v>https://www.facebook.com/454965103328545/videos/3697954183759550?comment_id=708601828074721</v>
      </c>
      <c r="K3813" t="s">
        <v>145</v>
      </c>
      <c r="O3813">
        <v>0</v>
      </c>
      <c r="P3813">
        <v>0</v>
      </c>
      <c r="Q3813">
        <v>0</v>
      </c>
      <c r="S3813">
        <v>0</v>
      </c>
      <c r="T3813">
        <v>0</v>
      </c>
      <c r="U3813">
        <v>0</v>
      </c>
      <c r="W3813" t="s">
        <v>62</v>
      </c>
    </row>
    <row r="3814" spans="1:45" x14ac:dyDescent="0.35">
      <c r="A3814" t="s">
        <v>45</v>
      </c>
      <c r="B3814" t="s">
        <v>8332</v>
      </c>
      <c r="C3814" t="s">
        <v>47</v>
      </c>
      <c r="D3814" t="s">
        <v>7810</v>
      </c>
      <c r="E3814" t="s">
        <v>7810</v>
      </c>
      <c r="F3814" t="s">
        <v>49</v>
      </c>
      <c r="G3814" t="s">
        <v>8752</v>
      </c>
      <c r="H3814" t="s">
        <v>8753</v>
      </c>
      <c r="J3814" t="str">
        <f>HYPERLINK("https://www.facebook.com/454965103328545/videos/3697954183759550?comment_id=1473204980271180","https://www.facebook.com/454965103328545/videos/3697954183759550?comment_id=1473204980271180")</f>
        <v>https://www.facebook.com/454965103328545/videos/3697954183759550?comment_id=1473204980271180</v>
      </c>
      <c r="O3814">
        <v>0</v>
      </c>
      <c r="P3814">
        <v>0</v>
      </c>
      <c r="Q3814">
        <v>0</v>
      </c>
      <c r="S3814">
        <v>0</v>
      </c>
      <c r="T3814">
        <v>0</v>
      </c>
      <c r="U3814">
        <v>0</v>
      </c>
      <c r="W3814" t="s">
        <v>62</v>
      </c>
    </row>
    <row r="3815" spans="1:45" x14ac:dyDescent="0.35">
      <c r="A3815" t="s">
        <v>45</v>
      </c>
      <c r="B3815" t="s">
        <v>8332</v>
      </c>
      <c r="C3815" t="s">
        <v>47</v>
      </c>
      <c r="D3815" t="s">
        <v>8754</v>
      </c>
      <c r="E3815" t="s">
        <v>8754</v>
      </c>
      <c r="F3815" t="s">
        <v>49</v>
      </c>
      <c r="G3815" t="s">
        <v>8755</v>
      </c>
      <c r="H3815" t="s">
        <v>8756</v>
      </c>
      <c r="J3815" t="str">
        <f>HYPERLINK("https://www.facebook.com/454965103328545/videos/3697954183759550?comment_id=1290630438450539","https://www.facebook.com/454965103328545/videos/3697954183759550?comment_id=1290630438450539")</f>
        <v>https://www.facebook.com/454965103328545/videos/3697954183759550?comment_id=1290630438450539</v>
      </c>
      <c r="O3815">
        <v>0</v>
      </c>
      <c r="P3815">
        <v>0</v>
      </c>
      <c r="Q3815">
        <v>0</v>
      </c>
      <c r="S3815">
        <v>0</v>
      </c>
      <c r="T3815">
        <v>0</v>
      </c>
      <c r="U3815">
        <v>0</v>
      </c>
      <c r="W3815" t="s">
        <v>62</v>
      </c>
    </row>
    <row r="3816" spans="1:45" x14ac:dyDescent="0.35">
      <c r="A3816" t="s">
        <v>45</v>
      </c>
      <c r="B3816" t="s">
        <v>8332</v>
      </c>
      <c r="C3816" t="s">
        <v>47</v>
      </c>
      <c r="D3816" t="s">
        <v>8754</v>
      </c>
      <c r="E3816" t="s">
        <v>8754</v>
      </c>
      <c r="F3816" t="s">
        <v>142</v>
      </c>
      <c r="G3816" t="s">
        <v>8757</v>
      </c>
      <c r="H3816" t="s">
        <v>8758</v>
      </c>
      <c r="J3816" t="str">
        <f>HYPERLINK("https://www.facebook.com/454965103328545/videos/3697954183759550?comment_id=753269519680138","https://www.facebook.com/454965103328545/videos/3697954183759550?comment_id=753269519680138")</f>
        <v>https://www.facebook.com/454965103328545/videos/3697954183759550?comment_id=753269519680138</v>
      </c>
      <c r="O3816">
        <v>0</v>
      </c>
      <c r="P3816">
        <v>0</v>
      </c>
      <c r="Q3816">
        <v>0</v>
      </c>
      <c r="S3816">
        <v>0</v>
      </c>
      <c r="T3816">
        <v>0</v>
      </c>
      <c r="U3816">
        <v>0</v>
      </c>
      <c r="W3816" t="s">
        <v>62</v>
      </c>
      <c r="AP3816" t="s">
        <v>147</v>
      </c>
    </row>
    <row r="3817" spans="1:45" x14ac:dyDescent="0.35">
      <c r="A3817" t="s">
        <v>45</v>
      </c>
      <c r="B3817" t="s">
        <v>8332</v>
      </c>
      <c r="C3817" t="s">
        <v>47</v>
      </c>
      <c r="D3817" t="s">
        <v>702</v>
      </c>
      <c r="E3817" t="s">
        <v>702</v>
      </c>
      <c r="F3817" t="s">
        <v>49</v>
      </c>
      <c r="G3817" t="s">
        <v>8759</v>
      </c>
      <c r="H3817" t="s">
        <v>8760</v>
      </c>
      <c r="J3817" t="str">
        <f>HYPERLINK("https://www.facebook.com/454965103328545/videos/3697954183759550?comment_id=928821348593820","https://www.facebook.com/454965103328545/videos/3697954183759550?comment_id=928821348593820")</f>
        <v>https://www.facebook.com/454965103328545/videos/3697954183759550?comment_id=928821348593820</v>
      </c>
      <c r="O3817">
        <v>0</v>
      </c>
      <c r="P3817">
        <v>0</v>
      </c>
      <c r="Q3817">
        <v>0</v>
      </c>
      <c r="S3817">
        <v>0</v>
      </c>
      <c r="T3817">
        <v>0</v>
      </c>
      <c r="U3817">
        <v>0</v>
      </c>
      <c r="W3817" t="s">
        <v>62</v>
      </c>
      <c r="AP3817" t="s">
        <v>94</v>
      </c>
    </row>
    <row r="3818" spans="1:45" x14ac:dyDescent="0.35">
      <c r="A3818" t="s">
        <v>45</v>
      </c>
      <c r="B3818" t="s">
        <v>8332</v>
      </c>
      <c r="C3818" t="s">
        <v>63</v>
      </c>
      <c r="D3818" t="s">
        <v>8761</v>
      </c>
      <c r="E3818" t="s">
        <v>8761</v>
      </c>
      <c r="F3818" t="s">
        <v>49</v>
      </c>
      <c r="G3818" t="s">
        <v>8762</v>
      </c>
      <c r="H3818" t="s">
        <v>8763</v>
      </c>
      <c r="J3818" t="str">
        <f>HYPERLINK("https://www.instagram.com/reel/C21-7zTMyaM/","https://www.instagram.com/reel/C21-7zTMyaM/")</f>
        <v>https://www.instagram.com/reel/C21-7zTMyaM/</v>
      </c>
      <c r="O3818">
        <v>0</v>
      </c>
      <c r="P3818">
        <v>0</v>
      </c>
      <c r="Q3818">
        <v>0</v>
      </c>
      <c r="S3818">
        <v>0</v>
      </c>
      <c r="T3818">
        <v>0</v>
      </c>
      <c r="U3818">
        <v>0</v>
      </c>
      <c r="W3818" t="s">
        <v>62</v>
      </c>
    </row>
    <row r="3819" spans="1:45" x14ac:dyDescent="0.35">
      <c r="A3819" t="s">
        <v>45</v>
      </c>
      <c r="B3819" t="s">
        <v>8332</v>
      </c>
      <c r="C3819" t="s">
        <v>47</v>
      </c>
      <c r="D3819" t="s">
        <v>8764</v>
      </c>
      <c r="E3819" t="s">
        <v>8764</v>
      </c>
      <c r="F3819" t="s">
        <v>49</v>
      </c>
      <c r="G3819" t="s">
        <v>8765</v>
      </c>
      <c r="H3819" t="s">
        <v>8766</v>
      </c>
      <c r="J3819" t="str">
        <f>HYPERLINK("https://www.facebook.com/454965103328545/videos/3697954183759550?comment_id=347822638159256","https://www.facebook.com/454965103328545/videos/3697954183759550?comment_id=347822638159256")</f>
        <v>https://www.facebook.com/454965103328545/videos/3697954183759550?comment_id=347822638159256</v>
      </c>
      <c r="O3819">
        <v>0</v>
      </c>
      <c r="P3819">
        <v>0</v>
      </c>
      <c r="Q3819">
        <v>0</v>
      </c>
      <c r="S3819">
        <v>0</v>
      </c>
      <c r="T3819">
        <v>0</v>
      </c>
      <c r="U3819">
        <v>0</v>
      </c>
      <c r="W3819" t="s">
        <v>62</v>
      </c>
      <c r="AO3819" t="s">
        <v>67</v>
      </c>
    </row>
    <row r="3820" spans="1:45" x14ac:dyDescent="0.35">
      <c r="A3820" t="s">
        <v>45</v>
      </c>
      <c r="B3820" t="s">
        <v>8332</v>
      </c>
      <c r="C3820" t="s">
        <v>47</v>
      </c>
      <c r="D3820" t="s">
        <v>8767</v>
      </c>
      <c r="E3820" t="s">
        <v>8767</v>
      </c>
      <c r="F3820" t="s">
        <v>49</v>
      </c>
      <c r="G3820" t="s">
        <v>8768</v>
      </c>
      <c r="H3820" t="s">
        <v>8769</v>
      </c>
      <c r="J3820" t="str">
        <f>HYPERLINK("https://www.facebook.com/454965103328545/videos/3697954183759550?comment_id=200821709742699","https://www.facebook.com/454965103328545/videos/3697954183759550?comment_id=200821709742699")</f>
        <v>https://www.facebook.com/454965103328545/videos/3697954183759550?comment_id=200821709742699</v>
      </c>
      <c r="O3820">
        <v>0</v>
      </c>
      <c r="P3820">
        <v>0</v>
      </c>
      <c r="Q3820">
        <v>0</v>
      </c>
      <c r="S3820">
        <v>0</v>
      </c>
      <c r="T3820">
        <v>0</v>
      </c>
      <c r="U3820">
        <v>0</v>
      </c>
      <c r="W3820" t="s">
        <v>62</v>
      </c>
      <c r="AS3820" t="s">
        <v>375</v>
      </c>
    </row>
    <row r="3821" spans="1:45" x14ac:dyDescent="0.35">
      <c r="A3821" t="s">
        <v>45</v>
      </c>
      <c r="B3821" t="s">
        <v>8332</v>
      </c>
      <c r="C3821" t="s">
        <v>47</v>
      </c>
      <c r="D3821" t="s">
        <v>8770</v>
      </c>
      <c r="E3821" t="s">
        <v>8770</v>
      </c>
      <c r="F3821" t="s">
        <v>49</v>
      </c>
      <c r="G3821" t="s">
        <v>7706</v>
      </c>
      <c r="H3821" t="s">
        <v>8771</v>
      </c>
      <c r="J3821" t="str">
        <f>HYPERLINK("https://www.facebook.com/454965103328545/videos/3697954183759550?comment_id=755155806134834","https://www.facebook.com/454965103328545/videos/3697954183759550?comment_id=755155806134834")</f>
        <v>https://www.facebook.com/454965103328545/videos/3697954183759550?comment_id=755155806134834</v>
      </c>
      <c r="O3821">
        <v>0</v>
      </c>
      <c r="P3821">
        <v>0</v>
      </c>
      <c r="Q3821">
        <v>0</v>
      </c>
      <c r="S3821">
        <v>0</v>
      </c>
      <c r="T3821">
        <v>0</v>
      </c>
      <c r="U3821">
        <v>0</v>
      </c>
      <c r="W3821" t="s">
        <v>62</v>
      </c>
    </row>
    <row r="3822" spans="1:45" x14ac:dyDescent="0.35">
      <c r="A3822" t="s">
        <v>45</v>
      </c>
      <c r="B3822" t="s">
        <v>8332</v>
      </c>
      <c r="C3822" t="s">
        <v>47</v>
      </c>
      <c r="D3822" t="s">
        <v>8772</v>
      </c>
      <c r="E3822" t="s">
        <v>8772</v>
      </c>
      <c r="F3822" t="s">
        <v>76</v>
      </c>
      <c r="G3822" t="s">
        <v>8367</v>
      </c>
      <c r="H3822" t="s">
        <v>8773</v>
      </c>
      <c r="J3822" t="str">
        <f>HYPERLINK("https://www.facebook.com/454965103328545/videos/3697954183759550?comment_id=271357662658118","https://www.facebook.com/454965103328545/videos/3697954183759550?comment_id=271357662658118")</f>
        <v>https://www.facebook.com/454965103328545/videos/3697954183759550?comment_id=271357662658118</v>
      </c>
      <c r="O3822">
        <v>0</v>
      </c>
      <c r="P3822">
        <v>0</v>
      </c>
      <c r="Q3822">
        <v>0</v>
      </c>
      <c r="S3822">
        <v>0</v>
      </c>
      <c r="T3822">
        <v>0</v>
      </c>
      <c r="U3822">
        <v>0</v>
      </c>
      <c r="W3822" t="s">
        <v>62</v>
      </c>
    </row>
    <row r="3823" spans="1:45" x14ac:dyDescent="0.35">
      <c r="A3823" t="s">
        <v>45</v>
      </c>
      <c r="B3823" t="s">
        <v>8332</v>
      </c>
      <c r="C3823" t="s">
        <v>47</v>
      </c>
      <c r="D3823" t="s">
        <v>8774</v>
      </c>
      <c r="E3823" t="s">
        <v>8774</v>
      </c>
      <c r="F3823" t="s">
        <v>49</v>
      </c>
      <c r="G3823" t="s">
        <v>8775</v>
      </c>
      <c r="H3823" t="s">
        <v>8776</v>
      </c>
      <c r="J3823" t="str">
        <f>HYPERLINK("https://www.facebook.com/454965103328545/videos/3697954183759550?comment_id=1289402001922823","https://www.facebook.com/454965103328545/videos/3697954183759550?comment_id=1289402001922823")</f>
        <v>https://www.facebook.com/454965103328545/videos/3697954183759550?comment_id=1289402001922823</v>
      </c>
      <c r="O3823">
        <v>0</v>
      </c>
      <c r="P3823">
        <v>0</v>
      </c>
      <c r="Q3823">
        <v>0</v>
      </c>
      <c r="S3823">
        <v>0</v>
      </c>
      <c r="T3823">
        <v>0</v>
      </c>
      <c r="U3823">
        <v>0</v>
      </c>
      <c r="W3823" t="s">
        <v>62</v>
      </c>
      <c r="AP3823" t="s">
        <v>101</v>
      </c>
      <c r="AS3823" t="s">
        <v>375</v>
      </c>
    </row>
    <row r="3824" spans="1:45" x14ac:dyDescent="0.35">
      <c r="A3824" t="s">
        <v>45</v>
      </c>
      <c r="B3824" t="s">
        <v>8332</v>
      </c>
      <c r="C3824" t="s">
        <v>47</v>
      </c>
      <c r="D3824" t="s">
        <v>8777</v>
      </c>
      <c r="E3824" t="s">
        <v>8777</v>
      </c>
      <c r="F3824" t="s">
        <v>76</v>
      </c>
      <c r="G3824" t="s">
        <v>8367</v>
      </c>
      <c r="H3824" t="s">
        <v>8778</v>
      </c>
      <c r="J3824" t="str">
        <f>HYPERLINK("https://www.facebook.com/454965103328545/videos/3697954183759550?comment_id=705683845055190","https://www.facebook.com/454965103328545/videos/3697954183759550?comment_id=705683845055190")</f>
        <v>https://www.facebook.com/454965103328545/videos/3697954183759550?comment_id=705683845055190</v>
      </c>
      <c r="O3824">
        <v>0</v>
      </c>
      <c r="P3824">
        <v>0</v>
      </c>
      <c r="Q3824">
        <v>0</v>
      </c>
      <c r="S3824">
        <v>0</v>
      </c>
      <c r="T3824">
        <v>0</v>
      </c>
      <c r="U3824">
        <v>0</v>
      </c>
      <c r="W3824" t="s">
        <v>62</v>
      </c>
    </row>
    <row r="3825" spans="1:45" x14ac:dyDescent="0.35">
      <c r="A3825" t="s">
        <v>45</v>
      </c>
      <c r="B3825" t="s">
        <v>8332</v>
      </c>
      <c r="C3825" t="s">
        <v>47</v>
      </c>
      <c r="D3825" t="s">
        <v>8779</v>
      </c>
      <c r="E3825" t="s">
        <v>8779</v>
      </c>
      <c r="F3825" t="s">
        <v>49</v>
      </c>
      <c r="G3825" t="s">
        <v>8780</v>
      </c>
      <c r="H3825" t="s">
        <v>8781</v>
      </c>
      <c r="J3825" t="str">
        <f>HYPERLINK("https://www.facebook.com/454965103328545/posts/763899692435083?comment_id=1078251773419507","https://www.facebook.com/454965103328545/posts/763899692435083?comment_id=1078251773419507")</f>
        <v>https://www.facebook.com/454965103328545/posts/763899692435083?comment_id=1078251773419507</v>
      </c>
      <c r="O3825">
        <v>0</v>
      </c>
      <c r="P3825">
        <v>0</v>
      </c>
      <c r="Q3825">
        <v>0</v>
      </c>
      <c r="S3825">
        <v>0</v>
      </c>
      <c r="T3825">
        <v>0</v>
      </c>
      <c r="U3825">
        <v>0</v>
      </c>
      <c r="W3825" t="s">
        <v>62</v>
      </c>
      <c r="AP3825" t="s">
        <v>94</v>
      </c>
      <c r="AS3825" t="s">
        <v>375</v>
      </c>
    </row>
    <row r="3826" spans="1:45" x14ac:dyDescent="0.35">
      <c r="A3826" t="s">
        <v>45</v>
      </c>
      <c r="B3826" t="s">
        <v>8332</v>
      </c>
      <c r="C3826" t="s">
        <v>139</v>
      </c>
      <c r="D3826" t="s">
        <v>8268</v>
      </c>
      <c r="E3826" t="s">
        <v>8269</v>
      </c>
      <c r="F3826" t="s">
        <v>49</v>
      </c>
      <c r="G3826" t="s">
        <v>8782</v>
      </c>
      <c r="H3826" t="s">
        <v>8783</v>
      </c>
      <c r="J3826" t="str">
        <f>HYPERLINK("https://twitter.com/tushar_panda_/status/1753381145499353476","https://twitter.com/tushar_panda_/status/1753381145499353476")</f>
        <v>https://twitter.com/tushar_panda_/status/1753381145499353476</v>
      </c>
      <c r="K3826" t="s">
        <v>145</v>
      </c>
      <c r="O3826">
        <v>0</v>
      </c>
      <c r="P3826">
        <v>0</v>
      </c>
      <c r="Q3826">
        <v>5</v>
      </c>
      <c r="S3826">
        <v>0</v>
      </c>
      <c r="T3826">
        <v>0</v>
      </c>
      <c r="U3826">
        <v>0</v>
      </c>
      <c r="W3826" t="s">
        <v>146</v>
      </c>
    </row>
    <row r="3827" spans="1:45" x14ac:dyDescent="0.35">
      <c r="A3827" t="s">
        <v>45</v>
      </c>
      <c r="B3827" t="s">
        <v>8332</v>
      </c>
      <c r="C3827" t="s">
        <v>47</v>
      </c>
      <c r="D3827" t="s">
        <v>8784</v>
      </c>
      <c r="E3827" t="s">
        <v>8784</v>
      </c>
      <c r="F3827" t="s">
        <v>49</v>
      </c>
      <c r="G3827" t="s">
        <v>8785</v>
      </c>
      <c r="H3827" t="s">
        <v>8786</v>
      </c>
      <c r="J3827" t="str">
        <f>HYPERLINK("https://www.facebook.com/454965103328545/videos/3697954183759550?comment_id=1422886081771642","https://www.facebook.com/454965103328545/videos/3697954183759550?comment_id=1422886081771642")</f>
        <v>https://www.facebook.com/454965103328545/videos/3697954183759550?comment_id=1422886081771642</v>
      </c>
      <c r="O3827">
        <v>0</v>
      </c>
      <c r="P3827">
        <v>0</v>
      </c>
      <c r="Q3827">
        <v>0</v>
      </c>
      <c r="S3827">
        <v>0</v>
      </c>
      <c r="T3827">
        <v>0</v>
      </c>
      <c r="U3827">
        <v>0</v>
      </c>
      <c r="W3827" t="s">
        <v>62</v>
      </c>
    </row>
    <row r="3828" spans="1:45" x14ac:dyDescent="0.35">
      <c r="A3828" t="s">
        <v>45</v>
      </c>
      <c r="B3828" t="s">
        <v>8332</v>
      </c>
      <c r="C3828" t="s">
        <v>139</v>
      </c>
      <c r="D3828" t="s">
        <v>8268</v>
      </c>
      <c r="E3828" t="s">
        <v>8269</v>
      </c>
      <c r="F3828" t="s">
        <v>49</v>
      </c>
      <c r="G3828" t="s">
        <v>8787</v>
      </c>
      <c r="H3828" t="s">
        <v>8788</v>
      </c>
      <c r="J3828" t="str">
        <f>HYPERLINK("https://twitter.com/tushar_panda_/status/1753380492299354580","https://twitter.com/tushar_panda_/status/1753380492299354580")</f>
        <v>https://twitter.com/tushar_panda_/status/1753380492299354580</v>
      </c>
      <c r="K3828" t="s">
        <v>145</v>
      </c>
      <c r="O3828">
        <v>0</v>
      </c>
      <c r="P3828">
        <v>0</v>
      </c>
      <c r="Q3828">
        <v>5</v>
      </c>
      <c r="S3828">
        <v>0</v>
      </c>
      <c r="T3828">
        <v>0</v>
      </c>
      <c r="U3828">
        <v>0</v>
      </c>
      <c r="W3828" t="s">
        <v>146</v>
      </c>
    </row>
    <row r="3829" spans="1:45" x14ac:dyDescent="0.35">
      <c r="A3829" t="s">
        <v>45</v>
      </c>
      <c r="B3829" t="s">
        <v>8332</v>
      </c>
      <c r="C3829" t="s">
        <v>47</v>
      </c>
      <c r="D3829" t="s">
        <v>8789</v>
      </c>
      <c r="E3829" t="s">
        <v>8789</v>
      </c>
      <c r="F3829" t="s">
        <v>49</v>
      </c>
      <c r="G3829" t="s">
        <v>8790</v>
      </c>
      <c r="H3829" t="s">
        <v>8791</v>
      </c>
      <c r="J3829" t="str">
        <f>HYPERLINK("https://www.facebook.com/454965103328545/videos/3697954183759550?comment_id=1899187613817205","https://www.facebook.com/454965103328545/videos/3697954183759550?comment_id=1899187613817205")</f>
        <v>https://www.facebook.com/454965103328545/videos/3697954183759550?comment_id=1899187613817205</v>
      </c>
      <c r="O3829">
        <v>0</v>
      </c>
      <c r="P3829">
        <v>0</v>
      </c>
      <c r="Q3829">
        <v>0</v>
      </c>
      <c r="S3829">
        <v>0</v>
      </c>
      <c r="T3829">
        <v>0</v>
      </c>
      <c r="U3829">
        <v>0</v>
      </c>
      <c r="W3829" t="s">
        <v>62</v>
      </c>
    </row>
    <row r="3830" spans="1:45" x14ac:dyDescent="0.35">
      <c r="A3830" t="s">
        <v>45</v>
      </c>
      <c r="B3830" t="s">
        <v>8332</v>
      </c>
      <c r="C3830" t="s">
        <v>63</v>
      </c>
      <c r="D3830" t="s">
        <v>186</v>
      </c>
      <c r="E3830" t="s">
        <v>186</v>
      </c>
      <c r="F3830" t="s">
        <v>49</v>
      </c>
      <c r="G3830" t="s">
        <v>8792</v>
      </c>
      <c r="H3830" t="s">
        <v>8793</v>
      </c>
      <c r="J3830" t="str">
        <f>HYPERLINK("https://www.instagram.com/reel/C21-7zTMyaM/","https://www.instagram.com/reel/C21-7zTMyaM/")</f>
        <v>https://www.instagram.com/reel/C21-7zTMyaM/</v>
      </c>
      <c r="O3830">
        <v>0</v>
      </c>
      <c r="P3830">
        <v>0</v>
      </c>
      <c r="Q3830">
        <v>0</v>
      </c>
      <c r="S3830">
        <v>1</v>
      </c>
      <c r="T3830">
        <v>78</v>
      </c>
      <c r="U3830">
        <v>0</v>
      </c>
      <c r="W3830" t="s">
        <v>106</v>
      </c>
    </row>
    <row r="3831" spans="1:45" x14ac:dyDescent="0.35">
      <c r="A3831" t="s">
        <v>45</v>
      </c>
      <c r="B3831" t="s">
        <v>8332</v>
      </c>
      <c r="C3831" t="s">
        <v>47</v>
      </c>
      <c r="D3831" t="s">
        <v>45</v>
      </c>
      <c r="E3831" t="s">
        <v>45</v>
      </c>
      <c r="F3831" t="s">
        <v>49</v>
      </c>
      <c r="G3831" t="s">
        <v>8792</v>
      </c>
      <c r="H3831" t="s">
        <v>8794</v>
      </c>
      <c r="J3831" t="str">
        <f>HYPERLINK("https://www.facebook.com/357267201017935_763902162434836","https://www.facebook.com/357267201017935_763902162434836")</f>
        <v>https://www.facebook.com/357267201017935_763902162434836</v>
      </c>
      <c r="O3831">
        <v>0</v>
      </c>
      <c r="P3831">
        <v>0</v>
      </c>
      <c r="Q3831">
        <v>0</v>
      </c>
      <c r="S3831">
        <v>9</v>
      </c>
      <c r="T3831">
        <v>140</v>
      </c>
      <c r="U3831">
        <v>15</v>
      </c>
      <c r="W3831" t="s">
        <v>106</v>
      </c>
    </row>
    <row r="3832" spans="1:45" x14ac:dyDescent="0.35">
      <c r="A3832" t="s">
        <v>45</v>
      </c>
      <c r="B3832" t="s">
        <v>8332</v>
      </c>
      <c r="C3832" t="s">
        <v>139</v>
      </c>
      <c r="D3832" t="s">
        <v>190</v>
      </c>
      <c r="E3832" t="s">
        <v>45</v>
      </c>
      <c r="F3832" t="s">
        <v>49</v>
      </c>
      <c r="G3832" t="s">
        <v>8795</v>
      </c>
      <c r="H3832" t="s">
        <v>8796</v>
      </c>
      <c r="J3832" t="str">
        <f>HYPERLINK("https://twitter.com/FinoPaymntsBank/status/1753380241349677235","https://twitter.com/FinoPaymntsBank/status/1753380241349677235")</f>
        <v>https://twitter.com/FinoPaymntsBank/status/1753380241349677235</v>
      </c>
      <c r="K3832" t="s">
        <v>145</v>
      </c>
      <c r="O3832">
        <v>0</v>
      </c>
      <c r="P3832">
        <v>0</v>
      </c>
      <c r="Q3832">
        <v>8355</v>
      </c>
      <c r="R3832" t="s">
        <v>193</v>
      </c>
      <c r="S3832">
        <v>0</v>
      </c>
      <c r="T3832">
        <v>0</v>
      </c>
      <c r="U3832">
        <v>0</v>
      </c>
      <c r="W3832" t="s">
        <v>146</v>
      </c>
    </row>
    <row r="3833" spans="1:45" x14ac:dyDescent="0.35">
      <c r="A3833" t="s">
        <v>45</v>
      </c>
      <c r="B3833" t="s">
        <v>8332</v>
      </c>
      <c r="C3833" t="s">
        <v>47</v>
      </c>
      <c r="D3833" t="s">
        <v>8797</v>
      </c>
      <c r="E3833" t="s">
        <v>8797</v>
      </c>
      <c r="F3833" t="s">
        <v>49</v>
      </c>
      <c r="G3833" t="s">
        <v>8798</v>
      </c>
      <c r="H3833" t="s">
        <v>8799</v>
      </c>
      <c r="J3833" t="str">
        <f>HYPERLINK("https://www.facebook.com/454965103328545/videos/3697954183759550?comment_id=1499032867328921","https://www.facebook.com/454965103328545/videos/3697954183759550?comment_id=1499032867328921")</f>
        <v>https://www.facebook.com/454965103328545/videos/3697954183759550?comment_id=1499032867328921</v>
      </c>
      <c r="O3833">
        <v>0</v>
      </c>
      <c r="P3833">
        <v>0</v>
      </c>
      <c r="Q3833">
        <v>0</v>
      </c>
      <c r="S3833">
        <v>0</v>
      </c>
      <c r="T3833">
        <v>0</v>
      </c>
      <c r="U3833">
        <v>0</v>
      </c>
      <c r="W3833" t="s">
        <v>62</v>
      </c>
      <c r="AP3833" t="s">
        <v>147</v>
      </c>
    </row>
    <row r="3834" spans="1:45" x14ac:dyDescent="0.35">
      <c r="A3834" t="s">
        <v>45</v>
      </c>
      <c r="B3834" t="s">
        <v>8332</v>
      </c>
      <c r="C3834" t="s">
        <v>47</v>
      </c>
      <c r="D3834" t="s">
        <v>8797</v>
      </c>
      <c r="E3834" t="s">
        <v>8797</v>
      </c>
      <c r="F3834" t="s">
        <v>49</v>
      </c>
      <c r="G3834" t="s">
        <v>8800</v>
      </c>
      <c r="H3834" t="s">
        <v>8801</v>
      </c>
      <c r="J3834" t="str">
        <f>HYPERLINK("https://www.facebook.com/454965103328545/videos/3697954183759550?comment_id=837336141495110","https://www.facebook.com/454965103328545/videos/3697954183759550?comment_id=837336141495110")</f>
        <v>https://www.facebook.com/454965103328545/videos/3697954183759550?comment_id=837336141495110</v>
      </c>
      <c r="O3834">
        <v>0</v>
      </c>
      <c r="P3834">
        <v>0</v>
      </c>
      <c r="Q3834">
        <v>0</v>
      </c>
      <c r="S3834">
        <v>0</v>
      </c>
      <c r="T3834">
        <v>0</v>
      </c>
      <c r="U3834">
        <v>0</v>
      </c>
      <c r="W3834" t="s">
        <v>62</v>
      </c>
    </row>
    <row r="3835" spans="1:45" x14ac:dyDescent="0.35">
      <c r="A3835" t="s">
        <v>45</v>
      </c>
      <c r="B3835" t="s">
        <v>8332</v>
      </c>
      <c r="C3835" t="s">
        <v>47</v>
      </c>
      <c r="D3835" t="s">
        <v>8802</v>
      </c>
      <c r="E3835" t="s">
        <v>8802</v>
      </c>
      <c r="F3835" t="s">
        <v>49</v>
      </c>
      <c r="G3835">
        <v>250</v>
      </c>
      <c r="H3835" t="s">
        <v>8803</v>
      </c>
      <c r="J3835" t="str">
        <f>HYPERLINK("https://www.facebook.com/454965103328545/videos/3697954183759550?comment_id=717785510490243","https://www.facebook.com/454965103328545/videos/3697954183759550?comment_id=717785510490243")</f>
        <v>https://www.facebook.com/454965103328545/videos/3697954183759550?comment_id=717785510490243</v>
      </c>
      <c r="O3835">
        <v>0</v>
      </c>
      <c r="P3835">
        <v>0</v>
      </c>
      <c r="Q3835">
        <v>0</v>
      </c>
      <c r="S3835">
        <v>0</v>
      </c>
      <c r="T3835">
        <v>0</v>
      </c>
      <c r="U3835">
        <v>0</v>
      </c>
      <c r="W3835" t="s">
        <v>62</v>
      </c>
    </row>
    <row r="3836" spans="1:45" x14ac:dyDescent="0.35">
      <c r="A3836" t="s">
        <v>45</v>
      </c>
      <c r="B3836" t="s">
        <v>8332</v>
      </c>
      <c r="C3836" t="s">
        <v>47</v>
      </c>
      <c r="D3836" t="s">
        <v>8802</v>
      </c>
      <c r="E3836" t="s">
        <v>8802</v>
      </c>
      <c r="F3836" t="s">
        <v>49</v>
      </c>
      <c r="G3836">
        <v>250</v>
      </c>
      <c r="H3836" t="s">
        <v>8804</v>
      </c>
      <c r="J3836" t="str">
        <f>HYPERLINK("https://www.facebook.com/454965103328545/videos/3697954183759550?comment_id=391782813575913","https://www.facebook.com/454965103328545/videos/3697954183759550?comment_id=391782813575913")</f>
        <v>https://www.facebook.com/454965103328545/videos/3697954183759550?comment_id=391782813575913</v>
      </c>
      <c r="O3836">
        <v>0</v>
      </c>
      <c r="P3836">
        <v>0</v>
      </c>
      <c r="Q3836">
        <v>0</v>
      </c>
      <c r="S3836">
        <v>0</v>
      </c>
      <c r="T3836">
        <v>0</v>
      </c>
      <c r="U3836">
        <v>0</v>
      </c>
      <c r="W3836" t="s">
        <v>62</v>
      </c>
    </row>
    <row r="3837" spans="1:45" x14ac:dyDescent="0.35">
      <c r="A3837" t="s">
        <v>45</v>
      </c>
      <c r="B3837" t="s">
        <v>8332</v>
      </c>
      <c r="C3837" t="s">
        <v>47</v>
      </c>
      <c r="D3837" t="s">
        <v>8805</v>
      </c>
      <c r="E3837" t="s">
        <v>8805</v>
      </c>
      <c r="F3837" t="s">
        <v>49</v>
      </c>
      <c r="G3837" t="s">
        <v>8806</v>
      </c>
      <c r="H3837" t="s">
        <v>8807</v>
      </c>
      <c r="J3837" t="str">
        <f>HYPERLINK("https://www.facebook.com/454965103328545/videos/3697954183759550?comment_id=905033947781345","https://www.facebook.com/454965103328545/videos/3697954183759550?comment_id=905033947781345")</f>
        <v>https://www.facebook.com/454965103328545/videos/3697954183759550?comment_id=905033947781345</v>
      </c>
      <c r="O3837">
        <v>0</v>
      </c>
      <c r="P3837">
        <v>0</v>
      </c>
      <c r="Q3837">
        <v>0</v>
      </c>
      <c r="S3837">
        <v>0</v>
      </c>
      <c r="T3837">
        <v>0</v>
      </c>
      <c r="U3837">
        <v>0</v>
      </c>
      <c r="W3837" t="s">
        <v>62</v>
      </c>
    </row>
    <row r="3838" spans="1:45" x14ac:dyDescent="0.35">
      <c r="A3838" t="s">
        <v>45</v>
      </c>
      <c r="B3838" t="s">
        <v>8332</v>
      </c>
      <c r="C3838" t="s">
        <v>47</v>
      </c>
      <c r="D3838" t="s">
        <v>8808</v>
      </c>
      <c r="E3838" t="s">
        <v>8808</v>
      </c>
      <c r="F3838" t="s">
        <v>76</v>
      </c>
      <c r="G3838" t="s">
        <v>8809</v>
      </c>
      <c r="H3838" t="s">
        <v>8810</v>
      </c>
      <c r="J3838" t="str">
        <f>HYPERLINK("https://www.facebook.com/454965103328545/videos/3697954183759550?comment_id=889653859618270","https://www.facebook.com/454965103328545/videos/3697954183759550?comment_id=889653859618270")</f>
        <v>https://www.facebook.com/454965103328545/videos/3697954183759550?comment_id=889653859618270</v>
      </c>
      <c r="O3838">
        <v>0</v>
      </c>
      <c r="P3838">
        <v>0</v>
      </c>
      <c r="Q3838">
        <v>0</v>
      </c>
      <c r="S3838">
        <v>0</v>
      </c>
      <c r="T3838">
        <v>0</v>
      </c>
      <c r="U3838">
        <v>0</v>
      </c>
      <c r="W3838" t="s">
        <v>62</v>
      </c>
      <c r="AS3838" t="s">
        <v>375</v>
      </c>
    </row>
    <row r="3839" spans="1:45" x14ac:dyDescent="0.35">
      <c r="A3839" t="s">
        <v>45</v>
      </c>
      <c r="B3839" t="s">
        <v>8332</v>
      </c>
      <c r="C3839" t="s">
        <v>47</v>
      </c>
      <c r="D3839" t="s">
        <v>1861</v>
      </c>
      <c r="E3839" t="s">
        <v>1861</v>
      </c>
      <c r="F3839" t="s">
        <v>49</v>
      </c>
      <c r="G3839" t="s">
        <v>8811</v>
      </c>
      <c r="H3839" t="s">
        <v>8812</v>
      </c>
      <c r="J3839" t="str">
        <f>HYPERLINK("https://www.facebook.com/454965103328545/videos/3697954183759550?comment_id=238567522632259","https://www.facebook.com/454965103328545/videos/3697954183759550?comment_id=238567522632259")</f>
        <v>https://www.facebook.com/454965103328545/videos/3697954183759550?comment_id=238567522632259</v>
      </c>
      <c r="O3839">
        <v>0</v>
      </c>
      <c r="P3839">
        <v>0</v>
      </c>
      <c r="Q3839">
        <v>0</v>
      </c>
      <c r="S3839">
        <v>0</v>
      </c>
      <c r="T3839">
        <v>0</v>
      </c>
      <c r="U3839">
        <v>0</v>
      </c>
      <c r="W3839" t="s">
        <v>62</v>
      </c>
    </row>
    <row r="3840" spans="1:45" x14ac:dyDescent="0.35">
      <c r="A3840" t="s">
        <v>45</v>
      </c>
      <c r="B3840" t="s">
        <v>8332</v>
      </c>
      <c r="C3840" t="s">
        <v>47</v>
      </c>
      <c r="D3840" t="s">
        <v>8813</v>
      </c>
      <c r="E3840" t="s">
        <v>8813</v>
      </c>
      <c r="F3840" t="s">
        <v>142</v>
      </c>
      <c r="G3840" t="s">
        <v>8814</v>
      </c>
      <c r="H3840" t="s">
        <v>8815</v>
      </c>
      <c r="J3840" t="str">
        <f>HYPERLINK("https://www.facebook.com/454965103328545/videos/3697954183759550?comment_id=1112198216627018","https://www.facebook.com/454965103328545/videos/3697954183759550?comment_id=1112198216627018")</f>
        <v>https://www.facebook.com/454965103328545/videos/3697954183759550?comment_id=1112198216627018</v>
      </c>
      <c r="O3840">
        <v>0</v>
      </c>
      <c r="P3840">
        <v>0</v>
      </c>
      <c r="Q3840">
        <v>0</v>
      </c>
      <c r="S3840">
        <v>0</v>
      </c>
      <c r="T3840">
        <v>0</v>
      </c>
      <c r="U3840">
        <v>0</v>
      </c>
      <c r="W3840" t="s">
        <v>62</v>
      </c>
    </row>
    <row r="3841" spans="1:45" x14ac:dyDescent="0.35">
      <c r="A3841" t="s">
        <v>45</v>
      </c>
      <c r="B3841" t="s">
        <v>8332</v>
      </c>
      <c r="C3841" t="s">
        <v>47</v>
      </c>
      <c r="D3841" t="s">
        <v>8813</v>
      </c>
      <c r="E3841" t="s">
        <v>8813</v>
      </c>
      <c r="F3841" t="s">
        <v>49</v>
      </c>
      <c r="G3841" t="s">
        <v>8816</v>
      </c>
      <c r="H3841" t="s">
        <v>8817</v>
      </c>
      <c r="J3841" t="str">
        <f>HYPERLINK("https://www.facebook.com/454965103328545/videos/3697954183759550?comment_id=342609385420198","https://www.facebook.com/454965103328545/videos/3697954183759550?comment_id=342609385420198")</f>
        <v>https://www.facebook.com/454965103328545/videos/3697954183759550?comment_id=342609385420198</v>
      </c>
      <c r="O3841">
        <v>0</v>
      </c>
      <c r="P3841">
        <v>0</v>
      </c>
      <c r="Q3841">
        <v>0</v>
      </c>
      <c r="S3841">
        <v>0</v>
      </c>
      <c r="T3841">
        <v>0</v>
      </c>
      <c r="U3841">
        <v>0</v>
      </c>
      <c r="W3841" t="s">
        <v>62</v>
      </c>
    </row>
    <row r="3842" spans="1:45" x14ac:dyDescent="0.35">
      <c r="A3842" t="s">
        <v>45</v>
      </c>
      <c r="B3842" t="s">
        <v>8332</v>
      </c>
      <c r="C3842" t="s">
        <v>47</v>
      </c>
      <c r="D3842" t="s">
        <v>811</v>
      </c>
      <c r="E3842" t="s">
        <v>811</v>
      </c>
      <c r="F3842" t="s">
        <v>49</v>
      </c>
      <c r="G3842" t="s">
        <v>8818</v>
      </c>
      <c r="H3842" t="s">
        <v>8819</v>
      </c>
      <c r="J3842" t="str">
        <f>HYPERLINK("https://www.facebook.com/454965103328545/videos/3697954183759550?comment_id=3696907627263504","https://www.facebook.com/454965103328545/videos/3697954183759550?comment_id=3696907627263504")</f>
        <v>https://www.facebook.com/454965103328545/videos/3697954183759550?comment_id=3696907627263504</v>
      </c>
      <c r="O3842">
        <v>0</v>
      </c>
      <c r="P3842">
        <v>0</v>
      </c>
      <c r="Q3842">
        <v>0</v>
      </c>
      <c r="S3842">
        <v>0</v>
      </c>
      <c r="T3842">
        <v>0</v>
      </c>
      <c r="U3842">
        <v>0</v>
      </c>
      <c r="W3842" t="s">
        <v>62</v>
      </c>
    </row>
    <row r="3843" spans="1:45" x14ac:dyDescent="0.35">
      <c r="A3843" t="s">
        <v>45</v>
      </c>
      <c r="B3843" t="s">
        <v>8332</v>
      </c>
      <c r="C3843" t="s">
        <v>47</v>
      </c>
      <c r="D3843" t="s">
        <v>8820</v>
      </c>
      <c r="E3843" t="s">
        <v>8820</v>
      </c>
      <c r="F3843" t="s">
        <v>49</v>
      </c>
      <c r="G3843" t="s">
        <v>8821</v>
      </c>
      <c r="H3843" t="s">
        <v>8822</v>
      </c>
      <c r="J3843" t="str">
        <f>HYPERLINK("https://www.facebook.com/454965103328545/videos/3697954183759550?comment_id=6998392090273447","https://www.facebook.com/454965103328545/videos/3697954183759550?comment_id=6998392090273447")</f>
        <v>https://www.facebook.com/454965103328545/videos/3697954183759550?comment_id=6998392090273447</v>
      </c>
      <c r="O3843">
        <v>0</v>
      </c>
      <c r="P3843">
        <v>0</v>
      </c>
      <c r="Q3843">
        <v>0</v>
      </c>
      <c r="S3843">
        <v>0</v>
      </c>
      <c r="T3843">
        <v>0</v>
      </c>
      <c r="U3843">
        <v>0</v>
      </c>
      <c r="W3843" t="s">
        <v>62</v>
      </c>
    </row>
    <row r="3844" spans="1:45" x14ac:dyDescent="0.35">
      <c r="A3844" t="s">
        <v>45</v>
      </c>
      <c r="B3844" t="s">
        <v>8332</v>
      </c>
      <c r="C3844" t="s">
        <v>47</v>
      </c>
      <c r="D3844" t="s">
        <v>8820</v>
      </c>
      <c r="E3844" t="s">
        <v>8820</v>
      </c>
      <c r="F3844" t="s">
        <v>49</v>
      </c>
      <c r="G3844" t="s">
        <v>131</v>
      </c>
      <c r="H3844" t="s">
        <v>8823</v>
      </c>
      <c r="J3844" t="str">
        <f>HYPERLINK("https://www.facebook.com/454965103328545/videos/3697954183759550?comment_id=755497106121637","https://www.facebook.com/454965103328545/videos/3697954183759550?comment_id=755497106121637")</f>
        <v>https://www.facebook.com/454965103328545/videos/3697954183759550?comment_id=755497106121637</v>
      </c>
      <c r="O3844">
        <v>0</v>
      </c>
      <c r="P3844">
        <v>0</v>
      </c>
      <c r="Q3844">
        <v>0</v>
      </c>
      <c r="S3844">
        <v>0</v>
      </c>
      <c r="T3844">
        <v>0</v>
      </c>
      <c r="U3844">
        <v>0</v>
      </c>
      <c r="W3844" t="s">
        <v>62</v>
      </c>
    </row>
    <row r="3845" spans="1:45" x14ac:dyDescent="0.35">
      <c r="A3845" t="s">
        <v>45</v>
      </c>
      <c r="B3845" t="s">
        <v>8332</v>
      </c>
      <c r="C3845" t="s">
        <v>47</v>
      </c>
      <c r="D3845" t="s">
        <v>3167</v>
      </c>
      <c r="E3845" t="s">
        <v>3167</v>
      </c>
      <c r="F3845" t="s">
        <v>142</v>
      </c>
      <c r="G3845" t="s">
        <v>8824</v>
      </c>
      <c r="H3845" t="s">
        <v>8825</v>
      </c>
      <c r="J3845" t="str">
        <f>HYPERLINK("https://www.facebook.com/454965103328545/videos/3697954183759550?comment_id=1572505553562223","https://www.facebook.com/454965103328545/videos/3697954183759550?comment_id=1572505553562223")</f>
        <v>https://www.facebook.com/454965103328545/videos/3697954183759550?comment_id=1572505553562223</v>
      </c>
      <c r="O3845">
        <v>0</v>
      </c>
      <c r="P3845">
        <v>0</v>
      </c>
      <c r="Q3845">
        <v>0</v>
      </c>
      <c r="S3845">
        <v>0</v>
      </c>
      <c r="T3845">
        <v>0</v>
      </c>
      <c r="U3845">
        <v>0</v>
      </c>
      <c r="W3845" t="s">
        <v>62</v>
      </c>
      <c r="AP3845" t="s">
        <v>147</v>
      </c>
      <c r="AS3845" t="s">
        <v>375</v>
      </c>
    </row>
    <row r="3846" spans="1:45" x14ac:dyDescent="0.35">
      <c r="A3846" t="s">
        <v>45</v>
      </c>
      <c r="B3846" t="s">
        <v>8332</v>
      </c>
      <c r="C3846" t="s">
        <v>47</v>
      </c>
      <c r="D3846" t="s">
        <v>7714</v>
      </c>
      <c r="E3846" t="s">
        <v>7714</v>
      </c>
      <c r="F3846" t="s">
        <v>76</v>
      </c>
      <c r="G3846" t="s">
        <v>8826</v>
      </c>
      <c r="H3846" t="s">
        <v>8827</v>
      </c>
      <c r="J3846" t="str">
        <f>HYPERLINK("https://www.facebook.com/454965103328545/videos/3697954183759550?comment_id=898811151702499","https://www.facebook.com/454965103328545/videos/3697954183759550?comment_id=898811151702499")</f>
        <v>https://www.facebook.com/454965103328545/videos/3697954183759550?comment_id=898811151702499</v>
      </c>
      <c r="O3846">
        <v>0</v>
      </c>
      <c r="P3846">
        <v>0</v>
      </c>
      <c r="Q3846">
        <v>0</v>
      </c>
      <c r="S3846">
        <v>0</v>
      </c>
      <c r="T3846">
        <v>0</v>
      </c>
      <c r="U3846">
        <v>0</v>
      </c>
      <c r="W3846" t="s">
        <v>62</v>
      </c>
    </row>
    <row r="3847" spans="1:45" x14ac:dyDescent="0.35">
      <c r="A3847" t="s">
        <v>45</v>
      </c>
      <c r="B3847" t="s">
        <v>8332</v>
      </c>
      <c r="C3847" t="s">
        <v>47</v>
      </c>
      <c r="D3847" t="s">
        <v>1598</v>
      </c>
      <c r="E3847" t="s">
        <v>1598</v>
      </c>
      <c r="F3847" t="s">
        <v>49</v>
      </c>
      <c r="G3847" t="s">
        <v>8828</v>
      </c>
      <c r="H3847" t="s">
        <v>8829</v>
      </c>
      <c r="J3847" t="str">
        <f>HYPERLINK("https://www.facebook.com/454965103328545/posts/760895469402172?comment_id=823368556216628","https://www.facebook.com/454965103328545/posts/760895469402172?comment_id=823368556216628")</f>
        <v>https://www.facebook.com/454965103328545/posts/760895469402172?comment_id=823368556216628</v>
      </c>
      <c r="O3847">
        <v>0</v>
      </c>
      <c r="P3847">
        <v>0</v>
      </c>
      <c r="Q3847">
        <v>0</v>
      </c>
      <c r="S3847">
        <v>0</v>
      </c>
      <c r="T3847">
        <v>0</v>
      </c>
      <c r="U3847">
        <v>0</v>
      </c>
      <c r="W3847" t="s">
        <v>62</v>
      </c>
    </row>
    <row r="3848" spans="1:45" x14ac:dyDescent="0.35">
      <c r="A3848" t="s">
        <v>45</v>
      </c>
      <c r="B3848" t="s">
        <v>8332</v>
      </c>
      <c r="C3848" t="s">
        <v>47</v>
      </c>
      <c r="D3848" t="s">
        <v>8830</v>
      </c>
      <c r="E3848" t="s">
        <v>8830</v>
      </c>
      <c r="F3848" t="s">
        <v>49</v>
      </c>
      <c r="G3848" t="s">
        <v>8831</v>
      </c>
      <c r="H3848" t="s">
        <v>8832</v>
      </c>
      <c r="J3848" t="str">
        <f>HYPERLINK("https://www.facebook.com/454965103328545/videos/3697954183759550?comment_id=1571042706767869","https://www.facebook.com/454965103328545/videos/3697954183759550?comment_id=1571042706767869")</f>
        <v>https://www.facebook.com/454965103328545/videos/3697954183759550?comment_id=1571042706767869</v>
      </c>
      <c r="O3848">
        <v>0</v>
      </c>
      <c r="P3848">
        <v>0</v>
      </c>
      <c r="Q3848">
        <v>0</v>
      </c>
      <c r="S3848">
        <v>0</v>
      </c>
      <c r="T3848">
        <v>0</v>
      </c>
      <c r="U3848">
        <v>0</v>
      </c>
      <c r="W3848" t="s">
        <v>62</v>
      </c>
      <c r="AS3848" t="s">
        <v>375</v>
      </c>
    </row>
    <row r="3849" spans="1:45" x14ac:dyDescent="0.35">
      <c r="A3849" t="s">
        <v>45</v>
      </c>
      <c r="B3849" t="s">
        <v>8332</v>
      </c>
      <c r="C3849" t="s">
        <v>47</v>
      </c>
      <c r="D3849" t="s">
        <v>45</v>
      </c>
      <c r="E3849" t="s">
        <v>45</v>
      </c>
      <c r="F3849" t="s">
        <v>49</v>
      </c>
      <c r="G3849" t="s">
        <v>8363</v>
      </c>
      <c r="H3849" t="s">
        <v>8833</v>
      </c>
      <c r="J3849" t="str">
        <f>HYPERLINK("https://www.facebook.com/357267201017935_394234566616900","https://www.facebook.com/357267201017935_394234566616900")</f>
        <v>https://www.facebook.com/357267201017935_394234566616900</v>
      </c>
      <c r="O3849">
        <v>0</v>
      </c>
      <c r="P3849">
        <v>0</v>
      </c>
      <c r="Q3849">
        <v>0</v>
      </c>
      <c r="S3849">
        <v>0</v>
      </c>
      <c r="T3849">
        <v>0</v>
      </c>
      <c r="U3849">
        <v>0</v>
      </c>
      <c r="W3849" t="s">
        <v>106</v>
      </c>
      <c r="AS3849" t="s">
        <v>115</v>
      </c>
    </row>
    <row r="3850" spans="1:45" x14ac:dyDescent="0.35">
      <c r="A3850" t="s">
        <v>45</v>
      </c>
      <c r="B3850" t="s">
        <v>8332</v>
      </c>
      <c r="C3850" t="s">
        <v>47</v>
      </c>
      <c r="D3850" t="s">
        <v>1598</v>
      </c>
      <c r="E3850" t="s">
        <v>1598</v>
      </c>
      <c r="F3850" t="s">
        <v>49</v>
      </c>
      <c r="G3850" t="s">
        <v>8834</v>
      </c>
      <c r="H3850" t="s">
        <v>8835</v>
      </c>
      <c r="J3850" t="str">
        <f>HYPERLINK("https://www.facebook.com/454965103328545/videos/3697954183759550?comment_id=353046794159802","https://www.facebook.com/454965103328545/videos/3697954183759550?comment_id=353046794159802")</f>
        <v>https://www.facebook.com/454965103328545/videos/3697954183759550?comment_id=353046794159802</v>
      </c>
      <c r="O3850">
        <v>0</v>
      </c>
      <c r="P3850">
        <v>0</v>
      </c>
      <c r="Q3850">
        <v>0</v>
      </c>
      <c r="S3850">
        <v>0</v>
      </c>
      <c r="T3850">
        <v>0</v>
      </c>
      <c r="U3850">
        <v>0</v>
      </c>
      <c r="W3850" t="s">
        <v>62</v>
      </c>
    </row>
    <row r="3851" spans="1:45" x14ac:dyDescent="0.35">
      <c r="A3851" t="s">
        <v>45</v>
      </c>
      <c r="B3851" t="s">
        <v>8332</v>
      </c>
      <c r="C3851" t="s">
        <v>47</v>
      </c>
      <c r="D3851" t="s">
        <v>45</v>
      </c>
      <c r="E3851" t="s">
        <v>45</v>
      </c>
      <c r="F3851" t="s">
        <v>49</v>
      </c>
      <c r="G3851" t="s">
        <v>8363</v>
      </c>
      <c r="H3851" t="s">
        <v>8836</v>
      </c>
      <c r="J3851" t="str">
        <f>HYPERLINK("https://www.facebook.com/357267201017935_1737568356724519","https://www.facebook.com/357267201017935_1737568356724519")</f>
        <v>https://www.facebook.com/357267201017935_1737568356724519</v>
      </c>
      <c r="O3851">
        <v>0</v>
      </c>
      <c r="P3851">
        <v>0</v>
      </c>
      <c r="Q3851">
        <v>0</v>
      </c>
      <c r="S3851">
        <v>0</v>
      </c>
      <c r="T3851">
        <v>0</v>
      </c>
      <c r="U3851">
        <v>0</v>
      </c>
      <c r="W3851" t="s">
        <v>106</v>
      </c>
      <c r="AS3851" t="s">
        <v>115</v>
      </c>
    </row>
    <row r="3852" spans="1:45" x14ac:dyDescent="0.35">
      <c r="A3852" t="s">
        <v>45</v>
      </c>
      <c r="B3852" t="s">
        <v>8332</v>
      </c>
      <c r="C3852" t="s">
        <v>47</v>
      </c>
      <c r="D3852" t="s">
        <v>8837</v>
      </c>
      <c r="E3852" t="s">
        <v>8837</v>
      </c>
      <c r="F3852" t="s">
        <v>49</v>
      </c>
      <c r="G3852" t="s">
        <v>8838</v>
      </c>
      <c r="H3852" t="s">
        <v>8839</v>
      </c>
      <c r="J3852" t="str">
        <f>HYPERLINK("https://www.facebook.com/454965103328545/videos/3697954183759550?comment_id=1623541318417545","https://www.facebook.com/454965103328545/videos/3697954183759550?comment_id=1623541318417545")</f>
        <v>https://www.facebook.com/454965103328545/videos/3697954183759550?comment_id=1623541318417545</v>
      </c>
      <c r="O3852">
        <v>0</v>
      </c>
      <c r="P3852">
        <v>0</v>
      </c>
      <c r="Q3852">
        <v>0</v>
      </c>
      <c r="S3852">
        <v>0</v>
      </c>
      <c r="T3852">
        <v>0</v>
      </c>
      <c r="U3852">
        <v>0</v>
      </c>
      <c r="W3852" t="s">
        <v>62</v>
      </c>
      <c r="AS3852" t="s">
        <v>375</v>
      </c>
    </row>
    <row r="3853" spans="1:45" x14ac:dyDescent="0.35">
      <c r="A3853" t="s">
        <v>45</v>
      </c>
      <c r="B3853" t="s">
        <v>8332</v>
      </c>
      <c r="C3853" t="s">
        <v>47</v>
      </c>
      <c r="D3853" t="s">
        <v>8840</v>
      </c>
      <c r="E3853" t="s">
        <v>8840</v>
      </c>
      <c r="F3853" t="s">
        <v>49</v>
      </c>
      <c r="G3853" t="s">
        <v>8841</v>
      </c>
      <c r="H3853" t="s">
        <v>8842</v>
      </c>
      <c r="J3853" t="str">
        <f>HYPERLINK("https://www.facebook.com/454965103328545/videos/3697954183759550?comment_id=829442968941274&amp;reply_comment_id=7035263763196076","https://www.facebook.com/454965103328545/videos/3697954183759550?comment_id=829442968941274&amp;reply_comment_id=7035263763196076")</f>
        <v>https://www.facebook.com/454965103328545/videos/3697954183759550?comment_id=829442968941274&amp;reply_comment_id=7035263763196076</v>
      </c>
      <c r="O3853">
        <v>0</v>
      </c>
      <c r="P3853">
        <v>0</v>
      </c>
      <c r="Q3853">
        <v>0</v>
      </c>
      <c r="S3853">
        <v>0</v>
      </c>
      <c r="T3853">
        <v>0</v>
      </c>
      <c r="U3853">
        <v>0</v>
      </c>
      <c r="W3853" t="s">
        <v>62</v>
      </c>
      <c r="AP3853" t="s">
        <v>101</v>
      </c>
    </row>
    <row r="3854" spans="1:45" x14ac:dyDescent="0.35">
      <c r="A3854" t="s">
        <v>45</v>
      </c>
      <c r="B3854" t="s">
        <v>8332</v>
      </c>
      <c r="C3854" t="s">
        <v>139</v>
      </c>
      <c r="D3854" t="s">
        <v>8268</v>
      </c>
      <c r="E3854" t="s">
        <v>8269</v>
      </c>
      <c r="F3854" t="s">
        <v>49</v>
      </c>
      <c r="G3854" t="s">
        <v>8843</v>
      </c>
      <c r="H3854" t="s">
        <v>8844</v>
      </c>
      <c r="J3854" t="str">
        <f>HYPERLINK("https://twitter.com/tushar_panda_/status/1753376073944100993","https://twitter.com/tushar_panda_/status/1753376073944100993")</f>
        <v>https://twitter.com/tushar_panda_/status/1753376073944100993</v>
      </c>
      <c r="K3854" t="s">
        <v>145</v>
      </c>
      <c r="O3854">
        <v>0</v>
      </c>
      <c r="P3854">
        <v>0</v>
      </c>
      <c r="Q3854">
        <v>5</v>
      </c>
      <c r="S3854">
        <v>0</v>
      </c>
      <c r="T3854">
        <v>0</v>
      </c>
      <c r="U3854">
        <v>0</v>
      </c>
      <c r="W3854" t="s">
        <v>146</v>
      </c>
    </row>
    <row r="3855" spans="1:45" x14ac:dyDescent="0.35">
      <c r="A3855" t="s">
        <v>45</v>
      </c>
      <c r="B3855" t="s">
        <v>8332</v>
      </c>
      <c r="C3855" t="s">
        <v>47</v>
      </c>
      <c r="D3855" t="s">
        <v>8845</v>
      </c>
      <c r="E3855" t="s">
        <v>8845</v>
      </c>
      <c r="F3855" t="s">
        <v>49</v>
      </c>
      <c r="G3855" t="s">
        <v>8846</v>
      </c>
      <c r="H3855" t="s">
        <v>8847</v>
      </c>
      <c r="J3855" t="str">
        <f>HYPERLINK("https://www.facebook.com/454965103328545/videos/3697954183759550?comment_id=891571616004244","https://www.facebook.com/454965103328545/videos/3697954183759550?comment_id=891571616004244")</f>
        <v>https://www.facebook.com/454965103328545/videos/3697954183759550?comment_id=891571616004244</v>
      </c>
      <c r="O3855">
        <v>0</v>
      </c>
      <c r="P3855">
        <v>0</v>
      </c>
      <c r="Q3855">
        <v>0</v>
      </c>
      <c r="S3855">
        <v>0</v>
      </c>
      <c r="T3855">
        <v>0</v>
      </c>
      <c r="U3855">
        <v>0</v>
      </c>
      <c r="W3855" t="s">
        <v>62</v>
      </c>
    </row>
    <row r="3856" spans="1:45" x14ac:dyDescent="0.35">
      <c r="A3856" t="s">
        <v>45</v>
      </c>
      <c r="B3856" t="s">
        <v>8332</v>
      </c>
      <c r="C3856" t="s">
        <v>47</v>
      </c>
      <c r="D3856" t="s">
        <v>8845</v>
      </c>
      <c r="E3856" t="s">
        <v>8845</v>
      </c>
      <c r="F3856" t="s">
        <v>49</v>
      </c>
      <c r="G3856" t="s">
        <v>8848</v>
      </c>
      <c r="H3856" t="s">
        <v>8849</v>
      </c>
      <c r="J3856" t="str">
        <f>HYPERLINK("https://www.facebook.com/454965103328545/videos/3697954183759550?comment_id=218648598002408","https://www.facebook.com/454965103328545/videos/3697954183759550?comment_id=218648598002408")</f>
        <v>https://www.facebook.com/454965103328545/videos/3697954183759550?comment_id=218648598002408</v>
      </c>
      <c r="O3856">
        <v>0</v>
      </c>
      <c r="P3856">
        <v>0</v>
      </c>
      <c r="Q3856">
        <v>0</v>
      </c>
      <c r="S3856">
        <v>0</v>
      </c>
      <c r="T3856">
        <v>0</v>
      </c>
      <c r="U3856">
        <v>0</v>
      </c>
      <c r="W3856" t="s">
        <v>62</v>
      </c>
    </row>
    <row r="3857" spans="1:42" x14ac:dyDescent="0.35">
      <c r="A3857" t="s">
        <v>45</v>
      </c>
      <c r="B3857" t="s">
        <v>8332</v>
      </c>
      <c r="C3857" t="s">
        <v>47</v>
      </c>
      <c r="D3857" t="s">
        <v>1598</v>
      </c>
      <c r="E3857" t="s">
        <v>1598</v>
      </c>
      <c r="F3857" t="s">
        <v>76</v>
      </c>
      <c r="G3857" t="s">
        <v>8850</v>
      </c>
      <c r="H3857" t="s">
        <v>8851</v>
      </c>
      <c r="J3857" t="str">
        <f>HYPERLINK("https://www.facebook.com/454965103328545/videos/3697954183759550?comment_id=395315659569977","https://www.facebook.com/454965103328545/videos/3697954183759550?comment_id=395315659569977")</f>
        <v>https://www.facebook.com/454965103328545/videos/3697954183759550?comment_id=395315659569977</v>
      </c>
      <c r="O3857">
        <v>0</v>
      </c>
      <c r="P3857">
        <v>0</v>
      </c>
      <c r="Q3857">
        <v>0</v>
      </c>
      <c r="S3857">
        <v>0</v>
      </c>
      <c r="T3857">
        <v>0</v>
      </c>
      <c r="U3857">
        <v>0</v>
      </c>
      <c r="W3857" t="s">
        <v>62</v>
      </c>
    </row>
    <row r="3858" spans="1:42" x14ac:dyDescent="0.35">
      <c r="A3858" t="s">
        <v>45</v>
      </c>
      <c r="B3858" t="s">
        <v>8332</v>
      </c>
      <c r="C3858" t="s">
        <v>47</v>
      </c>
      <c r="D3858" t="s">
        <v>8845</v>
      </c>
      <c r="E3858" t="s">
        <v>8845</v>
      </c>
      <c r="F3858" t="s">
        <v>49</v>
      </c>
      <c r="G3858" t="s">
        <v>8846</v>
      </c>
      <c r="H3858" t="s">
        <v>8852</v>
      </c>
      <c r="J3858" t="str">
        <f>HYPERLINK("https://www.facebook.com/454965103328545/videos/3697954183759550?comment_id=764422855050334","https://www.facebook.com/454965103328545/videos/3697954183759550?comment_id=764422855050334")</f>
        <v>https://www.facebook.com/454965103328545/videos/3697954183759550?comment_id=764422855050334</v>
      </c>
      <c r="O3858">
        <v>0</v>
      </c>
      <c r="P3858">
        <v>0</v>
      </c>
      <c r="Q3858">
        <v>0</v>
      </c>
      <c r="S3858">
        <v>0</v>
      </c>
      <c r="T3858">
        <v>0</v>
      </c>
      <c r="U3858">
        <v>0</v>
      </c>
      <c r="W3858" t="s">
        <v>62</v>
      </c>
    </row>
    <row r="3859" spans="1:42" x14ac:dyDescent="0.35">
      <c r="A3859" t="s">
        <v>45</v>
      </c>
      <c r="B3859" t="s">
        <v>8332</v>
      </c>
      <c r="C3859" t="s">
        <v>47</v>
      </c>
      <c r="D3859" t="s">
        <v>8845</v>
      </c>
      <c r="E3859" t="s">
        <v>8845</v>
      </c>
      <c r="F3859" t="s">
        <v>49</v>
      </c>
      <c r="G3859" t="s">
        <v>8846</v>
      </c>
      <c r="H3859" t="s">
        <v>8853</v>
      </c>
      <c r="J3859" t="str">
        <f>HYPERLINK("https://www.facebook.com/454965103328545/videos/3697954183759550?comment_id=417524527290790","https://www.facebook.com/454965103328545/videos/3697954183759550?comment_id=417524527290790")</f>
        <v>https://www.facebook.com/454965103328545/videos/3697954183759550?comment_id=417524527290790</v>
      </c>
      <c r="O3859">
        <v>0</v>
      </c>
      <c r="P3859">
        <v>0</v>
      </c>
      <c r="Q3859">
        <v>0</v>
      </c>
      <c r="S3859">
        <v>0</v>
      </c>
      <c r="T3859">
        <v>0</v>
      </c>
      <c r="U3859">
        <v>0</v>
      </c>
      <c r="W3859" t="s">
        <v>62</v>
      </c>
    </row>
    <row r="3860" spans="1:42" x14ac:dyDescent="0.35">
      <c r="A3860" t="s">
        <v>45</v>
      </c>
      <c r="B3860" t="s">
        <v>8332</v>
      </c>
      <c r="C3860" t="s">
        <v>47</v>
      </c>
      <c r="D3860" t="s">
        <v>8845</v>
      </c>
      <c r="E3860" t="s">
        <v>8845</v>
      </c>
      <c r="F3860" t="s">
        <v>49</v>
      </c>
      <c r="G3860" t="s">
        <v>8846</v>
      </c>
      <c r="H3860" t="s">
        <v>8854</v>
      </c>
      <c r="J3860" t="str">
        <f>HYPERLINK("https://www.facebook.com/454965103328545/videos/3697954183759550?comment_id=1051777772588140","https://www.facebook.com/454965103328545/videos/3697954183759550?comment_id=1051777772588140")</f>
        <v>https://www.facebook.com/454965103328545/videos/3697954183759550?comment_id=1051777772588140</v>
      </c>
      <c r="O3860">
        <v>0</v>
      </c>
      <c r="P3860">
        <v>0</v>
      </c>
      <c r="Q3860">
        <v>0</v>
      </c>
      <c r="S3860">
        <v>0</v>
      </c>
      <c r="T3860">
        <v>0</v>
      </c>
      <c r="U3860">
        <v>0</v>
      </c>
      <c r="W3860" t="s">
        <v>62</v>
      </c>
    </row>
    <row r="3861" spans="1:42" x14ac:dyDescent="0.35">
      <c r="A3861" t="s">
        <v>45</v>
      </c>
      <c r="B3861" t="s">
        <v>8332</v>
      </c>
      <c r="C3861" t="s">
        <v>47</v>
      </c>
      <c r="D3861" t="s">
        <v>8845</v>
      </c>
      <c r="E3861" t="s">
        <v>8845</v>
      </c>
      <c r="F3861" t="s">
        <v>49</v>
      </c>
      <c r="G3861" t="s">
        <v>8855</v>
      </c>
      <c r="H3861" t="s">
        <v>8856</v>
      </c>
      <c r="J3861" t="str">
        <f>HYPERLINK("https://www.facebook.com/454965103328545/videos/3697954183759550?comment_id=928107978338490","https://www.facebook.com/454965103328545/videos/3697954183759550?comment_id=928107978338490")</f>
        <v>https://www.facebook.com/454965103328545/videos/3697954183759550?comment_id=928107978338490</v>
      </c>
      <c r="O3861">
        <v>0</v>
      </c>
      <c r="P3861">
        <v>0</v>
      </c>
      <c r="Q3861">
        <v>0</v>
      </c>
      <c r="S3861">
        <v>0</v>
      </c>
      <c r="T3861">
        <v>0</v>
      </c>
      <c r="U3861">
        <v>0</v>
      </c>
      <c r="W3861" t="s">
        <v>62</v>
      </c>
    </row>
    <row r="3862" spans="1:42" x14ac:dyDescent="0.35">
      <c r="A3862" t="s">
        <v>45</v>
      </c>
      <c r="B3862" t="s">
        <v>8332</v>
      </c>
      <c r="C3862" t="s">
        <v>47</v>
      </c>
      <c r="D3862" t="s">
        <v>8857</v>
      </c>
      <c r="E3862" t="s">
        <v>8857</v>
      </c>
      <c r="F3862" t="s">
        <v>49</v>
      </c>
      <c r="G3862" t="s">
        <v>56</v>
      </c>
      <c r="H3862" t="s">
        <v>8858</v>
      </c>
      <c r="J3862" t="str">
        <f>HYPERLINK("https://www.facebook.com/357267201017935/inbox/6547180772026516/","https://www.facebook.com/357267201017935/inbox/6547180772026516/")</f>
        <v>https://www.facebook.com/357267201017935/inbox/6547180772026516/</v>
      </c>
      <c r="O3862">
        <v>0</v>
      </c>
      <c r="P3862">
        <v>0</v>
      </c>
      <c r="Q3862">
        <v>0</v>
      </c>
      <c r="S3862">
        <v>0</v>
      </c>
      <c r="T3862">
        <v>0</v>
      </c>
      <c r="U3862">
        <v>0</v>
      </c>
      <c r="W3862" t="s">
        <v>52</v>
      </c>
    </row>
    <row r="3863" spans="1:42" x14ac:dyDescent="0.35">
      <c r="A3863" t="s">
        <v>45</v>
      </c>
      <c r="B3863" t="s">
        <v>8332</v>
      </c>
      <c r="C3863" t="s">
        <v>47</v>
      </c>
      <c r="D3863" t="s">
        <v>8845</v>
      </c>
      <c r="E3863" t="s">
        <v>8845</v>
      </c>
      <c r="F3863" t="s">
        <v>49</v>
      </c>
      <c r="G3863" t="s">
        <v>8846</v>
      </c>
      <c r="H3863" t="s">
        <v>8859</v>
      </c>
      <c r="J3863" t="str">
        <f>HYPERLINK("https://www.facebook.com/454965103328545/videos/3697954183759550?comment_id=932674284528443","https://www.facebook.com/454965103328545/videos/3697954183759550?comment_id=932674284528443")</f>
        <v>https://www.facebook.com/454965103328545/videos/3697954183759550?comment_id=932674284528443</v>
      </c>
      <c r="O3863">
        <v>0</v>
      </c>
      <c r="P3863">
        <v>0</v>
      </c>
      <c r="Q3863">
        <v>0</v>
      </c>
      <c r="S3863">
        <v>0</v>
      </c>
      <c r="T3863">
        <v>0</v>
      </c>
      <c r="U3863">
        <v>0</v>
      </c>
      <c r="W3863" t="s">
        <v>62</v>
      </c>
    </row>
    <row r="3864" spans="1:42" x14ac:dyDescent="0.35">
      <c r="A3864" t="s">
        <v>45</v>
      </c>
      <c r="B3864" t="s">
        <v>8332</v>
      </c>
      <c r="C3864" t="s">
        <v>47</v>
      </c>
      <c r="D3864" t="s">
        <v>8845</v>
      </c>
      <c r="E3864" t="s">
        <v>8845</v>
      </c>
      <c r="F3864" t="s">
        <v>49</v>
      </c>
      <c r="G3864" t="s">
        <v>8860</v>
      </c>
      <c r="H3864" t="s">
        <v>8861</v>
      </c>
      <c r="J3864" t="str">
        <f>HYPERLINK("https://www.facebook.com/454965103328545/videos/3697954183759550?comment_id=624899016429561","https://www.facebook.com/454965103328545/videos/3697954183759550?comment_id=624899016429561")</f>
        <v>https://www.facebook.com/454965103328545/videos/3697954183759550?comment_id=624899016429561</v>
      </c>
      <c r="O3864">
        <v>0</v>
      </c>
      <c r="P3864">
        <v>0</v>
      </c>
      <c r="Q3864">
        <v>0</v>
      </c>
      <c r="S3864">
        <v>0</v>
      </c>
      <c r="T3864">
        <v>0</v>
      </c>
      <c r="U3864">
        <v>0</v>
      </c>
      <c r="W3864" t="s">
        <v>62</v>
      </c>
    </row>
    <row r="3865" spans="1:42" x14ac:dyDescent="0.35">
      <c r="A3865" t="s">
        <v>45</v>
      </c>
      <c r="B3865" t="s">
        <v>8332</v>
      </c>
      <c r="C3865" t="s">
        <v>47</v>
      </c>
      <c r="D3865" t="s">
        <v>8862</v>
      </c>
      <c r="E3865" t="s">
        <v>8862</v>
      </c>
      <c r="F3865" t="s">
        <v>49</v>
      </c>
      <c r="G3865" t="s">
        <v>459</v>
      </c>
      <c r="H3865" t="s">
        <v>8863</v>
      </c>
      <c r="J3865" t="str">
        <f>HYPERLINK("https://www.facebook.com/454965103328545/videos/3697954183759550?comment_id=798150048815381","https://www.facebook.com/454965103328545/videos/3697954183759550?comment_id=798150048815381")</f>
        <v>https://www.facebook.com/454965103328545/videos/3697954183759550?comment_id=798150048815381</v>
      </c>
      <c r="O3865">
        <v>0</v>
      </c>
      <c r="P3865">
        <v>0</v>
      </c>
      <c r="Q3865">
        <v>0</v>
      </c>
      <c r="S3865">
        <v>0</v>
      </c>
      <c r="T3865">
        <v>0</v>
      </c>
      <c r="U3865">
        <v>0</v>
      </c>
      <c r="W3865" t="s">
        <v>62</v>
      </c>
    </row>
    <row r="3866" spans="1:42" x14ac:dyDescent="0.35">
      <c r="A3866" t="s">
        <v>45</v>
      </c>
      <c r="B3866" t="s">
        <v>8332</v>
      </c>
      <c r="C3866" t="s">
        <v>47</v>
      </c>
      <c r="D3866" t="s">
        <v>1954</v>
      </c>
      <c r="E3866" t="s">
        <v>1954</v>
      </c>
      <c r="F3866" t="s">
        <v>142</v>
      </c>
      <c r="G3866" t="s">
        <v>8864</v>
      </c>
      <c r="H3866" t="s">
        <v>8865</v>
      </c>
      <c r="J3866" t="str">
        <f>HYPERLINK("https://www.facebook.com/454965103328545/videos/3697954183759550?comment_id=1780124795828880","https://www.facebook.com/454965103328545/videos/3697954183759550?comment_id=1780124795828880")</f>
        <v>https://www.facebook.com/454965103328545/videos/3697954183759550?comment_id=1780124795828880</v>
      </c>
      <c r="O3866">
        <v>0</v>
      </c>
      <c r="P3866">
        <v>0</v>
      </c>
      <c r="Q3866">
        <v>0</v>
      </c>
      <c r="S3866">
        <v>0</v>
      </c>
      <c r="T3866">
        <v>0</v>
      </c>
      <c r="U3866">
        <v>0</v>
      </c>
      <c r="W3866" t="s">
        <v>62</v>
      </c>
      <c r="AP3866" t="s">
        <v>101</v>
      </c>
    </row>
    <row r="3867" spans="1:42" x14ac:dyDescent="0.35">
      <c r="A3867" t="s">
        <v>45</v>
      </c>
      <c r="B3867" t="s">
        <v>8332</v>
      </c>
      <c r="C3867" t="s">
        <v>47</v>
      </c>
      <c r="D3867" t="s">
        <v>8845</v>
      </c>
      <c r="E3867" t="s">
        <v>8845</v>
      </c>
      <c r="F3867" t="s">
        <v>49</v>
      </c>
      <c r="G3867" t="s">
        <v>8866</v>
      </c>
      <c r="H3867" t="s">
        <v>8867</v>
      </c>
      <c r="J3867" t="str">
        <f>HYPERLINK("https://www.facebook.com/454965103328545/videos/3697954183759550?comment_id=394793013194456","https://www.facebook.com/454965103328545/videos/3697954183759550?comment_id=394793013194456")</f>
        <v>https://www.facebook.com/454965103328545/videos/3697954183759550?comment_id=394793013194456</v>
      </c>
      <c r="O3867">
        <v>0</v>
      </c>
      <c r="P3867">
        <v>0</v>
      </c>
      <c r="Q3867">
        <v>0</v>
      </c>
      <c r="S3867">
        <v>0</v>
      </c>
      <c r="T3867">
        <v>0</v>
      </c>
      <c r="U3867">
        <v>0</v>
      </c>
      <c r="W3867" t="s">
        <v>62</v>
      </c>
    </row>
    <row r="3868" spans="1:42" x14ac:dyDescent="0.35">
      <c r="A3868" t="s">
        <v>45</v>
      </c>
      <c r="B3868" t="s">
        <v>8332</v>
      </c>
      <c r="C3868" t="s">
        <v>47</v>
      </c>
      <c r="D3868" t="s">
        <v>8845</v>
      </c>
      <c r="E3868" t="s">
        <v>8845</v>
      </c>
      <c r="F3868" t="s">
        <v>49</v>
      </c>
      <c r="G3868" t="s">
        <v>8866</v>
      </c>
      <c r="H3868" t="s">
        <v>8868</v>
      </c>
      <c r="J3868" t="str">
        <f>HYPERLINK("https://www.facebook.com/454965103328545/videos/3697954183759550?comment_id=1070562164282143","https://www.facebook.com/454965103328545/videos/3697954183759550?comment_id=1070562164282143")</f>
        <v>https://www.facebook.com/454965103328545/videos/3697954183759550?comment_id=1070562164282143</v>
      </c>
      <c r="O3868">
        <v>0</v>
      </c>
      <c r="P3868">
        <v>0</v>
      </c>
      <c r="Q3868">
        <v>0</v>
      </c>
      <c r="S3868">
        <v>0</v>
      </c>
      <c r="T3868">
        <v>0</v>
      </c>
      <c r="U3868">
        <v>0</v>
      </c>
      <c r="W3868" t="s">
        <v>62</v>
      </c>
    </row>
    <row r="3869" spans="1:42" x14ac:dyDescent="0.35">
      <c r="A3869" t="s">
        <v>45</v>
      </c>
      <c r="B3869" t="s">
        <v>8332</v>
      </c>
      <c r="C3869" t="s">
        <v>47</v>
      </c>
      <c r="D3869" t="s">
        <v>1954</v>
      </c>
      <c r="E3869" t="s">
        <v>1954</v>
      </c>
      <c r="F3869" t="s">
        <v>49</v>
      </c>
      <c r="G3869" t="s">
        <v>8869</v>
      </c>
      <c r="H3869" t="s">
        <v>8870</v>
      </c>
      <c r="J3869" t="str">
        <f>HYPERLINK("https://www.facebook.com/454965103328545/videos/3697954183759550?comment_id=1805967766569094","https://www.facebook.com/454965103328545/videos/3697954183759550?comment_id=1805967766569094")</f>
        <v>https://www.facebook.com/454965103328545/videos/3697954183759550?comment_id=1805967766569094</v>
      </c>
      <c r="O3869">
        <v>0</v>
      </c>
      <c r="P3869">
        <v>0</v>
      </c>
      <c r="Q3869">
        <v>0</v>
      </c>
      <c r="S3869">
        <v>0</v>
      </c>
      <c r="T3869">
        <v>0</v>
      </c>
      <c r="U3869">
        <v>0</v>
      </c>
      <c r="W3869" t="s">
        <v>62</v>
      </c>
    </row>
    <row r="3870" spans="1:42" x14ac:dyDescent="0.35">
      <c r="A3870" t="s">
        <v>45</v>
      </c>
      <c r="B3870" t="s">
        <v>8332</v>
      </c>
      <c r="C3870" t="s">
        <v>47</v>
      </c>
      <c r="D3870" t="s">
        <v>8845</v>
      </c>
      <c r="E3870" t="s">
        <v>8845</v>
      </c>
      <c r="F3870" t="s">
        <v>49</v>
      </c>
      <c r="G3870" t="s">
        <v>8866</v>
      </c>
      <c r="H3870" t="s">
        <v>8871</v>
      </c>
      <c r="J3870" t="str">
        <f>HYPERLINK("https://www.facebook.com/454965103328545/videos/3697954183759550?comment_id=1608500859887590","https://www.facebook.com/454965103328545/videos/3697954183759550?comment_id=1608500859887590")</f>
        <v>https://www.facebook.com/454965103328545/videos/3697954183759550?comment_id=1608500859887590</v>
      </c>
      <c r="O3870">
        <v>0</v>
      </c>
      <c r="P3870">
        <v>0</v>
      </c>
      <c r="Q3870">
        <v>0</v>
      </c>
      <c r="S3870">
        <v>0</v>
      </c>
      <c r="T3870">
        <v>0</v>
      </c>
      <c r="U3870">
        <v>0</v>
      </c>
      <c r="W3870" t="s">
        <v>62</v>
      </c>
    </row>
    <row r="3871" spans="1:42" x14ac:dyDescent="0.35">
      <c r="A3871" t="s">
        <v>45</v>
      </c>
      <c r="B3871" t="s">
        <v>8332</v>
      </c>
      <c r="C3871" t="s">
        <v>47</v>
      </c>
      <c r="D3871" t="s">
        <v>8845</v>
      </c>
      <c r="E3871" t="s">
        <v>8845</v>
      </c>
      <c r="F3871" t="s">
        <v>49</v>
      </c>
      <c r="G3871" t="s">
        <v>8866</v>
      </c>
      <c r="H3871" t="s">
        <v>8872</v>
      </c>
      <c r="J3871" t="str">
        <f>HYPERLINK("https://www.facebook.com/454965103328545/videos/3697954183759550?comment_id=3003800356421495","https://www.facebook.com/454965103328545/videos/3697954183759550?comment_id=3003800356421495")</f>
        <v>https://www.facebook.com/454965103328545/videos/3697954183759550?comment_id=3003800356421495</v>
      </c>
      <c r="O3871">
        <v>0</v>
      </c>
      <c r="P3871">
        <v>0</v>
      </c>
      <c r="Q3871">
        <v>0</v>
      </c>
      <c r="S3871">
        <v>0</v>
      </c>
      <c r="T3871">
        <v>0</v>
      </c>
      <c r="U3871">
        <v>0</v>
      </c>
      <c r="W3871" t="s">
        <v>62</v>
      </c>
    </row>
    <row r="3872" spans="1:42" x14ac:dyDescent="0.35">
      <c r="A3872" t="s">
        <v>45</v>
      </c>
      <c r="B3872" t="s">
        <v>8332</v>
      </c>
      <c r="C3872" t="s">
        <v>47</v>
      </c>
      <c r="D3872" t="s">
        <v>8845</v>
      </c>
      <c r="E3872" t="s">
        <v>8845</v>
      </c>
      <c r="F3872" t="s">
        <v>49</v>
      </c>
      <c r="G3872" t="s">
        <v>8866</v>
      </c>
      <c r="H3872" t="s">
        <v>8873</v>
      </c>
      <c r="J3872" t="str">
        <f>HYPERLINK("https://www.facebook.com/454965103328545/videos/3697954183759550?comment_id=708364681431806","https://www.facebook.com/454965103328545/videos/3697954183759550?comment_id=708364681431806")</f>
        <v>https://www.facebook.com/454965103328545/videos/3697954183759550?comment_id=708364681431806</v>
      </c>
      <c r="O3872">
        <v>0</v>
      </c>
      <c r="P3872">
        <v>0</v>
      </c>
      <c r="Q3872">
        <v>0</v>
      </c>
      <c r="S3872">
        <v>0</v>
      </c>
      <c r="T3872">
        <v>0</v>
      </c>
      <c r="U3872">
        <v>0</v>
      </c>
      <c r="W3872" t="s">
        <v>62</v>
      </c>
    </row>
    <row r="3873" spans="1:45" x14ac:dyDescent="0.35">
      <c r="A3873" t="s">
        <v>45</v>
      </c>
      <c r="B3873" t="s">
        <v>8332</v>
      </c>
      <c r="C3873" t="s">
        <v>47</v>
      </c>
      <c r="D3873" t="s">
        <v>8845</v>
      </c>
      <c r="E3873" t="s">
        <v>8845</v>
      </c>
      <c r="F3873" t="s">
        <v>49</v>
      </c>
      <c r="G3873" t="s">
        <v>8866</v>
      </c>
      <c r="H3873" t="s">
        <v>8874</v>
      </c>
      <c r="J3873" t="str">
        <f>HYPERLINK("https://www.facebook.com/454965103328545/videos/3697954183759550?comment_id=722587416518831","https://www.facebook.com/454965103328545/videos/3697954183759550?comment_id=722587416518831")</f>
        <v>https://www.facebook.com/454965103328545/videos/3697954183759550?comment_id=722587416518831</v>
      </c>
      <c r="O3873">
        <v>0</v>
      </c>
      <c r="P3873">
        <v>0</v>
      </c>
      <c r="Q3873">
        <v>0</v>
      </c>
      <c r="S3873">
        <v>0</v>
      </c>
      <c r="T3873">
        <v>0</v>
      </c>
      <c r="U3873">
        <v>0</v>
      </c>
      <c r="W3873" t="s">
        <v>62</v>
      </c>
    </row>
    <row r="3874" spans="1:45" x14ac:dyDescent="0.35">
      <c r="A3874" t="s">
        <v>45</v>
      </c>
      <c r="B3874" t="s">
        <v>8332</v>
      </c>
      <c r="C3874" t="s">
        <v>47</v>
      </c>
      <c r="D3874" t="s">
        <v>8845</v>
      </c>
      <c r="E3874" t="s">
        <v>8845</v>
      </c>
      <c r="F3874" t="s">
        <v>49</v>
      </c>
      <c r="G3874" t="s">
        <v>8866</v>
      </c>
      <c r="H3874" t="s">
        <v>8875</v>
      </c>
      <c r="J3874" t="str">
        <f>HYPERLINK("https://www.facebook.com/454965103328545/videos/3697954183759550?comment_id=1469991200528281","https://www.facebook.com/454965103328545/videos/3697954183759550?comment_id=1469991200528281")</f>
        <v>https://www.facebook.com/454965103328545/videos/3697954183759550?comment_id=1469991200528281</v>
      </c>
      <c r="O3874">
        <v>0</v>
      </c>
      <c r="P3874">
        <v>0</v>
      </c>
      <c r="Q3874">
        <v>0</v>
      </c>
      <c r="S3874">
        <v>0</v>
      </c>
      <c r="T3874">
        <v>0</v>
      </c>
      <c r="U3874">
        <v>0</v>
      </c>
      <c r="W3874" t="s">
        <v>62</v>
      </c>
    </row>
    <row r="3875" spans="1:45" x14ac:dyDescent="0.35">
      <c r="A3875" t="s">
        <v>45</v>
      </c>
      <c r="B3875" t="s">
        <v>8332</v>
      </c>
      <c r="C3875" t="s">
        <v>47</v>
      </c>
      <c r="D3875" t="s">
        <v>8845</v>
      </c>
      <c r="E3875" t="s">
        <v>8845</v>
      </c>
      <c r="F3875" t="s">
        <v>49</v>
      </c>
      <c r="G3875" t="s">
        <v>8866</v>
      </c>
      <c r="H3875" t="s">
        <v>8876</v>
      </c>
      <c r="J3875" t="str">
        <f>HYPERLINK("https://www.facebook.com/454965103328545/videos/3697954183759550?comment_id=3700275833632081","https://www.facebook.com/454965103328545/videos/3697954183759550?comment_id=3700275833632081")</f>
        <v>https://www.facebook.com/454965103328545/videos/3697954183759550?comment_id=3700275833632081</v>
      </c>
      <c r="O3875">
        <v>0</v>
      </c>
      <c r="P3875">
        <v>0</v>
      </c>
      <c r="Q3875">
        <v>0</v>
      </c>
      <c r="S3875">
        <v>0</v>
      </c>
      <c r="T3875">
        <v>0</v>
      </c>
      <c r="U3875">
        <v>0</v>
      </c>
      <c r="W3875" t="s">
        <v>62</v>
      </c>
    </row>
    <row r="3876" spans="1:45" x14ac:dyDescent="0.35">
      <c r="A3876" t="s">
        <v>45</v>
      </c>
      <c r="B3876" t="s">
        <v>8332</v>
      </c>
      <c r="C3876" t="s">
        <v>47</v>
      </c>
      <c r="D3876" t="s">
        <v>8877</v>
      </c>
      <c r="E3876" t="s">
        <v>8877</v>
      </c>
      <c r="F3876" t="s">
        <v>49</v>
      </c>
      <c r="G3876" t="s">
        <v>8878</v>
      </c>
      <c r="H3876" t="s">
        <v>8879</v>
      </c>
      <c r="J3876" t="str">
        <f>HYPERLINK("https://www.facebook.com/454965103328545/videos/3697954183759550?comment_id=3340702809555522","https://www.facebook.com/454965103328545/videos/3697954183759550?comment_id=3340702809555522")</f>
        <v>https://www.facebook.com/454965103328545/videos/3697954183759550?comment_id=3340702809555522</v>
      </c>
      <c r="O3876">
        <v>0</v>
      </c>
      <c r="P3876">
        <v>0</v>
      </c>
      <c r="Q3876">
        <v>0</v>
      </c>
      <c r="S3876">
        <v>0</v>
      </c>
      <c r="T3876">
        <v>0</v>
      </c>
      <c r="U3876">
        <v>0</v>
      </c>
      <c r="W3876" t="s">
        <v>62</v>
      </c>
    </row>
    <row r="3877" spans="1:45" x14ac:dyDescent="0.35">
      <c r="A3877" t="s">
        <v>45</v>
      </c>
      <c r="B3877" t="s">
        <v>8332</v>
      </c>
      <c r="C3877" t="s">
        <v>47</v>
      </c>
      <c r="D3877" t="s">
        <v>1954</v>
      </c>
      <c r="E3877" t="s">
        <v>1954</v>
      </c>
      <c r="F3877" t="s">
        <v>142</v>
      </c>
      <c r="G3877" t="s">
        <v>8880</v>
      </c>
      <c r="H3877" t="s">
        <v>8881</v>
      </c>
      <c r="J3877" t="str">
        <f>HYPERLINK("https://www.facebook.com/454965103328545/videos/3697954183759550?comment_id=935875720793291","https://www.facebook.com/454965103328545/videos/3697954183759550?comment_id=935875720793291")</f>
        <v>https://www.facebook.com/454965103328545/videos/3697954183759550?comment_id=935875720793291</v>
      </c>
      <c r="O3877">
        <v>0</v>
      </c>
      <c r="P3877">
        <v>0</v>
      </c>
      <c r="Q3877">
        <v>0</v>
      </c>
      <c r="S3877">
        <v>0</v>
      </c>
      <c r="T3877">
        <v>0</v>
      </c>
      <c r="U3877">
        <v>0</v>
      </c>
      <c r="W3877" t="s">
        <v>62</v>
      </c>
      <c r="AP3877" t="s">
        <v>101</v>
      </c>
    </row>
    <row r="3878" spans="1:45" x14ac:dyDescent="0.35">
      <c r="A3878" t="s">
        <v>45</v>
      </c>
      <c r="B3878" t="s">
        <v>8332</v>
      </c>
      <c r="C3878" t="s">
        <v>47</v>
      </c>
      <c r="D3878" t="s">
        <v>1598</v>
      </c>
      <c r="E3878" t="s">
        <v>1598</v>
      </c>
      <c r="F3878" t="s">
        <v>49</v>
      </c>
      <c r="G3878" t="s">
        <v>8882</v>
      </c>
      <c r="H3878" t="s">
        <v>8883</v>
      </c>
      <c r="J3878" t="str">
        <f>HYPERLINK("https://www.facebook.com/454965103328545/videos/3697954183759550?comment_id=1101609594360750","https://www.facebook.com/454965103328545/videos/3697954183759550?comment_id=1101609594360750")</f>
        <v>https://www.facebook.com/454965103328545/videos/3697954183759550?comment_id=1101609594360750</v>
      </c>
      <c r="O3878">
        <v>0</v>
      </c>
      <c r="P3878">
        <v>0</v>
      </c>
      <c r="Q3878">
        <v>0</v>
      </c>
      <c r="S3878">
        <v>0</v>
      </c>
      <c r="T3878">
        <v>0</v>
      </c>
      <c r="U3878">
        <v>0</v>
      </c>
      <c r="W3878" t="s">
        <v>62</v>
      </c>
    </row>
    <row r="3879" spans="1:45" x14ac:dyDescent="0.35">
      <c r="A3879" t="s">
        <v>45</v>
      </c>
      <c r="B3879" t="s">
        <v>8332</v>
      </c>
      <c r="C3879" t="s">
        <v>47</v>
      </c>
      <c r="D3879" t="s">
        <v>8845</v>
      </c>
      <c r="E3879" t="s">
        <v>8845</v>
      </c>
      <c r="F3879" t="s">
        <v>49</v>
      </c>
      <c r="G3879" t="s">
        <v>8866</v>
      </c>
      <c r="H3879" t="s">
        <v>8884</v>
      </c>
      <c r="J3879" t="str">
        <f>HYPERLINK("https://www.facebook.com/454965103328545/videos/3697954183759550?comment_id=3609002445980246","https://www.facebook.com/454965103328545/videos/3697954183759550?comment_id=3609002445980246")</f>
        <v>https://www.facebook.com/454965103328545/videos/3697954183759550?comment_id=3609002445980246</v>
      </c>
      <c r="O3879">
        <v>0</v>
      </c>
      <c r="P3879">
        <v>0</v>
      </c>
      <c r="Q3879">
        <v>0</v>
      </c>
      <c r="S3879">
        <v>0</v>
      </c>
      <c r="T3879">
        <v>0</v>
      </c>
      <c r="U3879">
        <v>0</v>
      </c>
      <c r="W3879" t="s">
        <v>62</v>
      </c>
    </row>
    <row r="3880" spans="1:45" x14ac:dyDescent="0.35">
      <c r="A3880" t="s">
        <v>45</v>
      </c>
      <c r="B3880" t="s">
        <v>8332</v>
      </c>
      <c r="C3880" t="s">
        <v>47</v>
      </c>
      <c r="D3880" t="s">
        <v>8845</v>
      </c>
      <c r="E3880" t="s">
        <v>8845</v>
      </c>
      <c r="F3880" t="s">
        <v>49</v>
      </c>
      <c r="G3880" t="s">
        <v>8866</v>
      </c>
      <c r="H3880" t="s">
        <v>8885</v>
      </c>
      <c r="J3880" t="str">
        <f>HYPERLINK("https://www.facebook.com/454965103328545/videos/3697954183759550?comment_id=893114368938581","https://www.facebook.com/454965103328545/videos/3697954183759550?comment_id=893114368938581")</f>
        <v>https://www.facebook.com/454965103328545/videos/3697954183759550?comment_id=893114368938581</v>
      </c>
      <c r="O3880">
        <v>0</v>
      </c>
      <c r="P3880">
        <v>0</v>
      </c>
      <c r="Q3880">
        <v>0</v>
      </c>
      <c r="S3880">
        <v>0</v>
      </c>
      <c r="T3880">
        <v>0</v>
      </c>
      <c r="U3880">
        <v>0</v>
      </c>
      <c r="W3880" t="s">
        <v>62</v>
      </c>
    </row>
    <row r="3881" spans="1:45" x14ac:dyDescent="0.35">
      <c r="A3881" t="s">
        <v>45</v>
      </c>
      <c r="B3881" t="s">
        <v>8332</v>
      </c>
      <c r="C3881" t="s">
        <v>47</v>
      </c>
      <c r="D3881" t="s">
        <v>8845</v>
      </c>
      <c r="E3881" t="s">
        <v>8845</v>
      </c>
      <c r="F3881" t="s">
        <v>49</v>
      </c>
      <c r="G3881" t="s">
        <v>8866</v>
      </c>
      <c r="H3881" t="s">
        <v>8886</v>
      </c>
      <c r="J3881" t="str">
        <f>HYPERLINK("https://www.facebook.com/454965103328545/videos/3697954183759550?comment_id=2382554425468376","https://www.facebook.com/454965103328545/videos/3697954183759550?comment_id=2382554425468376")</f>
        <v>https://www.facebook.com/454965103328545/videos/3697954183759550?comment_id=2382554425468376</v>
      </c>
      <c r="O3881">
        <v>0</v>
      </c>
      <c r="P3881">
        <v>0</v>
      </c>
      <c r="Q3881">
        <v>0</v>
      </c>
      <c r="S3881">
        <v>0</v>
      </c>
      <c r="T3881">
        <v>0</v>
      </c>
      <c r="U3881">
        <v>0</v>
      </c>
      <c r="W3881" t="s">
        <v>62</v>
      </c>
    </row>
    <row r="3882" spans="1:45" x14ac:dyDescent="0.35">
      <c r="A3882" t="s">
        <v>45</v>
      </c>
      <c r="B3882" t="s">
        <v>8332</v>
      </c>
      <c r="C3882" t="s">
        <v>47</v>
      </c>
      <c r="D3882" t="s">
        <v>8845</v>
      </c>
      <c r="E3882" t="s">
        <v>8845</v>
      </c>
      <c r="F3882" t="s">
        <v>49</v>
      </c>
      <c r="G3882" t="s">
        <v>8866</v>
      </c>
      <c r="H3882" t="s">
        <v>8887</v>
      </c>
      <c r="J3882" t="str">
        <f>HYPERLINK("https://www.facebook.com/454965103328545/videos/3697954183759550?comment_id=763008025279264","https://www.facebook.com/454965103328545/videos/3697954183759550?comment_id=763008025279264")</f>
        <v>https://www.facebook.com/454965103328545/videos/3697954183759550?comment_id=763008025279264</v>
      </c>
      <c r="O3882">
        <v>0</v>
      </c>
      <c r="P3882">
        <v>0</v>
      </c>
      <c r="Q3882">
        <v>0</v>
      </c>
      <c r="S3882">
        <v>0</v>
      </c>
      <c r="T3882">
        <v>0</v>
      </c>
      <c r="U3882">
        <v>0</v>
      </c>
      <c r="W3882" t="s">
        <v>62</v>
      </c>
    </row>
    <row r="3883" spans="1:45" x14ac:dyDescent="0.35">
      <c r="A3883" t="s">
        <v>45</v>
      </c>
      <c r="B3883" t="s">
        <v>8332</v>
      </c>
      <c r="C3883" t="s">
        <v>47</v>
      </c>
      <c r="D3883" t="s">
        <v>8888</v>
      </c>
      <c r="E3883" t="s">
        <v>8888</v>
      </c>
      <c r="F3883" t="s">
        <v>49</v>
      </c>
      <c r="G3883" t="s">
        <v>131</v>
      </c>
      <c r="H3883" t="s">
        <v>8889</v>
      </c>
      <c r="J3883" t="str">
        <f>HYPERLINK("https://www.facebook.com/454965103328545/videos/3697954183759550?comment_id=939116057545588","https://www.facebook.com/454965103328545/videos/3697954183759550?comment_id=939116057545588")</f>
        <v>https://www.facebook.com/454965103328545/videos/3697954183759550?comment_id=939116057545588</v>
      </c>
      <c r="O3883">
        <v>0</v>
      </c>
      <c r="P3883">
        <v>0</v>
      </c>
      <c r="Q3883">
        <v>0</v>
      </c>
      <c r="S3883">
        <v>0</v>
      </c>
      <c r="T3883">
        <v>0</v>
      </c>
      <c r="U3883">
        <v>0</v>
      </c>
      <c r="W3883" t="s">
        <v>62</v>
      </c>
    </row>
    <row r="3884" spans="1:45" x14ac:dyDescent="0.35">
      <c r="A3884" t="s">
        <v>45</v>
      </c>
      <c r="B3884" t="s">
        <v>8332</v>
      </c>
      <c r="C3884" t="s">
        <v>47</v>
      </c>
      <c r="D3884" t="s">
        <v>8845</v>
      </c>
      <c r="E3884" t="s">
        <v>8845</v>
      </c>
      <c r="F3884" t="s">
        <v>49</v>
      </c>
      <c r="G3884" t="s">
        <v>8866</v>
      </c>
      <c r="H3884" t="s">
        <v>8890</v>
      </c>
      <c r="J3884" t="str">
        <f>HYPERLINK("https://www.facebook.com/454965103328545/videos/3697954183759550?comment_id=1172502927055270","https://www.facebook.com/454965103328545/videos/3697954183759550?comment_id=1172502927055270")</f>
        <v>https://www.facebook.com/454965103328545/videos/3697954183759550?comment_id=1172502927055270</v>
      </c>
      <c r="O3884">
        <v>0</v>
      </c>
      <c r="P3884">
        <v>0</v>
      </c>
      <c r="Q3884">
        <v>0</v>
      </c>
      <c r="S3884">
        <v>0</v>
      </c>
      <c r="T3884">
        <v>0</v>
      </c>
      <c r="U3884">
        <v>0</v>
      </c>
      <c r="W3884" t="s">
        <v>62</v>
      </c>
    </row>
    <row r="3885" spans="1:45" x14ac:dyDescent="0.35">
      <c r="A3885" t="s">
        <v>45</v>
      </c>
      <c r="B3885" t="s">
        <v>8332</v>
      </c>
      <c r="C3885" t="s">
        <v>47</v>
      </c>
      <c r="D3885" t="s">
        <v>8891</v>
      </c>
      <c r="E3885" t="s">
        <v>8891</v>
      </c>
      <c r="F3885" t="s">
        <v>142</v>
      </c>
      <c r="G3885" t="s">
        <v>8892</v>
      </c>
      <c r="H3885" t="s">
        <v>8893</v>
      </c>
      <c r="J3885" t="str">
        <f>HYPERLINK("https://www.facebook.com/454965103328545/videos/3697954183759550?comment_id=1744347596063021","https://www.facebook.com/454965103328545/videos/3697954183759550?comment_id=1744347596063021")</f>
        <v>https://www.facebook.com/454965103328545/videos/3697954183759550?comment_id=1744347596063021</v>
      </c>
      <c r="O3885">
        <v>0</v>
      </c>
      <c r="P3885">
        <v>0</v>
      </c>
      <c r="Q3885">
        <v>0</v>
      </c>
      <c r="S3885">
        <v>0</v>
      </c>
      <c r="T3885">
        <v>0</v>
      </c>
      <c r="U3885">
        <v>0</v>
      </c>
      <c r="W3885" t="s">
        <v>62</v>
      </c>
      <c r="AS3885" t="s">
        <v>375</v>
      </c>
    </row>
    <row r="3886" spans="1:45" x14ac:dyDescent="0.35">
      <c r="A3886" t="s">
        <v>45</v>
      </c>
      <c r="B3886" t="s">
        <v>8332</v>
      </c>
      <c r="C3886" t="s">
        <v>47</v>
      </c>
      <c r="D3886" t="s">
        <v>1954</v>
      </c>
      <c r="E3886" t="s">
        <v>1954</v>
      </c>
      <c r="F3886" t="s">
        <v>142</v>
      </c>
      <c r="G3886" t="s">
        <v>8894</v>
      </c>
      <c r="H3886" t="s">
        <v>8895</v>
      </c>
      <c r="J3886" t="str">
        <f>HYPERLINK("https://www.facebook.com/454965103328545/videos/3697954183759550?comment_id=405015555262677","https://www.facebook.com/454965103328545/videos/3697954183759550?comment_id=405015555262677")</f>
        <v>https://www.facebook.com/454965103328545/videos/3697954183759550?comment_id=405015555262677</v>
      </c>
      <c r="O3886">
        <v>0</v>
      </c>
      <c r="P3886">
        <v>0</v>
      </c>
      <c r="Q3886">
        <v>0</v>
      </c>
      <c r="S3886">
        <v>0</v>
      </c>
      <c r="T3886">
        <v>0</v>
      </c>
      <c r="U3886">
        <v>0</v>
      </c>
      <c r="W3886" t="s">
        <v>62</v>
      </c>
    </row>
    <row r="3887" spans="1:45" x14ac:dyDescent="0.35">
      <c r="A3887" t="s">
        <v>45</v>
      </c>
      <c r="B3887" t="s">
        <v>8332</v>
      </c>
      <c r="C3887" t="s">
        <v>47</v>
      </c>
      <c r="D3887" t="s">
        <v>8891</v>
      </c>
      <c r="E3887" t="s">
        <v>8891</v>
      </c>
      <c r="F3887" t="s">
        <v>49</v>
      </c>
      <c r="G3887" t="s">
        <v>8896</v>
      </c>
      <c r="H3887" t="s">
        <v>8897</v>
      </c>
      <c r="J3887" t="str">
        <f>HYPERLINK("https://www.facebook.com/454965103328545/videos/3697954183759550?comment_id=3244133349221833","https://www.facebook.com/454965103328545/videos/3697954183759550?comment_id=3244133349221833")</f>
        <v>https://www.facebook.com/454965103328545/videos/3697954183759550?comment_id=3244133349221833</v>
      </c>
      <c r="O3887">
        <v>0</v>
      </c>
      <c r="P3887">
        <v>0</v>
      </c>
      <c r="Q3887">
        <v>0</v>
      </c>
      <c r="S3887">
        <v>0</v>
      </c>
      <c r="T3887">
        <v>0</v>
      </c>
      <c r="U3887">
        <v>0</v>
      </c>
      <c r="W3887" t="s">
        <v>62</v>
      </c>
      <c r="AP3887" t="s">
        <v>101</v>
      </c>
    </row>
    <row r="3888" spans="1:45" x14ac:dyDescent="0.35">
      <c r="A3888" t="s">
        <v>45</v>
      </c>
      <c r="B3888" t="s">
        <v>8332</v>
      </c>
      <c r="C3888" t="s">
        <v>47</v>
      </c>
      <c r="D3888" t="s">
        <v>1598</v>
      </c>
      <c r="E3888" t="s">
        <v>1598</v>
      </c>
      <c r="F3888" t="s">
        <v>49</v>
      </c>
      <c r="G3888" t="s">
        <v>8898</v>
      </c>
      <c r="H3888" t="s">
        <v>8899</v>
      </c>
      <c r="J3888" t="str">
        <f>HYPERLINK("https://www.facebook.com/454965103328545/videos/3697954183759550?comment_id=1331933367514325","https://www.facebook.com/454965103328545/videos/3697954183759550?comment_id=1331933367514325")</f>
        <v>https://www.facebook.com/454965103328545/videos/3697954183759550?comment_id=1331933367514325</v>
      </c>
      <c r="O3888">
        <v>0</v>
      </c>
      <c r="P3888">
        <v>0</v>
      </c>
      <c r="Q3888">
        <v>0</v>
      </c>
      <c r="S3888">
        <v>0</v>
      </c>
      <c r="T3888">
        <v>0</v>
      </c>
      <c r="U3888">
        <v>0</v>
      </c>
      <c r="W3888" t="s">
        <v>62</v>
      </c>
    </row>
    <row r="3889" spans="1:45" x14ac:dyDescent="0.35">
      <c r="A3889" t="s">
        <v>45</v>
      </c>
      <c r="B3889" t="s">
        <v>8332</v>
      </c>
      <c r="C3889" t="s">
        <v>47</v>
      </c>
      <c r="D3889" t="s">
        <v>8900</v>
      </c>
      <c r="E3889" t="s">
        <v>8900</v>
      </c>
      <c r="F3889" t="s">
        <v>49</v>
      </c>
      <c r="G3889" t="s">
        <v>8901</v>
      </c>
      <c r="H3889" t="s">
        <v>8902</v>
      </c>
      <c r="J3889" t="str">
        <f>HYPERLINK("https://www.facebook.com/454965103328545/videos/3697954183759550?comment_id=843275934268276","https://www.facebook.com/454965103328545/videos/3697954183759550?comment_id=843275934268276")</f>
        <v>https://www.facebook.com/454965103328545/videos/3697954183759550?comment_id=843275934268276</v>
      </c>
      <c r="O3889">
        <v>0</v>
      </c>
      <c r="P3889">
        <v>0</v>
      </c>
      <c r="Q3889">
        <v>0</v>
      </c>
      <c r="S3889">
        <v>0</v>
      </c>
      <c r="T3889">
        <v>0</v>
      </c>
      <c r="U3889">
        <v>0</v>
      </c>
      <c r="W3889" t="s">
        <v>62</v>
      </c>
    </row>
    <row r="3890" spans="1:45" x14ac:dyDescent="0.35">
      <c r="A3890" t="s">
        <v>45</v>
      </c>
      <c r="B3890" t="s">
        <v>8332</v>
      </c>
      <c r="C3890" t="s">
        <v>47</v>
      </c>
      <c r="D3890" t="s">
        <v>1954</v>
      </c>
      <c r="E3890" t="s">
        <v>1954</v>
      </c>
      <c r="F3890" t="s">
        <v>142</v>
      </c>
      <c r="G3890" t="s">
        <v>8903</v>
      </c>
      <c r="H3890" t="s">
        <v>8904</v>
      </c>
      <c r="J3890" t="str">
        <f>HYPERLINK("https://www.facebook.com/454965103328545/videos/3697954183759550?comment_id=354125380895714","https://www.facebook.com/454965103328545/videos/3697954183759550?comment_id=354125380895714")</f>
        <v>https://www.facebook.com/454965103328545/videos/3697954183759550?comment_id=354125380895714</v>
      </c>
      <c r="O3890">
        <v>0</v>
      </c>
      <c r="P3890">
        <v>0</v>
      </c>
      <c r="Q3890">
        <v>0</v>
      </c>
      <c r="S3890">
        <v>0</v>
      </c>
      <c r="T3890">
        <v>0</v>
      </c>
      <c r="U3890">
        <v>0</v>
      </c>
      <c r="W3890" t="s">
        <v>62</v>
      </c>
      <c r="AP3890" t="s">
        <v>101</v>
      </c>
    </row>
    <row r="3891" spans="1:45" x14ac:dyDescent="0.35">
      <c r="A3891" t="s">
        <v>45</v>
      </c>
      <c r="B3891" t="s">
        <v>8332</v>
      </c>
      <c r="C3891" t="s">
        <v>47</v>
      </c>
      <c r="D3891" t="s">
        <v>8905</v>
      </c>
      <c r="E3891" t="s">
        <v>8905</v>
      </c>
      <c r="F3891" t="s">
        <v>49</v>
      </c>
      <c r="G3891" t="s">
        <v>8906</v>
      </c>
      <c r="H3891" t="s">
        <v>8907</v>
      </c>
      <c r="J3891" t="str">
        <f>HYPERLINK("https://www.facebook.com/454965103328545/videos/829922464069988?comment_id=1741819706311845","https://www.facebook.com/454965103328545/videos/829922464069988?comment_id=1741819706311845")</f>
        <v>https://www.facebook.com/454965103328545/videos/829922464069988?comment_id=1741819706311845</v>
      </c>
      <c r="O3891">
        <v>0</v>
      </c>
      <c r="P3891">
        <v>0</v>
      </c>
      <c r="Q3891">
        <v>0</v>
      </c>
      <c r="S3891">
        <v>0</v>
      </c>
      <c r="T3891">
        <v>0</v>
      </c>
      <c r="U3891">
        <v>0</v>
      </c>
      <c r="W3891" t="s">
        <v>62</v>
      </c>
      <c r="AP3891" t="s">
        <v>101</v>
      </c>
    </row>
    <row r="3892" spans="1:45" x14ac:dyDescent="0.35">
      <c r="A3892" t="s">
        <v>45</v>
      </c>
      <c r="B3892" t="s">
        <v>8332</v>
      </c>
      <c r="C3892" t="s">
        <v>47</v>
      </c>
      <c r="D3892" t="s">
        <v>7567</v>
      </c>
      <c r="E3892" t="s">
        <v>7567</v>
      </c>
      <c r="F3892" t="s">
        <v>49</v>
      </c>
      <c r="G3892" t="s">
        <v>8908</v>
      </c>
      <c r="H3892" t="s">
        <v>8909</v>
      </c>
      <c r="J3892" t="str">
        <f>HYPERLINK("https://www.facebook.com/454965103328545/videos/3697954183759550?comment_id=303696889351962","https://www.facebook.com/454965103328545/videos/3697954183759550?comment_id=303696889351962")</f>
        <v>https://www.facebook.com/454965103328545/videos/3697954183759550?comment_id=303696889351962</v>
      </c>
      <c r="O3892">
        <v>0</v>
      </c>
      <c r="P3892">
        <v>0</v>
      </c>
      <c r="Q3892">
        <v>0</v>
      </c>
      <c r="S3892">
        <v>0</v>
      </c>
      <c r="T3892">
        <v>0</v>
      </c>
      <c r="U3892">
        <v>0</v>
      </c>
      <c r="W3892" t="s">
        <v>62</v>
      </c>
      <c r="AS3892" t="s">
        <v>375</v>
      </c>
    </row>
    <row r="3893" spans="1:45" x14ac:dyDescent="0.35">
      <c r="A3893" t="s">
        <v>45</v>
      </c>
      <c r="B3893" t="s">
        <v>8332</v>
      </c>
      <c r="C3893" t="s">
        <v>47</v>
      </c>
      <c r="D3893" t="s">
        <v>1706</v>
      </c>
      <c r="E3893" t="s">
        <v>1706</v>
      </c>
      <c r="F3893" t="s">
        <v>49</v>
      </c>
      <c r="G3893" t="s">
        <v>8910</v>
      </c>
      <c r="H3893" t="s">
        <v>8911</v>
      </c>
      <c r="J3893" t="str">
        <f>HYPERLINK("https://www.facebook.com/454965103328545/videos/3697954183759550?comment_id=752896023057469&amp;reply_comment_id=2626785327477364","https://www.facebook.com/454965103328545/videos/3697954183759550?comment_id=752896023057469&amp;reply_comment_id=2626785327477364")</f>
        <v>https://www.facebook.com/454965103328545/videos/3697954183759550?comment_id=752896023057469&amp;reply_comment_id=2626785327477364</v>
      </c>
      <c r="O3893">
        <v>0</v>
      </c>
      <c r="P3893">
        <v>0</v>
      </c>
      <c r="Q3893">
        <v>0</v>
      </c>
      <c r="S3893">
        <v>0</v>
      </c>
      <c r="T3893">
        <v>0</v>
      </c>
      <c r="U3893">
        <v>0</v>
      </c>
      <c r="W3893" t="s">
        <v>62</v>
      </c>
    </row>
    <row r="3894" spans="1:45" x14ac:dyDescent="0.35">
      <c r="A3894" t="s">
        <v>45</v>
      </c>
      <c r="B3894" t="s">
        <v>8332</v>
      </c>
      <c r="C3894" t="s">
        <v>47</v>
      </c>
      <c r="D3894" t="s">
        <v>8905</v>
      </c>
      <c r="E3894" t="s">
        <v>8905</v>
      </c>
      <c r="F3894" t="s">
        <v>76</v>
      </c>
      <c r="G3894" t="s">
        <v>2121</v>
      </c>
      <c r="H3894" t="s">
        <v>8912</v>
      </c>
      <c r="J3894" t="str">
        <f>HYPERLINK("https://www.facebook.com/454965103328545/videos/829922464069988?comment_id=2705224936309360","https://www.facebook.com/454965103328545/videos/829922464069988?comment_id=2705224936309360")</f>
        <v>https://www.facebook.com/454965103328545/videos/829922464069988?comment_id=2705224936309360</v>
      </c>
      <c r="O3894">
        <v>0</v>
      </c>
      <c r="P3894">
        <v>0</v>
      </c>
      <c r="Q3894">
        <v>0</v>
      </c>
      <c r="S3894">
        <v>0</v>
      </c>
      <c r="T3894">
        <v>0</v>
      </c>
      <c r="U3894">
        <v>0</v>
      </c>
      <c r="W3894" t="s">
        <v>62</v>
      </c>
    </row>
    <row r="3895" spans="1:45" x14ac:dyDescent="0.35">
      <c r="A3895" t="s">
        <v>45</v>
      </c>
      <c r="B3895" t="s">
        <v>8332</v>
      </c>
      <c r="C3895" t="s">
        <v>47</v>
      </c>
      <c r="D3895" t="s">
        <v>8913</v>
      </c>
      <c r="E3895" t="s">
        <v>8913</v>
      </c>
      <c r="F3895" t="s">
        <v>49</v>
      </c>
      <c r="G3895" t="s">
        <v>7743</v>
      </c>
      <c r="H3895" t="s">
        <v>8914</v>
      </c>
      <c r="J3895" t="str">
        <f>HYPERLINK("https://www.facebook.com/454965103328545/videos/3697954183759550?comment_id=1116079456058679","https://www.facebook.com/454965103328545/videos/3697954183759550?comment_id=1116079456058679")</f>
        <v>https://www.facebook.com/454965103328545/videos/3697954183759550?comment_id=1116079456058679</v>
      </c>
      <c r="O3895">
        <v>0</v>
      </c>
      <c r="P3895">
        <v>0</v>
      </c>
      <c r="Q3895">
        <v>0</v>
      </c>
      <c r="S3895">
        <v>0</v>
      </c>
      <c r="T3895">
        <v>0</v>
      </c>
      <c r="U3895">
        <v>0</v>
      </c>
      <c r="W3895" t="s">
        <v>62</v>
      </c>
    </row>
    <row r="3896" spans="1:45" x14ac:dyDescent="0.35">
      <c r="A3896" t="s">
        <v>45</v>
      </c>
      <c r="B3896" t="s">
        <v>8332</v>
      </c>
      <c r="C3896" t="s">
        <v>47</v>
      </c>
      <c r="D3896" t="s">
        <v>2587</v>
      </c>
      <c r="E3896" t="s">
        <v>2587</v>
      </c>
      <c r="F3896" t="s">
        <v>49</v>
      </c>
      <c r="G3896" t="s">
        <v>8915</v>
      </c>
      <c r="H3896" t="s">
        <v>8916</v>
      </c>
      <c r="J3896" t="str">
        <f>HYPERLINK("https://www.facebook.com/454965103328545/videos/3697954183759550?comment_id=1119686736141237","https://www.facebook.com/454965103328545/videos/3697954183759550?comment_id=1119686736141237")</f>
        <v>https://www.facebook.com/454965103328545/videos/3697954183759550?comment_id=1119686736141237</v>
      </c>
      <c r="O3896">
        <v>0</v>
      </c>
      <c r="P3896">
        <v>0</v>
      </c>
      <c r="Q3896">
        <v>0</v>
      </c>
      <c r="S3896">
        <v>0</v>
      </c>
      <c r="T3896">
        <v>0</v>
      </c>
      <c r="U3896">
        <v>0</v>
      </c>
      <c r="W3896" t="s">
        <v>62</v>
      </c>
    </row>
    <row r="3897" spans="1:45" x14ac:dyDescent="0.35">
      <c r="A3897" t="s">
        <v>45</v>
      </c>
      <c r="B3897" t="s">
        <v>8332</v>
      </c>
      <c r="C3897" t="s">
        <v>47</v>
      </c>
      <c r="D3897" t="s">
        <v>8917</v>
      </c>
      <c r="E3897" t="s">
        <v>8917</v>
      </c>
      <c r="F3897" t="s">
        <v>49</v>
      </c>
      <c r="G3897" t="s">
        <v>8918</v>
      </c>
      <c r="H3897" t="s">
        <v>8919</v>
      </c>
      <c r="J3897" t="str">
        <f>HYPERLINK("https://www.facebook.com/454965103328545/videos/3697954183759550?comment_id=779652110870732","https://www.facebook.com/454965103328545/videos/3697954183759550?comment_id=779652110870732")</f>
        <v>https://www.facebook.com/454965103328545/videos/3697954183759550?comment_id=779652110870732</v>
      </c>
      <c r="O3897">
        <v>0</v>
      </c>
      <c r="P3897">
        <v>0</v>
      </c>
      <c r="Q3897">
        <v>0</v>
      </c>
      <c r="S3897">
        <v>0</v>
      </c>
      <c r="T3897">
        <v>0</v>
      </c>
      <c r="U3897">
        <v>0</v>
      </c>
      <c r="W3897" t="s">
        <v>62</v>
      </c>
      <c r="AP3897" t="s">
        <v>101</v>
      </c>
    </row>
    <row r="3898" spans="1:45" x14ac:dyDescent="0.35">
      <c r="A3898" t="s">
        <v>45</v>
      </c>
      <c r="B3898" t="s">
        <v>8332</v>
      </c>
      <c r="C3898" t="s">
        <v>47</v>
      </c>
      <c r="D3898" t="s">
        <v>8920</v>
      </c>
      <c r="E3898" t="s">
        <v>8920</v>
      </c>
      <c r="F3898" t="s">
        <v>49</v>
      </c>
      <c r="G3898" t="s">
        <v>8921</v>
      </c>
      <c r="H3898" t="s">
        <v>8922</v>
      </c>
      <c r="J3898" t="str">
        <f>HYPERLINK("https://www.facebook.com/454965103328545/videos/3697954183759550?comment_id=1411044672875567","https://www.facebook.com/454965103328545/videos/3697954183759550?comment_id=1411044672875567")</f>
        <v>https://www.facebook.com/454965103328545/videos/3697954183759550?comment_id=1411044672875567</v>
      </c>
      <c r="O3898">
        <v>0</v>
      </c>
      <c r="P3898">
        <v>0</v>
      </c>
      <c r="Q3898">
        <v>0</v>
      </c>
      <c r="S3898">
        <v>0</v>
      </c>
      <c r="T3898">
        <v>0</v>
      </c>
      <c r="U3898">
        <v>0</v>
      </c>
      <c r="W3898" t="s">
        <v>62</v>
      </c>
      <c r="AP3898" t="s">
        <v>94</v>
      </c>
    </row>
    <row r="3899" spans="1:45" x14ac:dyDescent="0.35">
      <c r="A3899" t="s">
        <v>45</v>
      </c>
      <c r="B3899" t="s">
        <v>8332</v>
      </c>
      <c r="C3899" t="s">
        <v>47</v>
      </c>
      <c r="D3899" t="s">
        <v>2587</v>
      </c>
      <c r="E3899" t="s">
        <v>2587</v>
      </c>
      <c r="F3899" t="s">
        <v>49</v>
      </c>
      <c r="G3899" t="s">
        <v>8923</v>
      </c>
      <c r="H3899" t="s">
        <v>8924</v>
      </c>
      <c r="J3899" t="str">
        <f>HYPERLINK("https://www.facebook.com/454965103328545/videos/3697954183759550?comment_id=7951828298167322","https://www.facebook.com/454965103328545/videos/3697954183759550?comment_id=7951828298167322")</f>
        <v>https://www.facebook.com/454965103328545/videos/3697954183759550?comment_id=7951828298167322</v>
      </c>
      <c r="O3899">
        <v>0</v>
      </c>
      <c r="P3899">
        <v>0</v>
      </c>
      <c r="Q3899">
        <v>0</v>
      </c>
      <c r="S3899">
        <v>0</v>
      </c>
      <c r="T3899">
        <v>0</v>
      </c>
      <c r="U3899">
        <v>0</v>
      </c>
      <c r="W3899" t="s">
        <v>62</v>
      </c>
    </row>
    <row r="3900" spans="1:45" x14ac:dyDescent="0.35">
      <c r="A3900" t="s">
        <v>45</v>
      </c>
      <c r="B3900" t="s">
        <v>8332</v>
      </c>
      <c r="C3900" t="s">
        <v>47</v>
      </c>
      <c r="D3900" t="s">
        <v>1954</v>
      </c>
      <c r="E3900" t="s">
        <v>1954</v>
      </c>
      <c r="F3900" t="s">
        <v>142</v>
      </c>
      <c r="G3900" t="s">
        <v>8925</v>
      </c>
      <c r="H3900" t="s">
        <v>8926</v>
      </c>
      <c r="J3900" t="str">
        <f>HYPERLINK("https://www.facebook.com/454965103328545/videos/3697954183759550?comment_id=357506027223569","https://www.facebook.com/454965103328545/videos/3697954183759550?comment_id=357506027223569")</f>
        <v>https://www.facebook.com/454965103328545/videos/3697954183759550?comment_id=357506027223569</v>
      </c>
      <c r="O3900">
        <v>0</v>
      </c>
      <c r="P3900">
        <v>0</v>
      </c>
      <c r="Q3900">
        <v>0</v>
      </c>
      <c r="S3900">
        <v>0</v>
      </c>
      <c r="T3900">
        <v>0</v>
      </c>
      <c r="U3900">
        <v>0</v>
      </c>
      <c r="W3900" t="s">
        <v>62</v>
      </c>
    </row>
    <row r="3901" spans="1:45" x14ac:dyDescent="0.35">
      <c r="A3901" t="s">
        <v>45</v>
      </c>
      <c r="B3901" t="s">
        <v>8332</v>
      </c>
      <c r="C3901" t="s">
        <v>47</v>
      </c>
      <c r="D3901" t="s">
        <v>8917</v>
      </c>
      <c r="E3901" t="s">
        <v>8917</v>
      </c>
      <c r="F3901" t="s">
        <v>49</v>
      </c>
      <c r="G3901" t="s">
        <v>8918</v>
      </c>
      <c r="H3901" t="s">
        <v>8927</v>
      </c>
      <c r="J3901" t="str">
        <f>HYPERLINK("https://www.facebook.com/454965103328545/videos/3697954183759550?comment_id=794736145819265","https://www.facebook.com/454965103328545/videos/3697954183759550?comment_id=794736145819265")</f>
        <v>https://www.facebook.com/454965103328545/videos/3697954183759550?comment_id=794736145819265</v>
      </c>
      <c r="O3901">
        <v>0</v>
      </c>
      <c r="P3901">
        <v>0</v>
      </c>
      <c r="Q3901">
        <v>0</v>
      </c>
      <c r="S3901">
        <v>0</v>
      </c>
      <c r="T3901">
        <v>0</v>
      </c>
      <c r="U3901">
        <v>0</v>
      </c>
      <c r="W3901" t="s">
        <v>62</v>
      </c>
    </row>
    <row r="3902" spans="1:45" x14ac:dyDescent="0.35">
      <c r="A3902" t="s">
        <v>45</v>
      </c>
      <c r="B3902" t="s">
        <v>8332</v>
      </c>
      <c r="C3902" t="s">
        <v>47</v>
      </c>
      <c r="D3902" t="s">
        <v>8845</v>
      </c>
      <c r="E3902" t="s">
        <v>8845</v>
      </c>
      <c r="F3902" t="s">
        <v>49</v>
      </c>
      <c r="G3902" t="s">
        <v>8928</v>
      </c>
      <c r="H3902" t="s">
        <v>8929</v>
      </c>
      <c r="J3902" t="str">
        <f>HYPERLINK("https://www.facebook.com/454965103328545/videos/3697954183759550?comment_id=3498554777052592","https://www.facebook.com/454965103328545/videos/3697954183759550?comment_id=3498554777052592")</f>
        <v>https://www.facebook.com/454965103328545/videos/3697954183759550?comment_id=3498554777052592</v>
      </c>
      <c r="O3902">
        <v>0</v>
      </c>
      <c r="P3902">
        <v>0</v>
      </c>
      <c r="Q3902">
        <v>0</v>
      </c>
      <c r="S3902">
        <v>0</v>
      </c>
      <c r="T3902">
        <v>0</v>
      </c>
      <c r="U3902">
        <v>0</v>
      </c>
      <c r="W3902" t="s">
        <v>62</v>
      </c>
    </row>
    <row r="3903" spans="1:45" x14ac:dyDescent="0.35">
      <c r="A3903" t="s">
        <v>45</v>
      </c>
      <c r="B3903" t="s">
        <v>8332</v>
      </c>
      <c r="C3903" t="s">
        <v>47</v>
      </c>
      <c r="D3903" t="s">
        <v>7567</v>
      </c>
      <c r="E3903" t="s">
        <v>7567</v>
      </c>
      <c r="F3903" t="s">
        <v>49</v>
      </c>
      <c r="G3903" t="s">
        <v>8930</v>
      </c>
      <c r="H3903" t="s">
        <v>8931</v>
      </c>
      <c r="J3903" t="str">
        <f>HYPERLINK("https://www.facebook.com/454965103328545/videos/3697954183759550?comment_id=923462299289231","https://www.facebook.com/454965103328545/videos/3697954183759550?comment_id=923462299289231")</f>
        <v>https://www.facebook.com/454965103328545/videos/3697954183759550?comment_id=923462299289231</v>
      </c>
      <c r="O3903">
        <v>0</v>
      </c>
      <c r="P3903">
        <v>0</v>
      </c>
      <c r="Q3903">
        <v>0</v>
      </c>
      <c r="S3903">
        <v>0</v>
      </c>
      <c r="T3903">
        <v>0</v>
      </c>
      <c r="U3903">
        <v>0</v>
      </c>
      <c r="W3903" t="s">
        <v>62</v>
      </c>
    </row>
    <row r="3904" spans="1:45" x14ac:dyDescent="0.35">
      <c r="A3904" t="s">
        <v>45</v>
      </c>
      <c r="B3904" t="s">
        <v>8332</v>
      </c>
      <c r="C3904" t="s">
        <v>47</v>
      </c>
      <c r="D3904" t="s">
        <v>8932</v>
      </c>
      <c r="E3904" t="s">
        <v>8932</v>
      </c>
      <c r="F3904" t="s">
        <v>49</v>
      </c>
      <c r="G3904" t="s">
        <v>8933</v>
      </c>
      <c r="H3904" t="s">
        <v>8934</v>
      </c>
      <c r="J3904" t="str">
        <f>HYPERLINK("https://www.facebook.com/454965103328545/videos/3697954183759550?comment_id=319900847150114","https://www.facebook.com/454965103328545/videos/3697954183759550?comment_id=319900847150114")</f>
        <v>https://www.facebook.com/454965103328545/videos/3697954183759550?comment_id=319900847150114</v>
      </c>
      <c r="O3904">
        <v>0</v>
      </c>
      <c r="P3904">
        <v>0</v>
      </c>
      <c r="Q3904">
        <v>0</v>
      </c>
      <c r="S3904">
        <v>0</v>
      </c>
      <c r="T3904">
        <v>0</v>
      </c>
      <c r="U3904">
        <v>0</v>
      </c>
      <c r="W3904" t="s">
        <v>62</v>
      </c>
      <c r="AP3904" t="s">
        <v>101</v>
      </c>
    </row>
    <row r="3905" spans="1:42" x14ac:dyDescent="0.35">
      <c r="A3905" t="s">
        <v>45</v>
      </c>
      <c r="B3905" t="s">
        <v>8332</v>
      </c>
      <c r="C3905" t="s">
        <v>47</v>
      </c>
      <c r="D3905" t="s">
        <v>8935</v>
      </c>
      <c r="E3905" t="s">
        <v>8935</v>
      </c>
      <c r="F3905" t="s">
        <v>49</v>
      </c>
      <c r="G3905" t="s">
        <v>7706</v>
      </c>
      <c r="H3905" t="s">
        <v>8936</v>
      </c>
      <c r="J3905" t="str">
        <f>HYPERLINK("https://www.facebook.com/454965103328545/videos/3697954183759550?comment_id=697399999220009","https://www.facebook.com/454965103328545/videos/3697954183759550?comment_id=697399999220009")</f>
        <v>https://www.facebook.com/454965103328545/videos/3697954183759550?comment_id=697399999220009</v>
      </c>
      <c r="O3905">
        <v>0</v>
      </c>
      <c r="P3905">
        <v>0</v>
      </c>
      <c r="Q3905">
        <v>0</v>
      </c>
      <c r="S3905">
        <v>0</v>
      </c>
      <c r="T3905">
        <v>0</v>
      </c>
      <c r="U3905">
        <v>0</v>
      </c>
      <c r="W3905" t="s">
        <v>62</v>
      </c>
    </row>
    <row r="3906" spans="1:42" x14ac:dyDescent="0.35">
      <c r="A3906" t="s">
        <v>45</v>
      </c>
      <c r="B3906" t="s">
        <v>8332</v>
      </c>
      <c r="C3906" t="s">
        <v>47</v>
      </c>
      <c r="D3906" t="s">
        <v>2587</v>
      </c>
      <c r="E3906" t="s">
        <v>2587</v>
      </c>
      <c r="F3906" t="s">
        <v>49</v>
      </c>
      <c r="G3906" t="s">
        <v>8937</v>
      </c>
      <c r="H3906" t="s">
        <v>8938</v>
      </c>
      <c r="J3906" t="str">
        <f>HYPERLINK("https://www.facebook.com/454965103328545/videos/3697954183759550?comment_id=415387157585914","https://www.facebook.com/454965103328545/videos/3697954183759550?comment_id=415387157585914")</f>
        <v>https://www.facebook.com/454965103328545/videos/3697954183759550?comment_id=415387157585914</v>
      </c>
      <c r="O3906">
        <v>0</v>
      </c>
      <c r="P3906">
        <v>0</v>
      </c>
      <c r="Q3906">
        <v>0</v>
      </c>
      <c r="S3906">
        <v>0</v>
      </c>
      <c r="T3906">
        <v>0</v>
      </c>
      <c r="U3906">
        <v>0</v>
      </c>
      <c r="W3906" t="s">
        <v>62</v>
      </c>
    </row>
    <row r="3907" spans="1:42" x14ac:dyDescent="0.35">
      <c r="A3907" t="s">
        <v>45</v>
      </c>
      <c r="B3907" t="s">
        <v>8332</v>
      </c>
      <c r="C3907" t="s">
        <v>47</v>
      </c>
      <c r="D3907" t="s">
        <v>7567</v>
      </c>
      <c r="E3907" t="s">
        <v>7567</v>
      </c>
      <c r="F3907" t="s">
        <v>49</v>
      </c>
      <c r="G3907" t="s">
        <v>8939</v>
      </c>
      <c r="H3907" t="s">
        <v>8940</v>
      </c>
      <c r="J3907" t="str">
        <f>HYPERLINK("https://www.facebook.com/454965103328545/videos/3697954183759550?comment_id=1040918457014094","https://www.facebook.com/454965103328545/videos/3697954183759550?comment_id=1040918457014094")</f>
        <v>https://www.facebook.com/454965103328545/videos/3697954183759550?comment_id=1040918457014094</v>
      </c>
      <c r="O3907">
        <v>0</v>
      </c>
      <c r="P3907">
        <v>0</v>
      </c>
      <c r="Q3907">
        <v>0</v>
      </c>
      <c r="S3907">
        <v>0</v>
      </c>
      <c r="T3907">
        <v>0</v>
      </c>
      <c r="U3907">
        <v>0</v>
      </c>
      <c r="W3907" t="s">
        <v>62</v>
      </c>
      <c r="AP3907" t="s">
        <v>101</v>
      </c>
    </row>
    <row r="3908" spans="1:42" x14ac:dyDescent="0.35">
      <c r="A3908" t="s">
        <v>45</v>
      </c>
      <c r="B3908" t="s">
        <v>8332</v>
      </c>
      <c r="C3908" t="s">
        <v>47</v>
      </c>
      <c r="D3908" t="s">
        <v>8845</v>
      </c>
      <c r="E3908" t="s">
        <v>8845</v>
      </c>
      <c r="F3908" t="s">
        <v>49</v>
      </c>
      <c r="G3908" t="s">
        <v>8941</v>
      </c>
      <c r="H3908" t="s">
        <v>8942</v>
      </c>
      <c r="J3908" t="str">
        <f>HYPERLINK("https://www.facebook.com/454965103328545/videos/3697954183759550?comment_id=768035191844908","https://www.facebook.com/454965103328545/videos/3697954183759550?comment_id=768035191844908")</f>
        <v>https://www.facebook.com/454965103328545/videos/3697954183759550?comment_id=768035191844908</v>
      </c>
      <c r="O3908">
        <v>0</v>
      </c>
      <c r="P3908">
        <v>0</v>
      </c>
      <c r="Q3908">
        <v>0</v>
      </c>
      <c r="S3908">
        <v>0</v>
      </c>
      <c r="T3908">
        <v>0</v>
      </c>
      <c r="U3908">
        <v>0</v>
      </c>
      <c r="W3908" t="s">
        <v>62</v>
      </c>
    </row>
    <row r="3909" spans="1:42" x14ac:dyDescent="0.35">
      <c r="A3909" t="s">
        <v>45</v>
      </c>
      <c r="B3909" t="s">
        <v>8332</v>
      </c>
      <c r="C3909" t="s">
        <v>47</v>
      </c>
      <c r="D3909" t="s">
        <v>8932</v>
      </c>
      <c r="E3909" t="s">
        <v>8932</v>
      </c>
      <c r="F3909" t="s">
        <v>49</v>
      </c>
      <c r="G3909" t="s">
        <v>8943</v>
      </c>
      <c r="H3909" t="s">
        <v>8944</v>
      </c>
      <c r="J3909" t="str">
        <f>HYPERLINK("https://www.facebook.com/454965103328545/videos/3697954183759550?comment_id=787413003413258","https://www.facebook.com/454965103328545/videos/3697954183759550?comment_id=787413003413258")</f>
        <v>https://www.facebook.com/454965103328545/videos/3697954183759550?comment_id=787413003413258</v>
      </c>
      <c r="O3909">
        <v>0</v>
      </c>
      <c r="P3909">
        <v>0</v>
      </c>
      <c r="Q3909">
        <v>0</v>
      </c>
      <c r="S3909">
        <v>0</v>
      </c>
      <c r="T3909">
        <v>0</v>
      </c>
      <c r="U3909">
        <v>0</v>
      </c>
      <c r="W3909" t="s">
        <v>62</v>
      </c>
      <c r="AP3909" t="s">
        <v>101</v>
      </c>
    </row>
    <row r="3910" spans="1:42" x14ac:dyDescent="0.35">
      <c r="A3910" t="s">
        <v>45</v>
      </c>
      <c r="B3910" t="s">
        <v>8332</v>
      </c>
      <c r="C3910" t="s">
        <v>47</v>
      </c>
      <c r="D3910" t="s">
        <v>8845</v>
      </c>
      <c r="E3910" t="s">
        <v>8845</v>
      </c>
      <c r="F3910" t="s">
        <v>49</v>
      </c>
      <c r="G3910" t="s">
        <v>8945</v>
      </c>
      <c r="H3910" t="s">
        <v>8946</v>
      </c>
      <c r="J3910" t="str">
        <f>HYPERLINK("https://www.facebook.com/454965103328545/videos/3697954183759550?comment_id=923185325873688","https://www.facebook.com/454965103328545/videos/3697954183759550?comment_id=923185325873688")</f>
        <v>https://www.facebook.com/454965103328545/videos/3697954183759550?comment_id=923185325873688</v>
      </c>
      <c r="O3910">
        <v>0</v>
      </c>
      <c r="P3910">
        <v>0</v>
      </c>
      <c r="Q3910">
        <v>0</v>
      </c>
      <c r="S3910">
        <v>0</v>
      </c>
      <c r="T3910">
        <v>0</v>
      </c>
      <c r="U3910">
        <v>0</v>
      </c>
      <c r="W3910" t="s">
        <v>62</v>
      </c>
    </row>
    <row r="3911" spans="1:42" x14ac:dyDescent="0.35">
      <c r="A3911" t="s">
        <v>45</v>
      </c>
      <c r="B3911" t="s">
        <v>8332</v>
      </c>
      <c r="C3911" t="s">
        <v>47</v>
      </c>
      <c r="D3911" t="s">
        <v>8947</v>
      </c>
      <c r="E3911" t="s">
        <v>8947</v>
      </c>
      <c r="F3911" t="s">
        <v>49</v>
      </c>
      <c r="G3911" t="s">
        <v>459</v>
      </c>
      <c r="H3911" t="s">
        <v>8948</v>
      </c>
      <c r="J3911" t="str">
        <f>HYPERLINK("https://www.facebook.com/454965103328545/videos/3697954183759550?comment_id=1405226286774625","https://www.facebook.com/454965103328545/videos/3697954183759550?comment_id=1405226286774625")</f>
        <v>https://www.facebook.com/454965103328545/videos/3697954183759550?comment_id=1405226286774625</v>
      </c>
      <c r="O3911">
        <v>0</v>
      </c>
      <c r="P3911">
        <v>0</v>
      </c>
      <c r="Q3911">
        <v>0</v>
      </c>
      <c r="S3911">
        <v>0</v>
      </c>
      <c r="T3911">
        <v>0</v>
      </c>
      <c r="U3911">
        <v>0</v>
      </c>
      <c r="W3911" t="s">
        <v>62</v>
      </c>
    </row>
    <row r="3912" spans="1:42" x14ac:dyDescent="0.35">
      <c r="A3912" t="s">
        <v>45</v>
      </c>
      <c r="B3912" t="s">
        <v>8332</v>
      </c>
      <c r="C3912" t="s">
        <v>47</v>
      </c>
      <c r="D3912" t="s">
        <v>3918</v>
      </c>
      <c r="E3912" t="s">
        <v>3918</v>
      </c>
      <c r="F3912" t="s">
        <v>49</v>
      </c>
      <c r="G3912" t="s">
        <v>8949</v>
      </c>
      <c r="H3912" t="s">
        <v>8950</v>
      </c>
      <c r="J3912" t="str">
        <f>HYPERLINK("https://www.facebook.com/454965103328545/videos/3697954183759550?comment_id=974995604050283","https://www.facebook.com/454965103328545/videos/3697954183759550?comment_id=974995604050283")</f>
        <v>https://www.facebook.com/454965103328545/videos/3697954183759550?comment_id=974995604050283</v>
      </c>
      <c r="O3912">
        <v>0</v>
      </c>
      <c r="P3912">
        <v>0</v>
      </c>
      <c r="Q3912">
        <v>0</v>
      </c>
      <c r="S3912">
        <v>0</v>
      </c>
      <c r="T3912">
        <v>0</v>
      </c>
      <c r="U3912">
        <v>0</v>
      </c>
      <c r="W3912" t="s">
        <v>62</v>
      </c>
    </row>
    <row r="3913" spans="1:42" x14ac:dyDescent="0.35">
      <c r="A3913" t="s">
        <v>45</v>
      </c>
      <c r="B3913" t="s">
        <v>8332</v>
      </c>
      <c r="C3913" t="s">
        <v>47</v>
      </c>
      <c r="D3913" t="s">
        <v>7567</v>
      </c>
      <c r="E3913" t="s">
        <v>7567</v>
      </c>
      <c r="F3913" t="s">
        <v>49</v>
      </c>
      <c r="G3913" t="s">
        <v>8951</v>
      </c>
      <c r="H3913" t="s">
        <v>8952</v>
      </c>
      <c r="J3913" t="str">
        <f>HYPERLINK("https://www.facebook.com/454965103328545/videos/3697954183759550?comment_id=828896655706338","https://www.facebook.com/454965103328545/videos/3697954183759550?comment_id=828896655706338")</f>
        <v>https://www.facebook.com/454965103328545/videos/3697954183759550?comment_id=828896655706338</v>
      </c>
      <c r="O3913">
        <v>0</v>
      </c>
      <c r="P3913">
        <v>0</v>
      </c>
      <c r="Q3913">
        <v>0</v>
      </c>
      <c r="S3913">
        <v>0</v>
      </c>
      <c r="T3913">
        <v>0</v>
      </c>
      <c r="U3913">
        <v>0</v>
      </c>
      <c r="W3913" t="s">
        <v>62</v>
      </c>
      <c r="AP3913" t="s">
        <v>101</v>
      </c>
    </row>
    <row r="3914" spans="1:42" x14ac:dyDescent="0.35">
      <c r="A3914" t="s">
        <v>45</v>
      </c>
      <c r="B3914" t="s">
        <v>8332</v>
      </c>
      <c r="C3914" t="s">
        <v>47</v>
      </c>
      <c r="D3914" t="s">
        <v>8845</v>
      </c>
      <c r="E3914" t="s">
        <v>8845</v>
      </c>
      <c r="F3914" t="s">
        <v>49</v>
      </c>
      <c r="G3914" t="s">
        <v>8953</v>
      </c>
      <c r="H3914" t="s">
        <v>8954</v>
      </c>
      <c r="J3914" t="str">
        <f>HYPERLINK("https://www.facebook.com/454965103328545/videos/3697954183759550?comment_id=2026063791109251","https://www.facebook.com/454965103328545/videos/3697954183759550?comment_id=2026063791109251")</f>
        <v>https://www.facebook.com/454965103328545/videos/3697954183759550?comment_id=2026063791109251</v>
      </c>
      <c r="O3914">
        <v>0</v>
      </c>
      <c r="P3914">
        <v>0</v>
      </c>
      <c r="Q3914">
        <v>0</v>
      </c>
      <c r="S3914">
        <v>0</v>
      </c>
      <c r="T3914">
        <v>0</v>
      </c>
      <c r="U3914">
        <v>0</v>
      </c>
      <c r="W3914" t="s">
        <v>62</v>
      </c>
    </row>
    <row r="3915" spans="1:42" x14ac:dyDescent="0.35">
      <c r="A3915" t="s">
        <v>45</v>
      </c>
      <c r="B3915" t="s">
        <v>8332</v>
      </c>
      <c r="C3915" t="s">
        <v>47</v>
      </c>
      <c r="D3915" t="s">
        <v>1706</v>
      </c>
      <c r="E3915" t="s">
        <v>1706</v>
      </c>
      <c r="F3915" t="s">
        <v>49</v>
      </c>
      <c r="G3915">
        <v>8967675753</v>
      </c>
      <c r="H3915" t="s">
        <v>8955</v>
      </c>
      <c r="J3915" t="str">
        <f>HYPERLINK("https://www.facebook.com/454965103328545/videos/3697954183759550?comment_id=416377884153381","https://www.facebook.com/454965103328545/videos/3697954183759550?comment_id=416377884153381")</f>
        <v>https://www.facebook.com/454965103328545/videos/3697954183759550?comment_id=416377884153381</v>
      </c>
      <c r="O3915">
        <v>0</v>
      </c>
      <c r="P3915">
        <v>0</v>
      </c>
      <c r="Q3915">
        <v>0</v>
      </c>
      <c r="S3915">
        <v>0</v>
      </c>
      <c r="T3915">
        <v>0</v>
      </c>
      <c r="U3915">
        <v>0</v>
      </c>
      <c r="W3915" t="s">
        <v>62</v>
      </c>
    </row>
    <row r="3916" spans="1:42" x14ac:dyDescent="0.35">
      <c r="A3916" t="s">
        <v>45</v>
      </c>
      <c r="B3916" t="s">
        <v>8332</v>
      </c>
      <c r="C3916" t="s">
        <v>47</v>
      </c>
      <c r="D3916" t="s">
        <v>8956</v>
      </c>
      <c r="E3916" t="s">
        <v>8956</v>
      </c>
      <c r="F3916" t="s">
        <v>49</v>
      </c>
      <c r="G3916" t="s">
        <v>8957</v>
      </c>
      <c r="H3916" t="s">
        <v>8958</v>
      </c>
      <c r="J3916" t="str">
        <f>HYPERLINK("https://www.facebook.com/454965103328545/videos/3697954183759550?comment_id=367082485963425","https://www.facebook.com/454965103328545/videos/3697954183759550?comment_id=367082485963425")</f>
        <v>https://www.facebook.com/454965103328545/videos/3697954183759550?comment_id=367082485963425</v>
      </c>
      <c r="O3916">
        <v>0</v>
      </c>
      <c r="P3916">
        <v>0</v>
      </c>
      <c r="Q3916">
        <v>0</v>
      </c>
      <c r="S3916">
        <v>0</v>
      </c>
      <c r="T3916">
        <v>0</v>
      </c>
      <c r="U3916">
        <v>0</v>
      </c>
      <c r="W3916" t="s">
        <v>62</v>
      </c>
    </row>
    <row r="3917" spans="1:42" x14ac:dyDescent="0.35">
      <c r="A3917" t="s">
        <v>45</v>
      </c>
      <c r="B3917" t="s">
        <v>8332</v>
      </c>
      <c r="C3917" t="s">
        <v>47</v>
      </c>
      <c r="D3917" t="s">
        <v>1706</v>
      </c>
      <c r="E3917" t="s">
        <v>1706</v>
      </c>
      <c r="F3917" t="s">
        <v>142</v>
      </c>
      <c r="G3917" t="s">
        <v>8959</v>
      </c>
      <c r="H3917" t="s">
        <v>8960</v>
      </c>
      <c r="J3917" t="str">
        <f>HYPERLINK("https://www.facebook.com/454965103328545/videos/3697954183759550?comment_id=3632352850385848","https://www.facebook.com/454965103328545/videos/3697954183759550?comment_id=3632352850385848")</f>
        <v>https://www.facebook.com/454965103328545/videos/3697954183759550?comment_id=3632352850385848</v>
      </c>
      <c r="O3917">
        <v>0</v>
      </c>
      <c r="P3917">
        <v>0</v>
      </c>
      <c r="Q3917">
        <v>0</v>
      </c>
      <c r="S3917">
        <v>0</v>
      </c>
      <c r="T3917">
        <v>0</v>
      </c>
      <c r="U3917">
        <v>0</v>
      </c>
      <c r="W3917" t="s">
        <v>62</v>
      </c>
      <c r="AP3917" t="s">
        <v>147</v>
      </c>
    </row>
    <row r="3918" spans="1:42" x14ac:dyDescent="0.35">
      <c r="A3918" t="s">
        <v>45</v>
      </c>
      <c r="B3918" t="s">
        <v>8332</v>
      </c>
      <c r="C3918" t="s">
        <v>47</v>
      </c>
      <c r="D3918" t="s">
        <v>1954</v>
      </c>
      <c r="E3918" t="s">
        <v>1954</v>
      </c>
      <c r="F3918" t="s">
        <v>49</v>
      </c>
      <c r="G3918" t="s">
        <v>8961</v>
      </c>
      <c r="H3918" t="s">
        <v>8962</v>
      </c>
      <c r="J3918" t="str">
        <f>HYPERLINK("https://www.facebook.com/454965103328545/videos/3697954183759550?comment_id=1097187808137287","https://www.facebook.com/454965103328545/videos/3697954183759550?comment_id=1097187808137287")</f>
        <v>https://www.facebook.com/454965103328545/videos/3697954183759550?comment_id=1097187808137287</v>
      </c>
      <c r="O3918">
        <v>0</v>
      </c>
      <c r="P3918">
        <v>0</v>
      </c>
      <c r="Q3918">
        <v>0</v>
      </c>
      <c r="S3918">
        <v>0</v>
      </c>
      <c r="T3918">
        <v>0</v>
      </c>
      <c r="U3918">
        <v>0</v>
      </c>
      <c r="W3918" t="s">
        <v>62</v>
      </c>
      <c r="AP3918" t="s">
        <v>101</v>
      </c>
    </row>
    <row r="3919" spans="1:42" x14ac:dyDescent="0.35">
      <c r="A3919" t="s">
        <v>45</v>
      </c>
      <c r="B3919" t="s">
        <v>8332</v>
      </c>
      <c r="C3919" t="s">
        <v>47</v>
      </c>
      <c r="D3919" t="s">
        <v>7567</v>
      </c>
      <c r="E3919" t="s">
        <v>7567</v>
      </c>
      <c r="F3919" t="s">
        <v>49</v>
      </c>
      <c r="G3919" t="s">
        <v>8963</v>
      </c>
      <c r="H3919" t="s">
        <v>8964</v>
      </c>
      <c r="J3919" t="str">
        <f>HYPERLINK("https://www.facebook.com/454965103328545/videos/3697954183759550?comment_id=1418525528740404","https://www.facebook.com/454965103328545/videos/3697954183759550?comment_id=1418525528740404")</f>
        <v>https://www.facebook.com/454965103328545/videos/3697954183759550?comment_id=1418525528740404</v>
      </c>
      <c r="O3919">
        <v>0</v>
      </c>
      <c r="P3919">
        <v>0</v>
      </c>
      <c r="Q3919">
        <v>0</v>
      </c>
      <c r="S3919">
        <v>0</v>
      </c>
      <c r="T3919">
        <v>0</v>
      </c>
      <c r="U3919">
        <v>0</v>
      </c>
      <c r="W3919" t="s">
        <v>62</v>
      </c>
    </row>
    <row r="3920" spans="1:42" x14ac:dyDescent="0.35">
      <c r="A3920" t="s">
        <v>45</v>
      </c>
      <c r="B3920" t="s">
        <v>8332</v>
      </c>
      <c r="C3920" t="s">
        <v>47</v>
      </c>
      <c r="D3920" t="s">
        <v>2587</v>
      </c>
      <c r="E3920" t="s">
        <v>2587</v>
      </c>
      <c r="F3920" t="s">
        <v>49</v>
      </c>
      <c r="G3920" t="s">
        <v>8965</v>
      </c>
      <c r="H3920" t="s">
        <v>8966</v>
      </c>
      <c r="J3920" t="str">
        <f>HYPERLINK("https://www.facebook.com/454965103328545/videos/3697954183759550?comment_id=369533682357679","https://www.facebook.com/454965103328545/videos/3697954183759550?comment_id=369533682357679")</f>
        <v>https://www.facebook.com/454965103328545/videos/3697954183759550?comment_id=369533682357679</v>
      </c>
      <c r="O3920">
        <v>0</v>
      </c>
      <c r="P3920">
        <v>0</v>
      </c>
      <c r="Q3920">
        <v>0</v>
      </c>
      <c r="S3920">
        <v>0</v>
      </c>
      <c r="T3920">
        <v>0</v>
      </c>
      <c r="U3920">
        <v>0</v>
      </c>
      <c r="W3920" t="s">
        <v>62</v>
      </c>
    </row>
    <row r="3921" spans="1:45" x14ac:dyDescent="0.35">
      <c r="A3921" t="s">
        <v>45</v>
      </c>
      <c r="B3921" t="s">
        <v>8332</v>
      </c>
      <c r="C3921" t="s">
        <v>47</v>
      </c>
      <c r="D3921" t="s">
        <v>8967</v>
      </c>
      <c r="E3921" t="s">
        <v>8967</v>
      </c>
      <c r="F3921" t="s">
        <v>49</v>
      </c>
      <c r="G3921" t="s">
        <v>8968</v>
      </c>
      <c r="H3921" t="s">
        <v>8969</v>
      </c>
      <c r="J3921" t="str">
        <f>HYPERLINK("https://www.facebook.com/454965103328545/videos/3697954183759550?comment_id=1811009799338656","https://www.facebook.com/454965103328545/videos/3697954183759550?comment_id=1811009799338656")</f>
        <v>https://www.facebook.com/454965103328545/videos/3697954183759550?comment_id=1811009799338656</v>
      </c>
      <c r="O3921">
        <v>0</v>
      </c>
      <c r="P3921">
        <v>0</v>
      </c>
      <c r="Q3921">
        <v>0</v>
      </c>
      <c r="S3921">
        <v>0</v>
      </c>
      <c r="T3921">
        <v>0</v>
      </c>
      <c r="U3921">
        <v>0</v>
      </c>
      <c r="W3921" t="s">
        <v>62</v>
      </c>
      <c r="AP3921" t="s">
        <v>101</v>
      </c>
    </row>
    <row r="3922" spans="1:45" x14ac:dyDescent="0.35">
      <c r="A3922" t="s">
        <v>45</v>
      </c>
      <c r="B3922" t="s">
        <v>8332</v>
      </c>
      <c r="C3922" t="s">
        <v>47</v>
      </c>
      <c r="D3922" t="s">
        <v>8932</v>
      </c>
      <c r="E3922" t="s">
        <v>8932</v>
      </c>
      <c r="F3922" t="s">
        <v>49</v>
      </c>
      <c r="G3922" t="s">
        <v>8970</v>
      </c>
      <c r="H3922" t="s">
        <v>8971</v>
      </c>
      <c r="J3922" t="str">
        <f>HYPERLINK("https://www.facebook.com/454965103328545/videos/3697954183759550?comment_id=313260197908708","https://www.facebook.com/454965103328545/videos/3697954183759550?comment_id=313260197908708")</f>
        <v>https://www.facebook.com/454965103328545/videos/3697954183759550?comment_id=313260197908708</v>
      </c>
      <c r="O3922">
        <v>0</v>
      </c>
      <c r="P3922">
        <v>0</v>
      </c>
      <c r="Q3922">
        <v>0</v>
      </c>
      <c r="S3922">
        <v>0</v>
      </c>
      <c r="T3922">
        <v>0</v>
      </c>
      <c r="U3922">
        <v>0</v>
      </c>
      <c r="W3922" t="s">
        <v>62</v>
      </c>
      <c r="AP3922" t="s">
        <v>101</v>
      </c>
    </row>
    <row r="3923" spans="1:45" x14ac:dyDescent="0.35">
      <c r="A3923" t="s">
        <v>45</v>
      </c>
      <c r="B3923" t="s">
        <v>8332</v>
      </c>
      <c r="C3923" t="s">
        <v>47</v>
      </c>
      <c r="D3923" t="s">
        <v>8845</v>
      </c>
      <c r="E3923" t="s">
        <v>8845</v>
      </c>
      <c r="F3923" t="s">
        <v>49</v>
      </c>
      <c r="G3923" t="s">
        <v>8972</v>
      </c>
      <c r="H3923" t="s">
        <v>8973</v>
      </c>
      <c r="J3923" t="str">
        <f>HYPERLINK("https://www.facebook.com/454965103328545/videos/3697954183759550?comment_id=399576239133502","https://www.facebook.com/454965103328545/videos/3697954183759550?comment_id=399576239133502")</f>
        <v>https://www.facebook.com/454965103328545/videos/3697954183759550?comment_id=399576239133502</v>
      </c>
      <c r="O3923">
        <v>0</v>
      </c>
      <c r="P3923">
        <v>0</v>
      </c>
      <c r="Q3923">
        <v>0</v>
      </c>
      <c r="S3923">
        <v>0</v>
      </c>
      <c r="T3923">
        <v>0</v>
      </c>
      <c r="U3923">
        <v>0</v>
      </c>
      <c r="W3923" t="s">
        <v>62</v>
      </c>
    </row>
    <row r="3924" spans="1:45" x14ac:dyDescent="0.35">
      <c r="A3924" t="s">
        <v>45</v>
      </c>
      <c r="B3924" t="s">
        <v>8332</v>
      </c>
      <c r="C3924" t="s">
        <v>47</v>
      </c>
      <c r="D3924" t="s">
        <v>8956</v>
      </c>
      <c r="E3924" t="s">
        <v>8956</v>
      </c>
      <c r="F3924" t="s">
        <v>49</v>
      </c>
      <c r="G3924">
        <v>8435283432</v>
      </c>
      <c r="H3924" t="s">
        <v>8974</v>
      </c>
      <c r="J3924" t="str">
        <f>HYPERLINK("https://www.facebook.com/454965103328545/videos/3697954183759550?comment_id=2724763681032610","https://www.facebook.com/454965103328545/videos/3697954183759550?comment_id=2724763681032610")</f>
        <v>https://www.facebook.com/454965103328545/videos/3697954183759550?comment_id=2724763681032610</v>
      </c>
      <c r="O3924">
        <v>0</v>
      </c>
      <c r="P3924">
        <v>0</v>
      </c>
      <c r="Q3924">
        <v>0</v>
      </c>
      <c r="S3924">
        <v>0</v>
      </c>
      <c r="T3924">
        <v>0</v>
      </c>
      <c r="U3924">
        <v>0</v>
      </c>
      <c r="W3924" t="s">
        <v>62</v>
      </c>
    </row>
    <row r="3925" spans="1:45" x14ac:dyDescent="0.35">
      <c r="A3925" t="s">
        <v>45</v>
      </c>
      <c r="B3925" t="s">
        <v>8332</v>
      </c>
      <c r="C3925" t="s">
        <v>47</v>
      </c>
      <c r="D3925" t="s">
        <v>8877</v>
      </c>
      <c r="E3925" t="s">
        <v>8877</v>
      </c>
      <c r="F3925" t="s">
        <v>49</v>
      </c>
      <c r="G3925" t="s">
        <v>7743</v>
      </c>
      <c r="H3925" t="s">
        <v>8975</v>
      </c>
      <c r="J3925" t="str">
        <f>HYPERLINK("https://www.facebook.com/454965103328545/videos/3697954183759550?comment_id=306276569120133","https://www.facebook.com/454965103328545/videos/3697954183759550?comment_id=306276569120133")</f>
        <v>https://www.facebook.com/454965103328545/videos/3697954183759550?comment_id=306276569120133</v>
      </c>
      <c r="O3925">
        <v>0</v>
      </c>
      <c r="P3925">
        <v>0</v>
      </c>
      <c r="Q3925">
        <v>0</v>
      </c>
      <c r="S3925">
        <v>0</v>
      </c>
      <c r="T3925">
        <v>0</v>
      </c>
      <c r="U3925">
        <v>0</v>
      </c>
      <c r="W3925" t="s">
        <v>62</v>
      </c>
    </row>
    <row r="3926" spans="1:45" x14ac:dyDescent="0.35">
      <c r="A3926" t="s">
        <v>45</v>
      </c>
      <c r="B3926" t="s">
        <v>8332</v>
      </c>
      <c r="C3926" t="s">
        <v>47</v>
      </c>
      <c r="D3926" t="s">
        <v>8967</v>
      </c>
      <c r="E3926" t="s">
        <v>8967</v>
      </c>
      <c r="F3926" t="s">
        <v>49</v>
      </c>
      <c r="G3926" t="s">
        <v>7706</v>
      </c>
      <c r="H3926" t="s">
        <v>8976</v>
      </c>
      <c r="J3926" t="str">
        <f>HYPERLINK("https://www.facebook.com/454965103328545/videos/3697954183759550?comment_id=371685888826790","https://www.facebook.com/454965103328545/videos/3697954183759550?comment_id=371685888826790")</f>
        <v>https://www.facebook.com/454965103328545/videos/3697954183759550?comment_id=371685888826790</v>
      </c>
      <c r="O3926">
        <v>0</v>
      </c>
      <c r="P3926">
        <v>0</v>
      </c>
      <c r="Q3926">
        <v>0</v>
      </c>
      <c r="S3926">
        <v>0</v>
      </c>
      <c r="T3926">
        <v>0</v>
      </c>
      <c r="U3926">
        <v>0</v>
      </c>
      <c r="W3926" t="s">
        <v>62</v>
      </c>
    </row>
    <row r="3927" spans="1:45" x14ac:dyDescent="0.35">
      <c r="A3927" t="s">
        <v>45</v>
      </c>
      <c r="B3927" t="s">
        <v>8332</v>
      </c>
      <c r="C3927" t="s">
        <v>47</v>
      </c>
      <c r="D3927" t="s">
        <v>8956</v>
      </c>
      <c r="E3927" t="s">
        <v>8956</v>
      </c>
      <c r="F3927" t="s">
        <v>49</v>
      </c>
      <c r="G3927" t="s">
        <v>8977</v>
      </c>
      <c r="H3927" t="s">
        <v>8978</v>
      </c>
      <c r="J3927" t="str">
        <f>HYPERLINK("https://www.facebook.com/454965103328545/videos/3697954183759550?comment_id=361785693326088","https://www.facebook.com/454965103328545/videos/3697954183759550?comment_id=361785693326088")</f>
        <v>https://www.facebook.com/454965103328545/videos/3697954183759550?comment_id=361785693326088</v>
      </c>
      <c r="O3927">
        <v>0</v>
      </c>
      <c r="P3927">
        <v>0</v>
      </c>
      <c r="Q3927">
        <v>0</v>
      </c>
      <c r="S3927">
        <v>0</v>
      </c>
      <c r="T3927">
        <v>0</v>
      </c>
      <c r="U3927">
        <v>0</v>
      </c>
      <c r="W3927" t="s">
        <v>62</v>
      </c>
    </row>
    <row r="3928" spans="1:45" x14ac:dyDescent="0.35">
      <c r="A3928" t="s">
        <v>45</v>
      </c>
      <c r="B3928" t="s">
        <v>8332</v>
      </c>
      <c r="C3928" t="s">
        <v>47</v>
      </c>
      <c r="D3928" t="s">
        <v>7567</v>
      </c>
      <c r="E3928" t="s">
        <v>7567</v>
      </c>
      <c r="F3928" t="s">
        <v>49</v>
      </c>
      <c r="G3928" t="s">
        <v>8979</v>
      </c>
      <c r="H3928" t="s">
        <v>8980</v>
      </c>
      <c r="J3928" t="str">
        <f>HYPERLINK("https://www.facebook.com/454965103328545/videos/3697954183759550?comment_id=773626304584167","https://www.facebook.com/454965103328545/videos/3697954183759550?comment_id=773626304584167")</f>
        <v>https://www.facebook.com/454965103328545/videos/3697954183759550?comment_id=773626304584167</v>
      </c>
      <c r="O3928">
        <v>0</v>
      </c>
      <c r="P3928">
        <v>0</v>
      </c>
      <c r="Q3928">
        <v>0</v>
      </c>
      <c r="S3928">
        <v>0</v>
      </c>
      <c r="T3928">
        <v>0</v>
      </c>
      <c r="U3928">
        <v>0</v>
      </c>
      <c r="W3928" t="s">
        <v>62</v>
      </c>
      <c r="AP3928" t="s">
        <v>101</v>
      </c>
    </row>
    <row r="3929" spans="1:45" x14ac:dyDescent="0.35">
      <c r="A3929" t="s">
        <v>45</v>
      </c>
      <c r="B3929" t="s">
        <v>8332</v>
      </c>
      <c r="C3929" t="s">
        <v>47</v>
      </c>
      <c r="D3929" t="s">
        <v>1954</v>
      </c>
      <c r="E3929" t="s">
        <v>1954</v>
      </c>
      <c r="F3929" t="s">
        <v>49</v>
      </c>
      <c r="G3929">
        <v>9774447960</v>
      </c>
      <c r="H3929" t="s">
        <v>8981</v>
      </c>
      <c r="J3929" t="str">
        <f>HYPERLINK("https://www.facebook.com/454965103328545/videos/3697954183759550?comment_id=327581066289309","https://www.facebook.com/454965103328545/videos/3697954183759550?comment_id=327581066289309")</f>
        <v>https://www.facebook.com/454965103328545/videos/3697954183759550?comment_id=327581066289309</v>
      </c>
      <c r="O3929">
        <v>0</v>
      </c>
      <c r="P3929">
        <v>0</v>
      </c>
      <c r="Q3929">
        <v>0</v>
      </c>
      <c r="S3929">
        <v>0</v>
      </c>
      <c r="T3929">
        <v>0</v>
      </c>
      <c r="U3929">
        <v>0</v>
      </c>
      <c r="W3929" t="s">
        <v>62</v>
      </c>
    </row>
    <row r="3930" spans="1:45" x14ac:dyDescent="0.35">
      <c r="A3930" t="s">
        <v>45</v>
      </c>
      <c r="B3930" t="s">
        <v>8332</v>
      </c>
      <c r="C3930" t="s">
        <v>47</v>
      </c>
      <c r="D3930" t="s">
        <v>8982</v>
      </c>
      <c r="E3930" t="s">
        <v>8982</v>
      </c>
      <c r="F3930" t="s">
        <v>49</v>
      </c>
      <c r="G3930" t="s">
        <v>459</v>
      </c>
      <c r="H3930" t="s">
        <v>8983</v>
      </c>
      <c r="J3930" t="str">
        <f>HYPERLINK("https://www.facebook.com/454965103328545/videos/3697954183759550?comment_id=738656268328776","https://www.facebook.com/454965103328545/videos/3697954183759550?comment_id=738656268328776")</f>
        <v>https://www.facebook.com/454965103328545/videos/3697954183759550?comment_id=738656268328776</v>
      </c>
      <c r="O3930">
        <v>0</v>
      </c>
      <c r="P3930">
        <v>0</v>
      </c>
      <c r="Q3930">
        <v>0</v>
      </c>
      <c r="S3930">
        <v>0</v>
      </c>
      <c r="T3930">
        <v>0</v>
      </c>
      <c r="U3930">
        <v>0</v>
      </c>
      <c r="W3930" t="s">
        <v>62</v>
      </c>
    </row>
    <row r="3931" spans="1:45" x14ac:dyDescent="0.35">
      <c r="A3931" t="s">
        <v>45</v>
      </c>
      <c r="B3931" t="s">
        <v>8332</v>
      </c>
      <c r="C3931" t="s">
        <v>47</v>
      </c>
      <c r="D3931" t="s">
        <v>7567</v>
      </c>
      <c r="E3931" t="s">
        <v>7567</v>
      </c>
      <c r="F3931" t="s">
        <v>49</v>
      </c>
      <c r="G3931" t="s">
        <v>8984</v>
      </c>
      <c r="H3931" t="s">
        <v>8985</v>
      </c>
      <c r="J3931" t="str">
        <f>HYPERLINK("https://www.facebook.com/454965103328545/videos/3697954183759550?comment_id=682979833997512","https://www.facebook.com/454965103328545/videos/3697954183759550?comment_id=682979833997512")</f>
        <v>https://www.facebook.com/454965103328545/videos/3697954183759550?comment_id=682979833997512</v>
      </c>
      <c r="O3931">
        <v>0</v>
      </c>
      <c r="P3931">
        <v>0</v>
      </c>
      <c r="Q3931">
        <v>0</v>
      </c>
      <c r="S3931">
        <v>0</v>
      </c>
      <c r="T3931">
        <v>0</v>
      </c>
      <c r="U3931">
        <v>0</v>
      </c>
      <c r="W3931" t="s">
        <v>62</v>
      </c>
    </row>
    <row r="3932" spans="1:45" x14ac:dyDescent="0.35">
      <c r="A3932" t="s">
        <v>45</v>
      </c>
      <c r="B3932" t="s">
        <v>8332</v>
      </c>
      <c r="C3932" t="s">
        <v>47</v>
      </c>
      <c r="D3932" t="s">
        <v>1706</v>
      </c>
      <c r="E3932" t="s">
        <v>1706</v>
      </c>
      <c r="F3932" t="s">
        <v>142</v>
      </c>
      <c r="G3932" t="s">
        <v>8986</v>
      </c>
      <c r="H3932" t="s">
        <v>8987</v>
      </c>
      <c r="J3932" t="str">
        <f>HYPERLINK("https://www.facebook.com/454965103328545/videos/3697954183759550?comment_id=1661709140903169","https://www.facebook.com/454965103328545/videos/3697954183759550?comment_id=1661709140903169")</f>
        <v>https://www.facebook.com/454965103328545/videos/3697954183759550?comment_id=1661709140903169</v>
      </c>
      <c r="O3932">
        <v>0</v>
      </c>
      <c r="P3932">
        <v>0</v>
      </c>
      <c r="Q3932">
        <v>0</v>
      </c>
      <c r="S3932">
        <v>0</v>
      </c>
      <c r="T3932">
        <v>0</v>
      </c>
      <c r="U3932">
        <v>0</v>
      </c>
      <c r="W3932" t="s">
        <v>62</v>
      </c>
      <c r="AP3932" t="s">
        <v>147</v>
      </c>
    </row>
    <row r="3933" spans="1:45" x14ac:dyDescent="0.35">
      <c r="A3933" t="s">
        <v>45</v>
      </c>
      <c r="B3933" t="s">
        <v>8332</v>
      </c>
      <c r="C3933" t="s">
        <v>47</v>
      </c>
      <c r="D3933" t="s">
        <v>1954</v>
      </c>
      <c r="E3933" t="s">
        <v>1954</v>
      </c>
      <c r="F3933" t="s">
        <v>49</v>
      </c>
      <c r="G3933" t="s">
        <v>8988</v>
      </c>
      <c r="H3933" t="s">
        <v>8989</v>
      </c>
      <c r="J3933" t="str">
        <f>HYPERLINK("https://www.facebook.com/454965103328545/videos/3697954183759550?comment_id=915571980173821","https://www.facebook.com/454965103328545/videos/3697954183759550?comment_id=915571980173821")</f>
        <v>https://www.facebook.com/454965103328545/videos/3697954183759550?comment_id=915571980173821</v>
      </c>
      <c r="O3933">
        <v>0</v>
      </c>
      <c r="P3933">
        <v>0</v>
      </c>
      <c r="Q3933">
        <v>0</v>
      </c>
      <c r="S3933">
        <v>0</v>
      </c>
      <c r="T3933">
        <v>0</v>
      </c>
      <c r="U3933">
        <v>0</v>
      </c>
      <c r="W3933" t="s">
        <v>62</v>
      </c>
    </row>
    <row r="3934" spans="1:45" x14ac:dyDescent="0.35">
      <c r="A3934" t="s">
        <v>45</v>
      </c>
      <c r="B3934" t="s">
        <v>8332</v>
      </c>
      <c r="C3934" t="s">
        <v>47</v>
      </c>
      <c r="D3934" t="s">
        <v>8732</v>
      </c>
      <c r="E3934" t="s">
        <v>8732</v>
      </c>
      <c r="F3934" t="s">
        <v>49</v>
      </c>
      <c r="G3934" t="s">
        <v>50</v>
      </c>
      <c r="H3934" t="s">
        <v>8990</v>
      </c>
      <c r="J3934" t="str">
        <f>HYPERLINK("https://www.facebook.com/357267201017935/inbox/6991938837550705/","https://www.facebook.com/357267201017935/inbox/6991938837550705/")</f>
        <v>https://www.facebook.com/357267201017935/inbox/6991938837550705/</v>
      </c>
      <c r="O3934">
        <v>0</v>
      </c>
      <c r="P3934">
        <v>0</v>
      </c>
      <c r="Q3934">
        <v>0</v>
      </c>
      <c r="S3934">
        <v>0</v>
      </c>
      <c r="T3934">
        <v>0</v>
      </c>
      <c r="U3934">
        <v>0</v>
      </c>
      <c r="W3934" t="s">
        <v>52</v>
      </c>
    </row>
    <row r="3935" spans="1:45" x14ac:dyDescent="0.35">
      <c r="A3935" t="s">
        <v>45</v>
      </c>
      <c r="B3935" t="s">
        <v>8332</v>
      </c>
      <c r="C3935" t="s">
        <v>47</v>
      </c>
      <c r="D3935" t="s">
        <v>8991</v>
      </c>
      <c r="E3935" t="s">
        <v>8991</v>
      </c>
      <c r="F3935" t="s">
        <v>49</v>
      </c>
      <c r="G3935" t="s">
        <v>8992</v>
      </c>
      <c r="H3935" t="s">
        <v>8993</v>
      </c>
      <c r="J3935" t="str">
        <f>HYPERLINK("https://www.facebook.com/454965103328545/posts/763899692435083?comment_id=7175285955859527","https://www.facebook.com/454965103328545/posts/763899692435083?comment_id=7175285955859527")</f>
        <v>https://www.facebook.com/454965103328545/posts/763899692435083?comment_id=7175285955859527</v>
      </c>
      <c r="O3935">
        <v>0</v>
      </c>
      <c r="P3935">
        <v>0</v>
      </c>
      <c r="Q3935">
        <v>0</v>
      </c>
      <c r="S3935">
        <v>0</v>
      </c>
      <c r="T3935">
        <v>0</v>
      </c>
      <c r="U3935">
        <v>0</v>
      </c>
      <c r="W3935" t="s">
        <v>62</v>
      </c>
      <c r="AS3935" t="s">
        <v>375</v>
      </c>
    </row>
    <row r="3936" spans="1:45" x14ac:dyDescent="0.35">
      <c r="A3936" t="s">
        <v>45</v>
      </c>
      <c r="B3936" t="s">
        <v>8332</v>
      </c>
      <c r="C3936" t="s">
        <v>47</v>
      </c>
      <c r="D3936" t="s">
        <v>7567</v>
      </c>
      <c r="E3936" t="s">
        <v>7567</v>
      </c>
      <c r="F3936" t="s">
        <v>49</v>
      </c>
      <c r="G3936" t="s">
        <v>8994</v>
      </c>
      <c r="H3936" t="s">
        <v>8995</v>
      </c>
      <c r="J3936" t="str">
        <f>HYPERLINK("https://www.facebook.com/454965103328545/videos/3697954183759550?comment_id=2385375295002766","https://www.facebook.com/454965103328545/videos/3697954183759550?comment_id=2385375295002766")</f>
        <v>https://www.facebook.com/454965103328545/videos/3697954183759550?comment_id=2385375295002766</v>
      </c>
      <c r="O3936">
        <v>0</v>
      </c>
      <c r="P3936">
        <v>0</v>
      </c>
      <c r="Q3936">
        <v>0</v>
      </c>
      <c r="S3936">
        <v>0</v>
      </c>
      <c r="T3936">
        <v>0</v>
      </c>
      <c r="U3936">
        <v>0</v>
      </c>
      <c r="W3936" t="s">
        <v>62</v>
      </c>
    </row>
    <row r="3937" spans="1:42" x14ac:dyDescent="0.35">
      <c r="A3937" t="s">
        <v>45</v>
      </c>
      <c r="B3937" t="s">
        <v>8332</v>
      </c>
      <c r="C3937" t="s">
        <v>47</v>
      </c>
      <c r="D3937" t="s">
        <v>8996</v>
      </c>
      <c r="E3937" t="s">
        <v>8996</v>
      </c>
      <c r="F3937" t="s">
        <v>76</v>
      </c>
      <c r="G3937" t="s">
        <v>8367</v>
      </c>
      <c r="H3937" t="s">
        <v>8997</v>
      </c>
      <c r="J3937" t="str">
        <f>HYPERLINK("https://www.facebook.com/454965103328545/videos/3697954183759550?comment_id=701302198755374","https://www.facebook.com/454965103328545/videos/3697954183759550?comment_id=701302198755374")</f>
        <v>https://www.facebook.com/454965103328545/videos/3697954183759550?comment_id=701302198755374</v>
      </c>
      <c r="O3937">
        <v>0</v>
      </c>
      <c r="P3937">
        <v>0</v>
      </c>
      <c r="Q3937">
        <v>0</v>
      </c>
      <c r="S3937">
        <v>0</v>
      </c>
      <c r="T3937">
        <v>0</v>
      </c>
      <c r="U3937">
        <v>0</v>
      </c>
      <c r="W3937" t="s">
        <v>62</v>
      </c>
    </row>
    <row r="3938" spans="1:42" x14ac:dyDescent="0.35">
      <c r="A3938" t="s">
        <v>45</v>
      </c>
      <c r="B3938" t="s">
        <v>8332</v>
      </c>
      <c r="C3938" t="s">
        <v>47</v>
      </c>
      <c r="D3938" t="s">
        <v>8998</v>
      </c>
      <c r="E3938" t="s">
        <v>8998</v>
      </c>
      <c r="F3938" t="s">
        <v>142</v>
      </c>
      <c r="G3938" t="s">
        <v>4120</v>
      </c>
      <c r="H3938" t="s">
        <v>8999</v>
      </c>
      <c r="J3938" t="str">
        <f>HYPERLINK("https://www.facebook.com/454965103328545/videos/3697954183759550?comment_id=883641500115838","https://www.facebook.com/454965103328545/videos/3697954183759550?comment_id=883641500115838")</f>
        <v>https://www.facebook.com/454965103328545/videos/3697954183759550?comment_id=883641500115838</v>
      </c>
      <c r="O3938">
        <v>0</v>
      </c>
      <c r="P3938">
        <v>0</v>
      </c>
      <c r="Q3938">
        <v>0</v>
      </c>
      <c r="S3938">
        <v>0</v>
      </c>
      <c r="T3938">
        <v>0</v>
      </c>
      <c r="U3938">
        <v>0</v>
      </c>
      <c r="W3938" t="s">
        <v>62</v>
      </c>
    </row>
    <row r="3939" spans="1:42" x14ac:dyDescent="0.35">
      <c r="A3939" t="s">
        <v>45</v>
      </c>
      <c r="B3939" t="s">
        <v>8332</v>
      </c>
      <c r="C3939" t="s">
        <v>47</v>
      </c>
      <c r="D3939" t="s">
        <v>8998</v>
      </c>
      <c r="E3939" t="s">
        <v>8998</v>
      </c>
      <c r="F3939" t="s">
        <v>49</v>
      </c>
      <c r="G3939" t="s">
        <v>9000</v>
      </c>
      <c r="H3939" t="s">
        <v>9001</v>
      </c>
      <c r="J3939" t="str">
        <f>HYPERLINK("https://www.facebook.com/454965103328545/videos/3697954183759550?comment_id=1420406655269036","https://www.facebook.com/454965103328545/videos/3697954183759550?comment_id=1420406655269036")</f>
        <v>https://www.facebook.com/454965103328545/videos/3697954183759550?comment_id=1420406655269036</v>
      </c>
      <c r="O3939">
        <v>0</v>
      </c>
      <c r="P3939">
        <v>0</v>
      </c>
      <c r="Q3939">
        <v>0</v>
      </c>
      <c r="S3939">
        <v>0</v>
      </c>
      <c r="T3939">
        <v>0</v>
      </c>
      <c r="U3939">
        <v>0</v>
      </c>
      <c r="W3939" t="s">
        <v>62</v>
      </c>
    </row>
    <row r="3940" spans="1:42" x14ac:dyDescent="0.35">
      <c r="A3940" t="s">
        <v>45</v>
      </c>
      <c r="B3940" t="s">
        <v>8332</v>
      </c>
      <c r="C3940" t="s">
        <v>47</v>
      </c>
      <c r="D3940" t="s">
        <v>8917</v>
      </c>
      <c r="E3940" t="s">
        <v>8917</v>
      </c>
      <c r="F3940" t="s">
        <v>49</v>
      </c>
      <c r="G3940" t="s">
        <v>9002</v>
      </c>
      <c r="H3940" t="s">
        <v>9003</v>
      </c>
      <c r="J3940" t="str">
        <f>HYPERLINK("https://www.facebook.com/454965103328545/videos/3697954183759550?comment_id=860993469044674","https://www.facebook.com/454965103328545/videos/3697954183759550?comment_id=860993469044674")</f>
        <v>https://www.facebook.com/454965103328545/videos/3697954183759550?comment_id=860993469044674</v>
      </c>
      <c r="O3940">
        <v>0</v>
      </c>
      <c r="P3940">
        <v>0</v>
      </c>
      <c r="Q3940">
        <v>0</v>
      </c>
      <c r="S3940">
        <v>0</v>
      </c>
      <c r="T3940">
        <v>0</v>
      </c>
      <c r="U3940">
        <v>0</v>
      </c>
      <c r="W3940" t="s">
        <v>62</v>
      </c>
    </row>
    <row r="3941" spans="1:42" x14ac:dyDescent="0.35">
      <c r="A3941" t="s">
        <v>45</v>
      </c>
      <c r="B3941" t="s">
        <v>8332</v>
      </c>
      <c r="C3941" t="s">
        <v>47</v>
      </c>
      <c r="D3941" t="s">
        <v>7567</v>
      </c>
      <c r="E3941" t="s">
        <v>7567</v>
      </c>
      <c r="F3941" t="s">
        <v>49</v>
      </c>
      <c r="G3941" t="s">
        <v>9004</v>
      </c>
      <c r="H3941" t="s">
        <v>9005</v>
      </c>
      <c r="J3941" t="str">
        <f>HYPERLINK("https://www.facebook.com/454965103328545/videos/3697954183759550?comment_id=1108252020187220","https://www.facebook.com/454965103328545/videos/3697954183759550?comment_id=1108252020187220")</f>
        <v>https://www.facebook.com/454965103328545/videos/3697954183759550?comment_id=1108252020187220</v>
      </c>
      <c r="O3941">
        <v>0</v>
      </c>
      <c r="P3941">
        <v>0</v>
      </c>
      <c r="Q3941">
        <v>0</v>
      </c>
      <c r="S3941">
        <v>0</v>
      </c>
      <c r="T3941">
        <v>0</v>
      </c>
      <c r="U3941">
        <v>0</v>
      </c>
      <c r="W3941" t="s">
        <v>62</v>
      </c>
    </row>
    <row r="3942" spans="1:42" x14ac:dyDescent="0.35">
      <c r="A3942" t="s">
        <v>45</v>
      </c>
      <c r="B3942" t="s">
        <v>8332</v>
      </c>
      <c r="C3942" t="s">
        <v>47</v>
      </c>
      <c r="D3942" t="s">
        <v>2587</v>
      </c>
      <c r="E3942" t="s">
        <v>2587</v>
      </c>
      <c r="F3942" t="s">
        <v>142</v>
      </c>
      <c r="G3942" t="s">
        <v>9006</v>
      </c>
      <c r="H3942" t="s">
        <v>9007</v>
      </c>
      <c r="J3942" t="str">
        <f>HYPERLINK("https://www.facebook.com/454965103328545/videos/3697954183759550?comment_id=1305725036777880","https://www.facebook.com/454965103328545/videos/3697954183759550?comment_id=1305725036777880")</f>
        <v>https://www.facebook.com/454965103328545/videos/3697954183759550?comment_id=1305725036777880</v>
      </c>
      <c r="O3942">
        <v>0</v>
      </c>
      <c r="P3942">
        <v>0</v>
      </c>
      <c r="Q3942">
        <v>0</v>
      </c>
      <c r="S3942">
        <v>0</v>
      </c>
      <c r="T3942">
        <v>0</v>
      </c>
      <c r="U3942">
        <v>0</v>
      </c>
      <c r="W3942" t="s">
        <v>62</v>
      </c>
    </row>
    <row r="3943" spans="1:42" x14ac:dyDescent="0.35">
      <c r="A3943" t="s">
        <v>45</v>
      </c>
      <c r="B3943" t="s">
        <v>8332</v>
      </c>
      <c r="C3943" t="s">
        <v>47</v>
      </c>
      <c r="D3943" t="s">
        <v>7567</v>
      </c>
      <c r="E3943" t="s">
        <v>7567</v>
      </c>
      <c r="F3943" t="s">
        <v>49</v>
      </c>
      <c r="G3943" t="s">
        <v>9008</v>
      </c>
      <c r="H3943" t="s">
        <v>9009</v>
      </c>
      <c r="J3943" t="str">
        <f>HYPERLINK("https://www.facebook.com/454965103328545/videos/3697954183759550?comment_id=1295765601077482","https://www.facebook.com/454965103328545/videos/3697954183759550?comment_id=1295765601077482")</f>
        <v>https://www.facebook.com/454965103328545/videos/3697954183759550?comment_id=1295765601077482</v>
      </c>
      <c r="O3943">
        <v>0</v>
      </c>
      <c r="P3943">
        <v>0</v>
      </c>
      <c r="Q3943">
        <v>0</v>
      </c>
      <c r="S3943">
        <v>0</v>
      </c>
      <c r="T3943">
        <v>0</v>
      </c>
      <c r="U3943">
        <v>0</v>
      </c>
      <c r="W3943" t="s">
        <v>62</v>
      </c>
    </row>
    <row r="3944" spans="1:42" x14ac:dyDescent="0.35">
      <c r="A3944" t="s">
        <v>45</v>
      </c>
      <c r="B3944" t="s">
        <v>8332</v>
      </c>
      <c r="C3944" t="s">
        <v>47</v>
      </c>
      <c r="D3944" t="s">
        <v>8920</v>
      </c>
      <c r="E3944" t="s">
        <v>8920</v>
      </c>
      <c r="F3944" t="s">
        <v>49</v>
      </c>
      <c r="G3944" t="s">
        <v>9010</v>
      </c>
      <c r="H3944" t="s">
        <v>9011</v>
      </c>
      <c r="J3944" t="str">
        <f>HYPERLINK("https://www.facebook.com/454965103328545/videos/3697954183759550?comment_id=1120679025954821","https://www.facebook.com/454965103328545/videos/3697954183759550?comment_id=1120679025954821")</f>
        <v>https://www.facebook.com/454965103328545/videos/3697954183759550?comment_id=1120679025954821</v>
      </c>
      <c r="O3944">
        <v>0</v>
      </c>
      <c r="P3944">
        <v>0</v>
      </c>
      <c r="Q3944">
        <v>0</v>
      </c>
      <c r="S3944">
        <v>0</v>
      </c>
      <c r="T3944">
        <v>0</v>
      </c>
      <c r="U3944">
        <v>0</v>
      </c>
      <c r="W3944" t="s">
        <v>62</v>
      </c>
    </row>
    <row r="3945" spans="1:42" x14ac:dyDescent="0.35">
      <c r="A3945" t="s">
        <v>45</v>
      </c>
      <c r="B3945" t="s">
        <v>8332</v>
      </c>
      <c r="C3945" t="s">
        <v>47</v>
      </c>
      <c r="D3945" t="s">
        <v>1706</v>
      </c>
      <c r="E3945" t="s">
        <v>1706</v>
      </c>
      <c r="F3945" t="s">
        <v>142</v>
      </c>
      <c r="G3945" t="s">
        <v>8986</v>
      </c>
      <c r="H3945" t="s">
        <v>9012</v>
      </c>
      <c r="J3945" t="str">
        <f>HYPERLINK("https://www.facebook.com/454965103328545/videos/3697954183759550?comment_id=7074260219361018","https://www.facebook.com/454965103328545/videos/3697954183759550?comment_id=7074260219361018")</f>
        <v>https://www.facebook.com/454965103328545/videos/3697954183759550?comment_id=7074260219361018</v>
      </c>
      <c r="O3945">
        <v>0</v>
      </c>
      <c r="P3945">
        <v>0</v>
      </c>
      <c r="Q3945">
        <v>0</v>
      </c>
      <c r="S3945">
        <v>0</v>
      </c>
      <c r="T3945">
        <v>0</v>
      </c>
      <c r="U3945">
        <v>0</v>
      </c>
      <c r="W3945" t="s">
        <v>62</v>
      </c>
      <c r="AP3945" t="s">
        <v>147</v>
      </c>
    </row>
    <row r="3946" spans="1:42" x14ac:dyDescent="0.35">
      <c r="A3946" t="s">
        <v>45</v>
      </c>
      <c r="B3946" t="s">
        <v>8332</v>
      </c>
      <c r="C3946" t="s">
        <v>47</v>
      </c>
      <c r="D3946" t="s">
        <v>120</v>
      </c>
      <c r="E3946" t="s">
        <v>120</v>
      </c>
      <c r="F3946" t="s">
        <v>49</v>
      </c>
      <c r="G3946" t="s">
        <v>7743</v>
      </c>
      <c r="H3946" t="s">
        <v>9013</v>
      </c>
      <c r="J3946" t="str">
        <f>HYPERLINK("https://www.facebook.com/454965103328545/videos/3697954183759550?comment_id=401538979106308","https://www.facebook.com/454965103328545/videos/3697954183759550?comment_id=401538979106308")</f>
        <v>https://www.facebook.com/454965103328545/videos/3697954183759550?comment_id=401538979106308</v>
      </c>
      <c r="O3946">
        <v>0</v>
      </c>
      <c r="P3946">
        <v>0</v>
      </c>
      <c r="Q3946">
        <v>0</v>
      </c>
      <c r="S3946">
        <v>0</v>
      </c>
      <c r="T3946">
        <v>0</v>
      </c>
      <c r="U3946">
        <v>0</v>
      </c>
      <c r="W3946" t="s">
        <v>62</v>
      </c>
    </row>
    <row r="3947" spans="1:42" x14ac:dyDescent="0.35">
      <c r="A3947" t="s">
        <v>45</v>
      </c>
      <c r="B3947" t="s">
        <v>8332</v>
      </c>
      <c r="C3947" t="s">
        <v>47</v>
      </c>
      <c r="D3947" t="s">
        <v>9014</v>
      </c>
      <c r="E3947" t="s">
        <v>9014</v>
      </c>
      <c r="F3947" t="s">
        <v>49</v>
      </c>
      <c r="G3947" t="s">
        <v>9015</v>
      </c>
      <c r="H3947" t="s">
        <v>9016</v>
      </c>
      <c r="J3947" t="str">
        <f>HYPERLINK("https://www.facebook.com/454965103328545/videos/3697954183759550?comment_id=7055995271186310","https://www.facebook.com/454965103328545/videos/3697954183759550?comment_id=7055995271186310")</f>
        <v>https://www.facebook.com/454965103328545/videos/3697954183759550?comment_id=7055995271186310</v>
      </c>
      <c r="O3947">
        <v>0</v>
      </c>
      <c r="P3947">
        <v>0</v>
      </c>
      <c r="Q3947">
        <v>0</v>
      </c>
      <c r="S3947">
        <v>0</v>
      </c>
      <c r="T3947">
        <v>0</v>
      </c>
      <c r="U3947">
        <v>0</v>
      </c>
      <c r="W3947" t="s">
        <v>62</v>
      </c>
    </row>
    <row r="3948" spans="1:42" x14ac:dyDescent="0.35">
      <c r="A3948" t="s">
        <v>45</v>
      </c>
      <c r="B3948" t="s">
        <v>8332</v>
      </c>
      <c r="C3948" t="s">
        <v>47</v>
      </c>
      <c r="D3948" t="s">
        <v>7567</v>
      </c>
      <c r="E3948" t="s">
        <v>7567</v>
      </c>
      <c r="F3948" t="s">
        <v>49</v>
      </c>
      <c r="G3948" t="s">
        <v>9017</v>
      </c>
      <c r="H3948" t="s">
        <v>9018</v>
      </c>
      <c r="J3948" t="str">
        <f>HYPERLINK("https://www.facebook.com/454965103328545/videos/3697954183759550?comment_id=903402218149292","https://www.facebook.com/454965103328545/videos/3697954183759550?comment_id=903402218149292")</f>
        <v>https://www.facebook.com/454965103328545/videos/3697954183759550?comment_id=903402218149292</v>
      </c>
      <c r="O3948">
        <v>0</v>
      </c>
      <c r="P3948">
        <v>0</v>
      </c>
      <c r="Q3948">
        <v>0</v>
      </c>
      <c r="S3948">
        <v>0</v>
      </c>
      <c r="T3948">
        <v>0</v>
      </c>
      <c r="U3948">
        <v>0</v>
      </c>
      <c r="W3948" t="s">
        <v>62</v>
      </c>
    </row>
    <row r="3949" spans="1:42" x14ac:dyDescent="0.35">
      <c r="A3949" t="s">
        <v>45</v>
      </c>
      <c r="B3949" t="s">
        <v>8332</v>
      </c>
      <c r="C3949" t="s">
        <v>47</v>
      </c>
      <c r="D3949" t="s">
        <v>9019</v>
      </c>
      <c r="E3949" t="s">
        <v>9019</v>
      </c>
      <c r="F3949" t="s">
        <v>49</v>
      </c>
      <c r="G3949" t="s">
        <v>9020</v>
      </c>
      <c r="H3949" t="s">
        <v>9021</v>
      </c>
      <c r="J3949" t="str">
        <f>HYPERLINK("https://www.facebook.com/454965103328545/videos/3697954183759550?comment_id=694940162509242","https://www.facebook.com/454965103328545/videos/3697954183759550?comment_id=694940162509242")</f>
        <v>https://www.facebook.com/454965103328545/videos/3697954183759550?comment_id=694940162509242</v>
      </c>
      <c r="O3949">
        <v>0</v>
      </c>
      <c r="P3949">
        <v>0</v>
      </c>
      <c r="Q3949">
        <v>0</v>
      </c>
      <c r="S3949">
        <v>0</v>
      </c>
      <c r="T3949">
        <v>0</v>
      </c>
      <c r="U3949">
        <v>0</v>
      </c>
      <c r="W3949" t="s">
        <v>62</v>
      </c>
    </row>
    <row r="3950" spans="1:42" x14ac:dyDescent="0.35">
      <c r="A3950" t="s">
        <v>45</v>
      </c>
      <c r="B3950" t="s">
        <v>8332</v>
      </c>
      <c r="C3950" t="s">
        <v>47</v>
      </c>
      <c r="D3950" t="s">
        <v>9019</v>
      </c>
      <c r="E3950" t="s">
        <v>9019</v>
      </c>
      <c r="F3950" t="s">
        <v>49</v>
      </c>
      <c r="G3950" t="s">
        <v>459</v>
      </c>
      <c r="H3950" t="s">
        <v>9022</v>
      </c>
      <c r="J3950" t="str">
        <f>HYPERLINK("https://www.facebook.com/454965103328545/videos/3697954183759550?comment_id=1651751208566432","https://www.facebook.com/454965103328545/videos/3697954183759550?comment_id=1651751208566432")</f>
        <v>https://www.facebook.com/454965103328545/videos/3697954183759550?comment_id=1651751208566432</v>
      </c>
      <c r="O3950">
        <v>0</v>
      </c>
      <c r="P3950">
        <v>0</v>
      </c>
      <c r="Q3950">
        <v>0</v>
      </c>
      <c r="S3950">
        <v>0</v>
      </c>
      <c r="T3950">
        <v>0</v>
      </c>
      <c r="U3950">
        <v>0</v>
      </c>
      <c r="W3950" t="s">
        <v>62</v>
      </c>
    </row>
    <row r="3951" spans="1:42" x14ac:dyDescent="0.35">
      <c r="A3951" t="s">
        <v>45</v>
      </c>
      <c r="B3951" t="s">
        <v>8332</v>
      </c>
      <c r="C3951" t="s">
        <v>47</v>
      </c>
      <c r="D3951" t="s">
        <v>9014</v>
      </c>
      <c r="E3951" t="s">
        <v>9014</v>
      </c>
      <c r="F3951" t="s">
        <v>49</v>
      </c>
      <c r="G3951" t="s">
        <v>9023</v>
      </c>
      <c r="H3951" t="s">
        <v>9024</v>
      </c>
      <c r="J3951" t="str">
        <f>HYPERLINK("https://www.facebook.com/454965103328545/videos/3697954183759550?comment_id=759412599394677","https://www.facebook.com/454965103328545/videos/3697954183759550?comment_id=759412599394677")</f>
        <v>https://www.facebook.com/454965103328545/videos/3697954183759550?comment_id=759412599394677</v>
      </c>
      <c r="O3951">
        <v>0</v>
      </c>
      <c r="P3951">
        <v>0</v>
      </c>
      <c r="Q3951">
        <v>0</v>
      </c>
      <c r="S3951">
        <v>0</v>
      </c>
      <c r="T3951">
        <v>0</v>
      </c>
      <c r="U3951">
        <v>0</v>
      </c>
      <c r="W3951" t="s">
        <v>62</v>
      </c>
    </row>
    <row r="3952" spans="1:42" x14ac:dyDescent="0.35">
      <c r="A3952" t="s">
        <v>45</v>
      </c>
      <c r="B3952" t="s">
        <v>8332</v>
      </c>
      <c r="C3952" t="s">
        <v>47</v>
      </c>
      <c r="D3952" t="s">
        <v>45</v>
      </c>
      <c r="E3952" t="s">
        <v>45</v>
      </c>
      <c r="F3952" t="s">
        <v>49</v>
      </c>
      <c r="G3952" t="s">
        <v>9025</v>
      </c>
      <c r="H3952" t="s">
        <v>9026</v>
      </c>
      <c r="J3952" t="str">
        <f>HYPERLINK("https://www.facebook.com/695346686095160","https://www.facebook.com/695346686095160")</f>
        <v>https://www.facebook.com/695346686095160</v>
      </c>
      <c r="O3952">
        <v>0</v>
      </c>
      <c r="P3952">
        <v>0</v>
      </c>
      <c r="Q3952">
        <v>0</v>
      </c>
      <c r="S3952">
        <v>0</v>
      </c>
      <c r="T3952">
        <v>0</v>
      </c>
      <c r="U3952">
        <v>0</v>
      </c>
      <c r="W3952" t="s">
        <v>106</v>
      </c>
    </row>
    <row r="3953" spans="1:45" x14ac:dyDescent="0.35">
      <c r="A3953" t="s">
        <v>45</v>
      </c>
      <c r="B3953" t="s">
        <v>8332</v>
      </c>
      <c r="C3953" t="s">
        <v>47</v>
      </c>
      <c r="D3953" t="s">
        <v>9014</v>
      </c>
      <c r="E3953" t="s">
        <v>9014</v>
      </c>
      <c r="F3953" t="s">
        <v>142</v>
      </c>
      <c r="G3953" t="s">
        <v>9027</v>
      </c>
      <c r="H3953" t="s">
        <v>9028</v>
      </c>
      <c r="J3953" t="str">
        <f>HYPERLINK("https://www.facebook.com/454965103328545/videos/3697954183759550?comment_id=7650794808266916","https://www.facebook.com/454965103328545/videos/3697954183759550?comment_id=7650794808266916")</f>
        <v>https://www.facebook.com/454965103328545/videos/3697954183759550?comment_id=7650794808266916</v>
      </c>
      <c r="O3953">
        <v>0</v>
      </c>
      <c r="P3953">
        <v>0</v>
      </c>
      <c r="Q3953">
        <v>0</v>
      </c>
      <c r="S3953">
        <v>0</v>
      </c>
      <c r="T3953">
        <v>0</v>
      </c>
      <c r="U3953">
        <v>0</v>
      </c>
      <c r="W3953" t="s">
        <v>62</v>
      </c>
      <c r="AP3953" t="s">
        <v>147</v>
      </c>
    </row>
    <row r="3954" spans="1:45" x14ac:dyDescent="0.35">
      <c r="A3954" t="s">
        <v>45</v>
      </c>
      <c r="B3954" t="s">
        <v>8332</v>
      </c>
      <c r="C3954" t="s">
        <v>47</v>
      </c>
      <c r="D3954" t="s">
        <v>7567</v>
      </c>
      <c r="E3954" t="s">
        <v>7567</v>
      </c>
      <c r="F3954" t="s">
        <v>49</v>
      </c>
      <c r="G3954" t="s">
        <v>9029</v>
      </c>
      <c r="H3954" t="s">
        <v>9030</v>
      </c>
      <c r="J3954" t="str">
        <f>HYPERLINK("https://www.facebook.com/454965103328545/videos/3697954183759550?comment_id=240556742435992","https://www.facebook.com/454965103328545/videos/3697954183759550?comment_id=240556742435992")</f>
        <v>https://www.facebook.com/454965103328545/videos/3697954183759550?comment_id=240556742435992</v>
      </c>
      <c r="O3954">
        <v>0</v>
      </c>
      <c r="P3954">
        <v>0</v>
      </c>
      <c r="Q3954">
        <v>0</v>
      </c>
      <c r="S3954">
        <v>0</v>
      </c>
      <c r="T3954">
        <v>0</v>
      </c>
      <c r="U3954">
        <v>0</v>
      </c>
      <c r="W3954" t="s">
        <v>62</v>
      </c>
      <c r="AP3954" t="s">
        <v>101</v>
      </c>
    </row>
    <row r="3955" spans="1:45" x14ac:dyDescent="0.35">
      <c r="A3955" t="s">
        <v>45</v>
      </c>
      <c r="B3955" t="s">
        <v>8332</v>
      </c>
      <c r="C3955" t="s">
        <v>47</v>
      </c>
      <c r="D3955" t="s">
        <v>9014</v>
      </c>
      <c r="E3955" t="s">
        <v>9014</v>
      </c>
      <c r="F3955" t="s">
        <v>142</v>
      </c>
      <c r="G3955" t="s">
        <v>9031</v>
      </c>
      <c r="H3955" t="s">
        <v>9032</v>
      </c>
      <c r="J3955" t="str">
        <f>HYPERLINK("https://www.facebook.com/454965103328545/videos/3697954183759550?comment_id=1162180848144177","https://www.facebook.com/454965103328545/videos/3697954183759550?comment_id=1162180848144177")</f>
        <v>https://www.facebook.com/454965103328545/videos/3697954183759550?comment_id=1162180848144177</v>
      </c>
      <c r="O3955">
        <v>0</v>
      </c>
      <c r="P3955">
        <v>0</v>
      </c>
      <c r="Q3955">
        <v>0</v>
      </c>
      <c r="S3955">
        <v>0</v>
      </c>
      <c r="T3955">
        <v>0</v>
      </c>
      <c r="U3955">
        <v>0</v>
      </c>
      <c r="W3955" t="s">
        <v>62</v>
      </c>
      <c r="AP3955" t="s">
        <v>147</v>
      </c>
    </row>
    <row r="3956" spans="1:45" x14ac:dyDescent="0.35">
      <c r="A3956" t="s">
        <v>45</v>
      </c>
      <c r="B3956" t="s">
        <v>8332</v>
      </c>
      <c r="C3956" t="s">
        <v>47</v>
      </c>
      <c r="D3956" t="s">
        <v>9014</v>
      </c>
      <c r="E3956" t="s">
        <v>9014</v>
      </c>
      <c r="F3956" t="s">
        <v>142</v>
      </c>
      <c r="G3956" t="s">
        <v>9033</v>
      </c>
      <c r="H3956" t="s">
        <v>9034</v>
      </c>
      <c r="J3956" t="str">
        <f>HYPERLINK("https://www.facebook.com/454965103328545/videos/3697954183759550?comment_id=258341573966487","https://www.facebook.com/454965103328545/videos/3697954183759550?comment_id=258341573966487")</f>
        <v>https://www.facebook.com/454965103328545/videos/3697954183759550?comment_id=258341573966487</v>
      </c>
      <c r="O3956">
        <v>0</v>
      </c>
      <c r="P3956">
        <v>0</v>
      </c>
      <c r="Q3956">
        <v>0</v>
      </c>
      <c r="S3956">
        <v>0</v>
      </c>
      <c r="T3956">
        <v>0</v>
      </c>
      <c r="U3956">
        <v>0</v>
      </c>
      <c r="W3956" t="s">
        <v>62</v>
      </c>
    </row>
    <row r="3957" spans="1:45" x14ac:dyDescent="0.35">
      <c r="A3957" t="s">
        <v>45</v>
      </c>
      <c r="B3957" t="s">
        <v>8332</v>
      </c>
      <c r="C3957" t="s">
        <v>47</v>
      </c>
      <c r="D3957" t="s">
        <v>9014</v>
      </c>
      <c r="E3957" t="s">
        <v>9014</v>
      </c>
      <c r="F3957" t="s">
        <v>142</v>
      </c>
      <c r="G3957" t="s">
        <v>9035</v>
      </c>
      <c r="H3957" t="s">
        <v>9036</v>
      </c>
      <c r="J3957" t="str">
        <f>HYPERLINK("https://www.facebook.com/454965103328545/videos/3697954183759550?comment_id=1810132406114883","https://www.facebook.com/454965103328545/videos/3697954183759550?comment_id=1810132406114883")</f>
        <v>https://www.facebook.com/454965103328545/videos/3697954183759550?comment_id=1810132406114883</v>
      </c>
      <c r="O3957">
        <v>0</v>
      </c>
      <c r="P3957">
        <v>0</v>
      </c>
      <c r="Q3957">
        <v>0</v>
      </c>
      <c r="S3957">
        <v>0</v>
      </c>
      <c r="T3957">
        <v>0</v>
      </c>
      <c r="U3957">
        <v>0</v>
      </c>
      <c r="W3957" t="s">
        <v>62</v>
      </c>
    </row>
    <row r="3958" spans="1:45" x14ac:dyDescent="0.35">
      <c r="A3958" t="s">
        <v>45</v>
      </c>
      <c r="B3958" t="s">
        <v>8332</v>
      </c>
      <c r="C3958" t="s">
        <v>47</v>
      </c>
      <c r="D3958" t="s">
        <v>9037</v>
      </c>
      <c r="E3958" t="s">
        <v>9037</v>
      </c>
      <c r="F3958" t="s">
        <v>49</v>
      </c>
      <c r="G3958" t="s">
        <v>9038</v>
      </c>
      <c r="H3958" t="s">
        <v>9039</v>
      </c>
      <c r="J3958" t="str">
        <f>HYPERLINK("https://www.facebook.com/454965103328545/videos/3697954183759550?comment_id=697126872615979","https://www.facebook.com/454965103328545/videos/3697954183759550?comment_id=697126872615979")</f>
        <v>https://www.facebook.com/454965103328545/videos/3697954183759550?comment_id=697126872615979</v>
      </c>
      <c r="O3958">
        <v>0</v>
      </c>
      <c r="P3958">
        <v>0</v>
      </c>
      <c r="Q3958">
        <v>0</v>
      </c>
      <c r="S3958">
        <v>0</v>
      </c>
      <c r="T3958">
        <v>0</v>
      </c>
      <c r="U3958">
        <v>0</v>
      </c>
      <c r="W3958" t="s">
        <v>62</v>
      </c>
    </row>
    <row r="3959" spans="1:45" x14ac:dyDescent="0.35">
      <c r="A3959" t="s">
        <v>45</v>
      </c>
      <c r="B3959" t="s">
        <v>8332</v>
      </c>
      <c r="C3959" t="s">
        <v>47</v>
      </c>
      <c r="D3959" t="s">
        <v>8442</v>
      </c>
      <c r="E3959" t="s">
        <v>8442</v>
      </c>
      <c r="F3959" t="s">
        <v>49</v>
      </c>
      <c r="G3959" t="s">
        <v>9040</v>
      </c>
      <c r="H3959" t="s">
        <v>9041</v>
      </c>
      <c r="J3959" t="str">
        <f>HYPERLINK("https://www.facebook.com/454965103328545/videos/3697954183759550?comment_id=761677062036549","https://www.facebook.com/454965103328545/videos/3697954183759550?comment_id=761677062036549")</f>
        <v>https://www.facebook.com/454965103328545/videos/3697954183759550?comment_id=761677062036549</v>
      </c>
      <c r="O3959">
        <v>0</v>
      </c>
      <c r="P3959">
        <v>0</v>
      </c>
      <c r="Q3959">
        <v>0</v>
      </c>
      <c r="S3959">
        <v>0</v>
      </c>
      <c r="T3959">
        <v>0</v>
      </c>
      <c r="U3959">
        <v>0</v>
      </c>
      <c r="W3959" t="s">
        <v>62</v>
      </c>
    </row>
    <row r="3960" spans="1:45" x14ac:dyDescent="0.35">
      <c r="A3960" t="s">
        <v>45</v>
      </c>
      <c r="B3960" t="s">
        <v>8332</v>
      </c>
      <c r="C3960" t="s">
        <v>47</v>
      </c>
      <c r="D3960" t="s">
        <v>9042</v>
      </c>
      <c r="E3960" t="s">
        <v>9042</v>
      </c>
      <c r="F3960" t="s">
        <v>49</v>
      </c>
      <c r="G3960" t="s">
        <v>9043</v>
      </c>
      <c r="H3960" t="s">
        <v>9044</v>
      </c>
      <c r="J3960" t="str">
        <f>HYPERLINK("https://www.facebook.com/454965103328545/videos/3697954183759550?comment_id=7599408026744645","https://www.facebook.com/454965103328545/videos/3697954183759550?comment_id=7599408026744645")</f>
        <v>https://www.facebook.com/454965103328545/videos/3697954183759550?comment_id=7599408026744645</v>
      </c>
      <c r="O3960">
        <v>0</v>
      </c>
      <c r="P3960">
        <v>0</v>
      </c>
      <c r="Q3960">
        <v>0</v>
      </c>
      <c r="S3960">
        <v>0</v>
      </c>
      <c r="T3960">
        <v>0</v>
      </c>
      <c r="U3960">
        <v>0</v>
      </c>
      <c r="W3960" t="s">
        <v>62</v>
      </c>
    </row>
    <row r="3961" spans="1:45" x14ac:dyDescent="0.35">
      <c r="A3961" t="s">
        <v>45</v>
      </c>
      <c r="B3961" t="s">
        <v>8332</v>
      </c>
      <c r="C3961" t="s">
        <v>47</v>
      </c>
      <c r="D3961" t="s">
        <v>1117</v>
      </c>
      <c r="E3961" t="s">
        <v>1117</v>
      </c>
      <c r="F3961" t="s">
        <v>76</v>
      </c>
      <c r="G3961" t="s">
        <v>2121</v>
      </c>
      <c r="H3961" t="s">
        <v>9045</v>
      </c>
      <c r="J3961" t="str">
        <f>HYPERLINK("https://www.facebook.com/454965103328545/videos/3697954183759550?comment_id=916275179784713","https://www.facebook.com/454965103328545/videos/3697954183759550?comment_id=916275179784713")</f>
        <v>https://www.facebook.com/454965103328545/videos/3697954183759550?comment_id=916275179784713</v>
      </c>
      <c r="O3961">
        <v>0</v>
      </c>
      <c r="P3961">
        <v>0</v>
      </c>
      <c r="Q3961">
        <v>0</v>
      </c>
      <c r="S3961">
        <v>0</v>
      </c>
      <c r="T3961">
        <v>0</v>
      </c>
      <c r="U3961">
        <v>0</v>
      </c>
      <c r="W3961" t="s">
        <v>62</v>
      </c>
    </row>
    <row r="3962" spans="1:45" x14ac:dyDescent="0.35">
      <c r="A3962" t="s">
        <v>45</v>
      </c>
      <c r="B3962" t="s">
        <v>8332</v>
      </c>
      <c r="C3962" t="s">
        <v>47</v>
      </c>
      <c r="D3962" t="s">
        <v>4262</v>
      </c>
      <c r="E3962" t="s">
        <v>4262</v>
      </c>
      <c r="F3962" t="s">
        <v>49</v>
      </c>
      <c r="G3962" t="s">
        <v>9046</v>
      </c>
      <c r="H3962" t="s">
        <v>9047</v>
      </c>
      <c r="J3962" t="str">
        <f>HYPERLINK("https://www.facebook.com/454965103328545/videos/3697954183759550?comment_id=1166990831340496","https://www.facebook.com/454965103328545/videos/3697954183759550?comment_id=1166990831340496")</f>
        <v>https://www.facebook.com/454965103328545/videos/3697954183759550?comment_id=1166990831340496</v>
      </c>
      <c r="O3962">
        <v>0</v>
      </c>
      <c r="P3962">
        <v>0</v>
      </c>
      <c r="Q3962">
        <v>0</v>
      </c>
      <c r="S3962">
        <v>0</v>
      </c>
      <c r="T3962">
        <v>0</v>
      </c>
      <c r="U3962">
        <v>0</v>
      </c>
      <c r="W3962" t="s">
        <v>62</v>
      </c>
    </row>
    <row r="3963" spans="1:45" x14ac:dyDescent="0.35">
      <c r="A3963" t="s">
        <v>45</v>
      </c>
      <c r="B3963" t="s">
        <v>8332</v>
      </c>
      <c r="C3963" t="s">
        <v>47</v>
      </c>
      <c r="D3963" t="s">
        <v>9048</v>
      </c>
      <c r="E3963" t="s">
        <v>9048</v>
      </c>
      <c r="F3963" t="s">
        <v>49</v>
      </c>
      <c r="G3963" t="s">
        <v>9049</v>
      </c>
      <c r="H3963" t="s">
        <v>9047</v>
      </c>
      <c r="J3963" t="str">
        <f>HYPERLINK("https://www.facebook.com/454965103328545/videos/3697954183759550?comment_id=1111136006983411","https://www.facebook.com/454965103328545/videos/3697954183759550?comment_id=1111136006983411")</f>
        <v>https://www.facebook.com/454965103328545/videos/3697954183759550?comment_id=1111136006983411</v>
      </c>
      <c r="O3963">
        <v>0</v>
      </c>
      <c r="P3963">
        <v>0</v>
      </c>
      <c r="Q3963">
        <v>0</v>
      </c>
      <c r="S3963">
        <v>0</v>
      </c>
      <c r="T3963">
        <v>0</v>
      </c>
      <c r="U3963">
        <v>0</v>
      </c>
      <c r="W3963" t="s">
        <v>62</v>
      </c>
    </row>
    <row r="3964" spans="1:45" x14ac:dyDescent="0.35">
      <c r="A3964" t="s">
        <v>45</v>
      </c>
      <c r="B3964" t="s">
        <v>8332</v>
      </c>
      <c r="C3964" t="s">
        <v>47</v>
      </c>
      <c r="D3964" t="s">
        <v>9050</v>
      </c>
      <c r="E3964" t="s">
        <v>9050</v>
      </c>
      <c r="F3964" t="s">
        <v>49</v>
      </c>
      <c r="G3964" t="s">
        <v>9051</v>
      </c>
      <c r="H3964" t="s">
        <v>9052</v>
      </c>
      <c r="J3964" t="str">
        <f>HYPERLINK("https://www.facebook.com/454965103328545/videos/3697954183759550?comment_id=374120321999738","https://www.facebook.com/454965103328545/videos/3697954183759550?comment_id=374120321999738")</f>
        <v>https://www.facebook.com/454965103328545/videos/3697954183759550?comment_id=374120321999738</v>
      </c>
      <c r="O3964">
        <v>0</v>
      </c>
      <c r="P3964">
        <v>0</v>
      </c>
      <c r="Q3964">
        <v>0</v>
      </c>
      <c r="S3964">
        <v>0</v>
      </c>
      <c r="T3964">
        <v>0</v>
      </c>
      <c r="U3964">
        <v>0</v>
      </c>
      <c r="W3964" t="s">
        <v>62</v>
      </c>
    </row>
    <row r="3965" spans="1:45" x14ac:dyDescent="0.35">
      <c r="A3965" t="s">
        <v>45</v>
      </c>
      <c r="B3965" t="s">
        <v>8332</v>
      </c>
      <c r="C3965" t="s">
        <v>47</v>
      </c>
      <c r="D3965" t="s">
        <v>1779</v>
      </c>
      <c r="E3965" t="s">
        <v>1779</v>
      </c>
      <c r="F3965" t="s">
        <v>49</v>
      </c>
      <c r="G3965" t="s">
        <v>9053</v>
      </c>
      <c r="H3965" t="s">
        <v>9054</v>
      </c>
      <c r="J3965" t="str">
        <f>HYPERLINK("https://www.facebook.com/454965103328545/videos/3697954183759550?comment_id=401438839139435","https://www.facebook.com/454965103328545/videos/3697954183759550?comment_id=401438839139435")</f>
        <v>https://www.facebook.com/454965103328545/videos/3697954183759550?comment_id=401438839139435</v>
      </c>
      <c r="O3965">
        <v>0</v>
      </c>
      <c r="P3965">
        <v>0</v>
      </c>
      <c r="Q3965">
        <v>0</v>
      </c>
      <c r="S3965">
        <v>0</v>
      </c>
      <c r="T3965">
        <v>0</v>
      </c>
      <c r="U3965">
        <v>0</v>
      </c>
      <c r="W3965" t="s">
        <v>62</v>
      </c>
    </row>
    <row r="3966" spans="1:45" x14ac:dyDescent="0.35">
      <c r="A3966" t="s">
        <v>45</v>
      </c>
      <c r="B3966" t="s">
        <v>8332</v>
      </c>
      <c r="C3966" t="s">
        <v>47</v>
      </c>
      <c r="D3966" t="s">
        <v>9050</v>
      </c>
      <c r="E3966" t="s">
        <v>9050</v>
      </c>
      <c r="F3966" t="s">
        <v>49</v>
      </c>
      <c r="G3966" t="s">
        <v>9051</v>
      </c>
      <c r="H3966" t="s">
        <v>9055</v>
      </c>
      <c r="J3966" t="str">
        <f>HYPERLINK("https://www.facebook.com/454965103328545/videos/3697954183759550?comment_id=939205567876366","https://www.facebook.com/454965103328545/videos/3697954183759550?comment_id=939205567876366")</f>
        <v>https://www.facebook.com/454965103328545/videos/3697954183759550?comment_id=939205567876366</v>
      </c>
      <c r="O3966">
        <v>0</v>
      </c>
      <c r="P3966">
        <v>0</v>
      </c>
      <c r="Q3966">
        <v>0</v>
      </c>
      <c r="S3966">
        <v>0</v>
      </c>
      <c r="T3966">
        <v>0</v>
      </c>
      <c r="U3966">
        <v>0</v>
      </c>
      <c r="W3966" t="s">
        <v>62</v>
      </c>
    </row>
    <row r="3967" spans="1:45" x14ac:dyDescent="0.35">
      <c r="A3967" t="s">
        <v>45</v>
      </c>
      <c r="B3967" t="s">
        <v>8332</v>
      </c>
      <c r="C3967" t="s">
        <v>47</v>
      </c>
      <c r="D3967" t="s">
        <v>9050</v>
      </c>
      <c r="E3967" t="s">
        <v>9050</v>
      </c>
      <c r="F3967" t="s">
        <v>49</v>
      </c>
      <c r="G3967" t="s">
        <v>9051</v>
      </c>
      <c r="H3967" t="s">
        <v>9056</v>
      </c>
      <c r="J3967" t="str">
        <f>HYPERLINK("https://www.facebook.com/454965103328545/videos/3697954183759550?comment_id=1525258741381404","https://www.facebook.com/454965103328545/videos/3697954183759550?comment_id=1525258741381404")</f>
        <v>https://www.facebook.com/454965103328545/videos/3697954183759550?comment_id=1525258741381404</v>
      </c>
      <c r="O3967">
        <v>0</v>
      </c>
      <c r="P3967">
        <v>0</v>
      </c>
      <c r="Q3967">
        <v>0</v>
      </c>
      <c r="S3967">
        <v>0</v>
      </c>
      <c r="T3967">
        <v>0</v>
      </c>
      <c r="U3967">
        <v>0</v>
      </c>
      <c r="W3967" t="s">
        <v>62</v>
      </c>
    </row>
    <row r="3968" spans="1:45" x14ac:dyDescent="0.35">
      <c r="A3968" t="s">
        <v>45</v>
      </c>
      <c r="B3968" t="s">
        <v>8332</v>
      </c>
      <c r="C3968" t="s">
        <v>47</v>
      </c>
      <c r="D3968" t="s">
        <v>9037</v>
      </c>
      <c r="E3968" t="s">
        <v>9037</v>
      </c>
      <c r="F3968" t="s">
        <v>49</v>
      </c>
      <c r="G3968" t="s">
        <v>9038</v>
      </c>
      <c r="H3968" t="s">
        <v>9057</v>
      </c>
      <c r="J3968" t="str">
        <f>HYPERLINK("https://www.facebook.com/454965103328545/videos/3697954183759550?comment_id=407669448443072","https://www.facebook.com/454965103328545/videos/3697954183759550?comment_id=407669448443072")</f>
        <v>https://www.facebook.com/454965103328545/videos/3697954183759550?comment_id=407669448443072</v>
      </c>
      <c r="O3968">
        <v>0</v>
      </c>
      <c r="P3968">
        <v>0</v>
      </c>
      <c r="Q3968">
        <v>0</v>
      </c>
      <c r="S3968">
        <v>0</v>
      </c>
      <c r="T3968">
        <v>0</v>
      </c>
      <c r="U3968">
        <v>0</v>
      </c>
      <c r="W3968" t="s">
        <v>62</v>
      </c>
      <c r="AS3968" t="s">
        <v>375</v>
      </c>
    </row>
    <row r="3969" spans="1:42" x14ac:dyDescent="0.35">
      <c r="A3969" t="s">
        <v>45</v>
      </c>
      <c r="B3969" t="s">
        <v>8332</v>
      </c>
      <c r="C3969" t="s">
        <v>47</v>
      </c>
      <c r="D3969" t="s">
        <v>9050</v>
      </c>
      <c r="E3969" t="s">
        <v>9050</v>
      </c>
      <c r="F3969" t="s">
        <v>49</v>
      </c>
      <c r="G3969" t="s">
        <v>9058</v>
      </c>
      <c r="H3969" t="s">
        <v>9059</v>
      </c>
      <c r="J3969" t="str">
        <f>HYPERLINK("https://www.facebook.com/454965103328545/videos/3697954183759550?comment_id=928565415308312","https://www.facebook.com/454965103328545/videos/3697954183759550?comment_id=928565415308312")</f>
        <v>https://www.facebook.com/454965103328545/videos/3697954183759550?comment_id=928565415308312</v>
      </c>
      <c r="O3969">
        <v>0</v>
      </c>
      <c r="P3969">
        <v>0</v>
      </c>
      <c r="Q3969">
        <v>0</v>
      </c>
      <c r="S3969">
        <v>0</v>
      </c>
      <c r="T3969">
        <v>0</v>
      </c>
      <c r="U3969">
        <v>0</v>
      </c>
      <c r="W3969" t="s">
        <v>62</v>
      </c>
    </row>
    <row r="3970" spans="1:42" x14ac:dyDescent="0.35">
      <c r="A3970" t="s">
        <v>45</v>
      </c>
      <c r="B3970" t="s">
        <v>8332</v>
      </c>
      <c r="C3970" t="s">
        <v>47</v>
      </c>
      <c r="D3970" t="s">
        <v>9037</v>
      </c>
      <c r="E3970" t="s">
        <v>9037</v>
      </c>
      <c r="F3970" t="s">
        <v>49</v>
      </c>
      <c r="G3970" t="s">
        <v>9038</v>
      </c>
      <c r="H3970" t="s">
        <v>9060</v>
      </c>
      <c r="J3970" t="str">
        <f>HYPERLINK("https://www.facebook.com/454965103328545/videos/3697954183759550?comment_id=1119888255687101","https://www.facebook.com/454965103328545/videos/3697954183759550?comment_id=1119888255687101")</f>
        <v>https://www.facebook.com/454965103328545/videos/3697954183759550?comment_id=1119888255687101</v>
      </c>
      <c r="O3970">
        <v>0</v>
      </c>
      <c r="P3970">
        <v>0</v>
      </c>
      <c r="Q3970">
        <v>0</v>
      </c>
      <c r="S3970">
        <v>0</v>
      </c>
      <c r="T3970">
        <v>0</v>
      </c>
      <c r="U3970">
        <v>0</v>
      </c>
      <c r="W3970" t="s">
        <v>62</v>
      </c>
    </row>
    <row r="3971" spans="1:42" x14ac:dyDescent="0.35">
      <c r="A3971" t="s">
        <v>45</v>
      </c>
      <c r="B3971" t="s">
        <v>8332</v>
      </c>
      <c r="C3971" t="s">
        <v>47</v>
      </c>
      <c r="D3971" t="s">
        <v>9037</v>
      </c>
      <c r="E3971" t="s">
        <v>9037</v>
      </c>
      <c r="F3971" t="s">
        <v>49</v>
      </c>
      <c r="G3971" t="s">
        <v>9038</v>
      </c>
      <c r="H3971" t="s">
        <v>9061</v>
      </c>
      <c r="J3971" t="str">
        <f>HYPERLINK("https://www.facebook.com/454965103328545/videos/3697954183759550?comment_id=942646194154892","https://www.facebook.com/454965103328545/videos/3697954183759550?comment_id=942646194154892")</f>
        <v>https://www.facebook.com/454965103328545/videos/3697954183759550?comment_id=942646194154892</v>
      </c>
      <c r="O3971">
        <v>0</v>
      </c>
      <c r="P3971">
        <v>0</v>
      </c>
      <c r="Q3971">
        <v>0</v>
      </c>
      <c r="S3971">
        <v>0</v>
      </c>
      <c r="T3971">
        <v>0</v>
      </c>
      <c r="U3971">
        <v>0</v>
      </c>
      <c r="W3971" t="s">
        <v>62</v>
      </c>
    </row>
    <row r="3972" spans="1:42" x14ac:dyDescent="0.35">
      <c r="A3972" t="s">
        <v>45</v>
      </c>
      <c r="B3972" t="s">
        <v>8332</v>
      </c>
      <c r="C3972" t="s">
        <v>47</v>
      </c>
      <c r="D3972" t="s">
        <v>9050</v>
      </c>
      <c r="E3972" t="s">
        <v>9050</v>
      </c>
      <c r="F3972" t="s">
        <v>49</v>
      </c>
      <c r="G3972" t="s">
        <v>9058</v>
      </c>
      <c r="H3972" t="s">
        <v>9062</v>
      </c>
      <c r="J3972" t="str">
        <f>HYPERLINK("https://www.facebook.com/454965103328545/videos/3697954183759550?comment_id=244544988732124","https://www.facebook.com/454965103328545/videos/3697954183759550?comment_id=244544988732124")</f>
        <v>https://www.facebook.com/454965103328545/videos/3697954183759550?comment_id=244544988732124</v>
      </c>
      <c r="O3972">
        <v>0</v>
      </c>
      <c r="P3972">
        <v>0</v>
      </c>
      <c r="Q3972">
        <v>0</v>
      </c>
      <c r="S3972">
        <v>0</v>
      </c>
      <c r="T3972">
        <v>0</v>
      </c>
      <c r="U3972">
        <v>0</v>
      </c>
      <c r="W3972" t="s">
        <v>62</v>
      </c>
    </row>
    <row r="3973" spans="1:42" x14ac:dyDescent="0.35">
      <c r="A3973" t="s">
        <v>45</v>
      </c>
      <c r="B3973" t="s">
        <v>8332</v>
      </c>
      <c r="C3973" t="s">
        <v>47</v>
      </c>
      <c r="D3973" t="s">
        <v>9037</v>
      </c>
      <c r="E3973" t="s">
        <v>9037</v>
      </c>
      <c r="F3973" t="s">
        <v>49</v>
      </c>
      <c r="G3973" t="s">
        <v>9038</v>
      </c>
      <c r="H3973" t="s">
        <v>9063</v>
      </c>
      <c r="J3973" t="str">
        <f>HYPERLINK("https://www.facebook.com/454965103328545/videos/3697954183759550?comment_id=362470689878263","https://www.facebook.com/454965103328545/videos/3697954183759550?comment_id=362470689878263")</f>
        <v>https://www.facebook.com/454965103328545/videos/3697954183759550?comment_id=362470689878263</v>
      </c>
      <c r="O3973">
        <v>0</v>
      </c>
      <c r="P3973">
        <v>0</v>
      </c>
      <c r="Q3973">
        <v>0</v>
      </c>
      <c r="S3973">
        <v>0</v>
      </c>
      <c r="T3973">
        <v>0</v>
      </c>
      <c r="U3973">
        <v>0</v>
      </c>
      <c r="W3973" t="s">
        <v>62</v>
      </c>
    </row>
    <row r="3974" spans="1:42" x14ac:dyDescent="0.35">
      <c r="A3974" t="s">
        <v>45</v>
      </c>
      <c r="B3974" t="s">
        <v>8332</v>
      </c>
      <c r="C3974" t="s">
        <v>47</v>
      </c>
      <c r="D3974" t="s">
        <v>9050</v>
      </c>
      <c r="E3974" t="s">
        <v>9050</v>
      </c>
      <c r="F3974" t="s">
        <v>49</v>
      </c>
      <c r="G3974" t="s">
        <v>9064</v>
      </c>
      <c r="H3974" t="s">
        <v>9065</v>
      </c>
      <c r="J3974" t="str">
        <f>HYPERLINK("https://www.facebook.com/454965103328545/videos/3697954183759550?comment_id=751819590207073","https://www.facebook.com/454965103328545/videos/3697954183759550?comment_id=751819590207073")</f>
        <v>https://www.facebook.com/454965103328545/videos/3697954183759550?comment_id=751819590207073</v>
      </c>
      <c r="O3974">
        <v>0</v>
      </c>
      <c r="P3974">
        <v>0</v>
      </c>
      <c r="Q3974">
        <v>0</v>
      </c>
      <c r="S3974">
        <v>0</v>
      </c>
      <c r="T3974">
        <v>0</v>
      </c>
      <c r="U3974">
        <v>0</v>
      </c>
      <c r="W3974" t="s">
        <v>62</v>
      </c>
    </row>
    <row r="3975" spans="1:42" x14ac:dyDescent="0.35">
      <c r="A3975" t="s">
        <v>45</v>
      </c>
      <c r="B3975" t="s">
        <v>8332</v>
      </c>
      <c r="C3975" t="s">
        <v>47</v>
      </c>
      <c r="D3975" t="s">
        <v>9037</v>
      </c>
      <c r="E3975" t="s">
        <v>9037</v>
      </c>
      <c r="F3975" t="s">
        <v>49</v>
      </c>
      <c r="G3975" t="s">
        <v>9038</v>
      </c>
      <c r="H3975" t="s">
        <v>9065</v>
      </c>
      <c r="J3975" t="str">
        <f>HYPERLINK("https://www.facebook.com/454965103328545/videos/3697954183759550?comment_id=2142563519415924","https://www.facebook.com/454965103328545/videos/3697954183759550?comment_id=2142563519415924")</f>
        <v>https://www.facebook.com/454965103328545/videos/3697954183759550?comment_id=2142563519415924</v>
      </c>
      <c r="O3975">
        <v>0</v>
      </c>
      <c r="P3975">
        <v>0</v>
      </c>
      <c r="Q3975">
        <v>0</v>
      </c>
      <c r="S3975">
        <v>0</v>
      </c>
      <c r="T3975">
        <v>0</v>
      </c>
      <c r="U3975">
        <v>0</v>
      </c>
      <c r="W3975" t="s">
        <v>62</v>
      </c>
    </row>
    <row r="3976" spans="1:42" x14ac:dyDescent="0.35">
      <c r="A3976" t="s">
        <v>45</v>
      </c>
      <c r="B3976" t="s">
        <v>8332</v>
      </c>
      <c r="C3976" t="s">
        <v>47</v>
      </c>
      <c r="D3976" t="s">
        <v>9066</v>
      </c>
      <c r="E3976" t="s">
        <v>9066</v>
      </c>
      <c r="F3976" t="s">
        <v>49</v>
      </c>
      <c r="G3976" t="s">
        <v>9067</v>
      </c>
      <c r="H3976" t="s">
        <v>9068</v>
      </c>
      <c r="J3976" t="str">
        <f>HYPERLINK("https://www.facebook.com/454965103328545/videos/3697954183759550?comment_id=3775616616005866","https://www.facebook.com/454965103328545/videos/3697954183759550?comment_id=3775616616005866")</f>
        <v>https://www.facebook.com/454965103328545/videos/3697954183759550?comment_id=3775616616005866</v>
      </c>
      <c r="O3976">
        <v>0</v>
      </c>
      <c r="P3976">
        <v>0</v>
      </c>
      <c r="Q3976">
        <v>0</v>
      </c>
      <c r="S3976">
        <v>0</v>
      </c>
      <c r="T3976">
        <v>0</v>
      </c>
      <c r="U3976">
        <v>0</v>
      </c>
      <c r="W3976" t="s">
        <v>62</v>
      </c>
    </row>
    <row r="3977" spans="1:42" x14ac:dyDescent="0.35">
      <c r="A3977" t="s">
        <v>45</v>
      </c>
      <c r="B3977" t="s">
        <v>8332</v>
      </c>
      <c r="C3977" t="s">
        <v>47</v>
      </c>
      <c r="D3977" t="s">
        <v>9069</v>
      </c>
      <c r="E3977" t="s">
        <v>9069</v>
      </c>
      <c r="F3977" t="s">
        <v>142</v>
      </c>
      <c r="G3977" t="s">
        <v>9070</v>
      </c>
      <c r="H3977" t="s">
        <v>9071</v>
      </c>
      <c r="J3977" t="str">
        <f>HYPERLINK("https://www.facebook.com/454965103328545/videos/3697954183759550?comment_id=7397501240340378","https://www.facebook.com/454965103328545/videos/3697954183759550?comment_id=7397501240340378")</f>
        <v>https://www.facebook.com/454965103328545/videos/3697954183759550?comment_id=7397501240340378</v>
      </c>
      <c r="O3977">
        <v>0</v>
      </c>
      <c r="P3977">
        <v>0</v>
      </c>
      <c r="Q3977">
        <v>0</v>
      </c>
      <c r="S3977">
        <v>0</v>
      </c>
      <c r="T3977">
        <v>0</v>
      </c>
      <c r="U3977">
        <v>0</v>
      </c>
      <c r="W3977" t="s">
        <v>62</v>
      </c>
    </row>
    <row r="3978" spans="1:42" x14ac:dyDescent="0.35">
      <c r="A3978" t="s">
        <v>45</v>
      </c>
      <c r="B3978" t="s">
        <v>8332</v>
      </c>
      <c r="C3978" t="s">
        <v>47</v>
      </c>
      <c r="D3978" t="s">
        <v>1779</v>
      </c>
      <c r="E3978" t="s">
        <v>1779</v>
      </c>
      <c r="F3978" t="s">
        <v>49</v>
      </c>
      <c r="G3978" t="s">
        <v>9072</v>
      </c>
      <c r="H3978" t="s">
        <v>9073</v>
      </c>
      <c r="J3978" t="str">
        <f>HYPERLINK("https://www.facebook.com/454965103328545/videos/3697954183759550?comment_id=934228847820482","https://www.facebook.com/454965103328545/videos/3697954183759550?comment_id=934228847820482")</f>
        <v>https://www.facebook.com/454965103328545/videos/3697954183759550?comment_id=934228847820482</v>
      </c>
      <c r="O3978">
        <v>0</v>
      </c>
      <c r="P3978">
        <v>0</v>
      </c>
      <c r="Q3978">
        <v>0</v>
      </c>
      <c r="S3978">
        <v>0</v>
      </c>
      <c r="T3978">
        <v>0</v>
      </c>
      <c r="U3978">
        <v>0</v>
      </c>
      <c r="W3978" t="s">
        <v>62</v>
      </c>
    </row>
    <row r="3979" spans="1:42" x14ac:dyDescent="0.35">
      <c r="A3979" t="s">
        <v>45</v>
      </c>
      <c r="B3979" t="s">
        <v>8332</v>
      </c>
      <c r="C3979" t="s">
        <v>47</v>
      </c>
      <c r="D3979" t="s">
        <v>9074</v>
      </c>
      <c r="E3979" t="s">
        <v>9074</v>
      </c>
      <c r="F3979" t="s">
        <v>49</v>
      </c>
      <c r="G3979" t="s">
        <v>9075</v>
      </c>
      <c r="H3979" t="s">
        <v>9073</v>
      </c>
      <c r="J3979" t="str">
        <f>HYPERLINK("https://www.facebook.com/454965103328545/videos/3697954183759550?comment_id=1074508010488459","https://www.facebook.com/454965103328545/videos/3697954183759550?comment_id=1074508010488459")</f>
        <v>https://www.facebook.com/454965103328545/videos/3697954183759550?comment_id=1074508010488459</v>
      </c>
      <c r="O3979">
        <v>0</v>
      </c>
      <c r="P3979">
        <v>0</v>
      </c>
      <c r="Q3979">
        <v>0</v>
      </c>
      <c r="S3979">
        <v>0</v>
      </c>
      <c r="T3979">
        <v>0</v>
      </c>
      <c r="U3979">
        <v>0</v>
      </c>
      <c r="W3979" t="s">
        <v>62</v>
      </c>
    </row>
    <row r="3980" spans="1:42" x14ac:dyDescent="0.35">
      <c r="A3980" t="s">
        <v>45</v>
      </c>
      <c r="B3980" t="s">
        <v>8332</v>
      </c>
      <c r="C3980" t="s">
        <v>47</v>
      </c>
      <c r="D3980" t="s">
        <v>9037</v>
      </c>
      <c r="E3980" t="s">
        <v>9037</v>
      </c>
      <c r="F3980" t="s">
        <v>49</v>
      </c>
      <c r="G3980" t="s">
        <v>9038</v>
      </c>
      <c r="H3980" t="s">
        <v>9076</v>
      </c>
      <c r="J3980" t="str">
        <f>HYPERLINK("https://www.facebook.com/454965103328545/videos/3697954183759550?comment_id=1596740604424933","https://www.facebook.com/454965103328545/videos/3697954183759550?comment_id=1596740604424933")</f>
        <v>https://www.facebook.com/454965103328545/videos/3697954183759550?comment_id=1596740604424933</v>
      </c>
      <c r="O3980">
        <v>0</v>
      </c>
      <c r="P3980">
        <v>0</v>
      </c>
      <c r="Q3980">
        <v>0</v>
      </c>
      <c r="S3980">
        <v>0</v>
      </c>
      <c r="T3980">
        <v>0</v>
      </c>
      <c r="U3980">
        <v>0</v>
      </c>
      <c r="W3980" t="s">
        <v>62</v>
      </c>
    </row>
    <row r="3981" spans="1:42" x14ac:dyDescent="0.35">
      <c r="A3981" t="s">
        <v>45</v>
      </c>
      <c r="B3981" t="s">
        <v>8332</v>
      </c>
      <c r="C3981" t="s">
        <v>47</v>
      </c>
      <c r="D3981" t="s">
        <v>4431</v>
      </c>
      <c r="E3981" t="s">
        <v>4431</v>
      </c>
      <c r="F3981" t="s">
        <v>49</v>
      </c>
      <c r="G3981" t="s">
        <v>9077</v>
      </c>
      <c r="H3981" t="s">
        <v>9078</v>
      </c>
      <c r="J3981" t="str">
        <f>HYPERLINK("https://www.facebook.com/454965103328545/videos/3697954183759550?comment_id=949973953217938","https://www.facebook.com/454965103328545/videos/3697954183759550?comment_id=949973953217938")</f>
        <v>https://www.facebook.com/454965103328545/videos/3697954183759550?comment_id=949973953217938</v>
      </c>
      <c r="O3981">
        <v>0</v>
      </c>
      <c r="P3981">
        <v>0</v>
      </c>
      <c r="Q3981">
        <v>0</v>
      </c>
      <c r="S3981">
        <v>0</v>
      </c>
      <c r="T3981">
        <v>0</v>
      </c>
      <c r="U3981">
        <v>0</v>
      </c>
      <c r="W3981" t="s">
        <v>62</v>
      </c>
      <c r="AP3981" t="s">
        <v>101</v>
      </c>
    </row>
    <row r="3982" spans="1:42" x14ac:dyDescent="0.35">
      <c r="A3982" t="s">
        <v>45</v>
      </c>
      <c r="B3982" t="s">
        <v>8332</v>
      </c>
      <c r="C3982" t="s">
        <v>47</v>
      </c>
      <c r="D3982" t="s">
        <v>9037</v>
      </c>
      <c r="E3982" t="s">
        <v>9037</v>
      </c>
      <c r="F3982" t="s">
        <v>49</v>
      </c>
      <c r="G3982" t="s">
        <v>9038</v>
      </c>
      <c r="H3982" t="s">
        <v>9079</v>
      </c>
      <c r="J3982" t="str">
        <f>HYPERLINK("https://www.facebook.com/454965103328545/videos/3697954183759550?comment_id=1570260900408003","https://www.facebook.com/454965103328545/videos/3697954183759550?comment_id=1570260900408003")</f>
        <v>https://www.facebook.com/454965103328545/videos/3697954183759550?comment_id=1570260900408003</v>
      </c>
      <c r="O3982">
        <v>0</v>
      </c>
      <c r="P3982">
        <v>0</v>
      </c>
      <c r="Q3982">
        <v>0</v>
      </c>
      <c r="S3982">
        <v>0</v>
      </c>
      <c r="T3982">
        <v>0</v>
      </c>
      <c r="U3982">
        <v>0</v>
      </c>
      <c r="W3982" t="s">
        <v>62</v>
      </c>
    </row>
    <row r="3983" spans="1:42" x14ac:dyDescent="0.35">
      <c r="A3983" t="s">
        <v>45</v>
      </c>
      <c r="B3983" t="s">
        <v>8332</v>
      </c>
      <c r="C3983" t="s">
        <v>47</v>
      </c>
      <c r="D3983" t="s">
        <v>9037</v>
      </c>
      <c r="E3983" t="s">
        <v>9037</v>
      </c>
      <c r="F3983" t="s">
        <v>49</v>
      </c>
      <c r="G3983" t="s">
        <v>9038</v>
      </c>
      <c r="H3983" t="s">
        <v>9080</v>
      </c>
      <c r="J3983" t="str">
        <f>HYPERLINK("https://www.facebook.com/454965103328545/videos/3697954183759550?comment_id=1377351090329813","https://www.facebook.com/454965103328545/videos/3697954183759550?comment_id=1377351090329813")</f>
        <v>https://www.facebook.com/454965103328545/videos/3697954183759550?comment_id=1377351090329813</v>
      </c>
      <c r="O3983">
        <v>0</v>
      </c>
      <c r="P3983">
        <v>0</v>
      </c>
      <c r="Q3983">
        <v>0</v>
      </c>
      <c r="S3983">
        <v>0</v>
      </c>
      <c r="T3983">
        <v>0</v>
      </c>
      <c r="U3983">
        <v>0</v>
      </c>
      <c r="W3983" t="s">
        <v>62</v>
      </c>
    </row>
    <row r="3984" spans="1:42" x14ac:dyDescent="0.35">
      <c r="A3984" t="s">
        <v>45</v>
      </c>
      <c r="B3984" t="s">
        <v>8332</v>
      </c>
      <c r="C3984" t="s">
        <v>47</v>
      </c>
      <c r="D3984" t="s">
        <v>1779</v>
      </c>
      <c r="E3984" t="s">
        <v>1779</v>
      </c>
      <c r="F3984" t="s">
        <v>49</v>
      </c>
      <c r="G3984" t="s">
        <v>9081</v>
      </c>
      <c r="H3984" t="s">
        <v>9082</v>
      </c>
      <c r="J3984" t="str">
        <f>HYPERLINK("https://www.facebook.com/454965103328545/videos/3697954183759550?comment_id=7082057771831363","https://www.facebook.com/454965103328545/videos/3697954183759550?comment_id=7082057771831363")</f>
        <v>https://www.facebook.com/454965103328545/videos/3697954183759550?comment_id=7082057771831363</v>
      </c>
      <c r="O3984">
        <v>0</v>
      </c>
      <c r="P3984">
        <v>0</v>
      </c>
      <c r="Q3984">
        <v>0</v>
      </c>
      <c r="S3984">
        <v>0</v>
      </c>
      <c r="T3984">
        <v>0</v>
      </c>
      <c r="U3984">
        <v>0</v>
      </c>
      <c r="W3984" t="s">
        <v>106</v>
      </c>
    </row>
    <row r="3985" spans="1:42" x14ac:dyDescent="0.35">
      <c r="A3985" t="s">
        <v>45</v>
      </c>
      <c r="B3985" t="s">
        <v>8332</v>
      </c>
      <c r="C3985" t="s">
        <v>47</v>
      </c>
      <c r="D3985" t="s">
        <v>9037</v>
      </c>
      <c r="E3985" t="s">
        <v>9037</v>
      </c>
      <c r="F3985" t="s">
        <v>49</v>
      </c>
      <c r="G3985" t="s">
        <v>9038</v>
      </c>
      <c r="H3985" t="s">
        <v>9083</v>
      </c>
      <c r="J3985" t="str">
        <f>HYPERLINK("https://www.facebook.com/454965103328545/videos/3697954183759550?comment_id=245812935273612","https://www.facebook.com/454965103328545/videos/3697954183759550?comment_id=245812935273612")</f>
        <v>https://www.facebook.com/454965103328545/videos/3697954183759550?comment_id=245812935273612</v>
      </c>
      <c r="O3985">
        <v>0</v>
      </c>
      <c r="P3985">
        <v>0</v>
      </c>
      <c r="Q3985">
        <v>0</v>
      </c>
      <c r="S3985">
        <v>0</v>
      </c>
      <c r="T3985">
        <v>0</v>
      </c>
      <c r="U3985">
        <v>0</v>
      </c>
      <c r="W3985" t="s">
        <v>62</v>
      </c>
    </row>
    <row r="3986" spans="1:42" x14ac:dyDescent="0.35">
      <c r="A3986" t="s">
        <v>45</v>
      </c>
      <c r="B3986" t="s">
        <v>8332</v>
      </c>
      <c r="C3986" t="s">
        <v>47</v>
      </c>
      <c r="D3986" t="s">
        <v>9037</v>
      </c>
      <c r="E3986" t="s">
        <v>9037</v>
      </c>
      <c r="F3986" t="s">
        <v>49</v>
      </c>
      <c r="G3986" t="s">
        <v>9038</v>
      </c>
      <c r="H3986" t="s">
        <v>9084</v>
      </c>
      <c r="J3986" t="str">
        <f>HYPERLINK("https://www.facebook.com/454965103328545/videos/3697954183759550?comment_id=923612442657167","https://www.facebook.com/454965103328545/videos/3697954183759550?comment_id=923612442657167")</f>
        <v>https://www.facebook.com/454965103328545/videos/3697954183759550?comment_id=923612442657167</v>
      </c>
      <c r="O3986">
        <v>0</v>
      </c>
      <c r="P3986">
        <v>0</v>
      </c>
      <c r="Q3986">
        <v>0</v>
      </c>
      <c r="S3986">
        <v>0</v>
      </c>
      <c r="T3986">
        <v>0</v>
      </c>
      <c r="U3986">
        <v>0</v>
      </c>
      <c r="W3986" t="s">
        <v>62</v>
      </c>
    </row>
    <row r="3987" spans="1:42" x14ac:dyDescent="0.35">
      <c r="A3987" t="s">
        <v>45</v>
      </c>
      <c r="B3987" t="s">
        <v>8332</v>
      </c>
      <c r="C3987" t="s">
        <v>47</v>
      </c>
      <c r="D3987" t="s">
        <v>9069</v>
      </c>
      <c r="E3987" t="s">
        <v>9069</v>
      </c>
      <c r="F3987" t="s">
        <v>142</v>
      </c>
      <c r="G3987" t="s">
        <v>9070</v>
      </c>
      <c r="H3987" t="s">
        <v>9085</v>
      </c>
      <c r="J3987" t="str">
        <f>HYPERLINK("https://www.facebook.com/454965103328545/videos/3697954183759550?comment_id=696469169237006","https://www.facebook.com/454965103328545/videos/3697954183759550?comment_id=696469169237006")</f>
        <v>https://www.facebook.com/454965103328545/videos/3697954183759550?comment_id=696469169237006</v>
      </c>
      <c r="O3987">
        <v>0</v>
      </c>
      <c r="P3987">
        <v>0</v>
      </c>
      <c r="Q3987">
        <v>0</v>
      </c>
      <c r="S3987">
        <v>0</v>
      </c>
      <c r="T3987">
        <v>0</v>
      </c>
      <c r="U3987">
        <v>0</v>
      </c>
      <c r="W3987" t="s">
        <v>62</v>
      </c>
      <c r="AP3987" t="s">
        <v>147</v>
      </c>
    </row>
    <row r="3988" spans="1:42" x14ac:dyDescent="0.35">
      <c r="A3988" t="s">
        <v>45</v>
      </c>
      <c r="B3988" t="s">
        <v>8332</v>
      </c>
      <c r="C3988" t="s">
        <v>47</v>
      </c>
      <c r="D3988" t="s">
        <v>9086</v>
      </c>
      <c r="E3988" t="s">
        <v>9086</v>
      </c>
      <c r="F3988" t="s">
        <v>49</v>
      </c>
      <c r="G3988" t="s">
        <v>9087</v>
      </c>
      <c r="H3988" t="s">
        <v>9088</v>
      </c>
      <c r="J3988" t="str">
        <f>HYPERLINK("https://www.facebook.com/454965103328545/videos/3697954183759550?comment_id=919210539407433","https://www.facebook.com/454965103328545/videos/3697954183759550?comment_id=919210539407433")</f>
        <v>https://www.facebook.com/454965103328545/videos/3697954183759550?comment_id=919210539407433</v>
      </c>
      <c r="O3988">
        <v>0</v>
      </c>
      <c r="P3988">
        <v>0</v>
      </c>
      <c r="Q3988">
        <v>0</v>
      </c>
      <c r="S3988">
        <v>0</v>
      </c>
      <c r="T3988">
        <v>0</v>
      </c>
      <c r="U3988">
        <v>0</v>
      </c>
      <c r="W3988" t="s">
        <v>62</v>
      </c>
    </row>
    <row r="3989" spans="1:42" x14ac:dyDescent="0.35">
      <c r="A3989" t="s">
        <v>45</v>
      </c>
      <c r="B3989" t="s">
        <v>8332</v>
      </c>
      <c r="C3989" t="s">
        <v>47</v>
      </c>
      <c r="D3989" t="s">
        <v>9037</v>
      </c>
      <c r="E3989" t="s">
        <v>9037</v>
      </c>
      <c r="F3989" t="s">
        <v>49</v>
      </c>
      <c r="G3989" t="s">
        <v>9038</v>
      </c>
      <c r="H3989" t="s">
        <v>9089</v>
      </c>
      <c r="J3989" t="str">
        <f>HYPERLINK("https://www.facebook.com/454965103328545/videos/3697954183759550?comment_id=1059821145248260","https://www.facebook.com/454965103328545/videos/3697954183759550?comment_id=1059821145248260")</f>
        <v>https://www.facebook.com/454965103328545/videos/3697954183759550?comment_id=1059821145248260</v>
      </c>
      <c r="O3989">
        <v>0</v>
      </c>
      <c r="P3989">
        <v>0</v>
      </c>
      <c r="Q3989">
        <v>0</v>
      </c>
      <c r="S3989">
        <v>0</v>
      </c>
      <c r="T3989">
        <v>0</v>
      </c>
      <c r="U3989">
        <v>0</v>
      </c>
      <c r="W3989" t="s">
        <v>62</v>
      </c>
    </row>
    <row r="3990" spans="1:42" x14ac:dyDescent="0.35">
      <c r="A3990" t="s">
        <v>45</v>
      </c>
      <c r="B3990" t="s">
        <v>8332</v>
      </c>
      <c r="C3990" t="s">
        <v>47</v>
      </c>
      <c r="D3990" t="s">
        <v>9090</v>
      </c>
      <c r="E3990" t="s">
        <v>9090</v>
      </c>
      <c r="F3990" t="s">
        <v>49</v>
      </c>
      <c r="G3990" t="s">
        <v>9091</v>
      </c>
      <c r="H3990" t="s">
        <v>9092</v>
      </c>
      <c r="J3990" t="str">
        <f>HYPERLINK("https://www.facebook.com/454965103328545/videos/3697954183759550?comment_id=752896023057469","https://www.facebook.com/454965103328545/videos/3697954183759550?comment_id=752896023057469")</f>
        <v>https://www.facebook.com/454965103328545/videos/3697954183759550?comment_id=752896023057469</v>
      </c>
      <c r="O3990">
        <v>0</v>
      </c>
      <c r="P3990">
        <v>0</v>
      </c>
      <c r="Q3990">
        <v>0</v>
      </c>
      <c r="S3990">
        <v>0</v>
      </c>
      <c r="T3990">
        <v>0</v>
      </c>
      <c r="U3990">
        <v>0</v>
      </c>
      <c r="W3990" t="s">
        <v>62</v>
      </c>
      <c r="AP3990" t="s">
        <v>101</v>
      </c>
    </row>
    <row r="3991" spans="1:42" x14ac:dyDescent="0.35">
      <c r="A3991" t="s">
        <v>45</v>
      </c>
      <c r="B3991" t="s">
        <v>8332</v>
      </c>
      <c r="C3991" t="s">
        <v>47</v>
      </c>
      <c r="D3991" t="s">
        <v>9093</v>
      </c>
      <c r="E3991" t="s">
        <v>9093</v>
      </c>
      <c r="F3991" t="s">
        <v>49</v>
      </c>
      <c r="G3991" t="s">
        <v>9094</v>
      </c>
      <c r="H3991" t="s">
        <v>9095</v>
      </c>
      <c r="J3991" t="str">
        <f>HYPERLINK("https://www.facebook.com/454965103328545/videos/3697954183759550?comment_id=354053654147188","https://www.facebook.com/454965103328545/videos/3697954183759550?comment_id=354053654147188")</f>
        <v>https://www.facebook.com/454965103328545/videos/3697954183759550?comment_id=354053654147188</v>
      </c>
      <c r="O3991">
        <v>0</v>
      </c>
      <c r="P3991">
        <v>0</v>
      </c>
      <c r="Q3991">
        <v>0</v>
      </c>
      <c r="S3991">
        <v>0</v>
      </c>
      <c r="T3991">
        <v>0</v>
      </c>
      <c r="U3991">
        <v>0</v>
      </c>
      <c r="W3991" t="s">
        <v>62</v>
      </c>
    </row>
    <row r="3992" spans="1:42" x14ac:dyDescent="0.35">
      <c r="A3992" t="s">
        <v>45</v>
      </c>
      <c r="B3992" t="s">
        <v>8332</v>
      </c>
      <c r="C3992" t="s">
        <v>47</v>
      </c>
      <c r="D3992" t="s">
        <v>9050</v>
      </c>
      <c r="E3992" t="s">
        <v>9050</v>
      </c>
      <c r="F3992" t="s">
        <v>49</v>
      </c>
      <c r="G3992" t="s">
        <v>9096</v>
      </c>
      <c r="H3992" t="s">
        <v>9097</v>
      </c>
      <c r="J3992" t="str">
        <f>HYPERLINK("https://www.facebook.com/454965103328545/videos/3697954183759550?comment_id=1104186724361965","https://www.facebook.com/454965103328545/videos/3697954183759550?comment_id=1104186724361965")</f>
        <v>https://www.facebook.com/454965103328545/videos/3697954183759550?comment_id=1104186724361965</v>
      </c>
      <c r="O3992">
        <v>0</v>
      </c>
      <c r="P3992">
        <v>0</v>
      </c>
      <c r="Q3992">
        <v>0</v>
      </c>
      <c r="S3992">
        <v>0</v>
      </c>
      <c r="T3992">
        <v>0</v>
      </c>
      <c r="U3992">
        <v>0</v>
      </c>
      <c r="W3992" t="s">
        <v>62</v>
      </c>
    </row>
    <row r="3993" spans="1:42" x14ac:dyDescent="0.35">
      <c r="A3993" t="s">
        <v>45</v>
      </c>
      <c r="B3993" t="s">
        <v>8332</v>
      </c>
      <c r="C3993" t="s">
        <v>47</v>
      </c>
      <c r="D3993" t="s">
        <v>9037</v>
      </c>
      <c r="E3993" t="s">
        <v>9037</v>
      </c>
      <c r="F3993" t="s">
        <v>49</v>
      </c>
      <c r="G3993" t="s">
        <v>9038</v>
      </c>
      <c r="H3993" t="s">
        <v>9097</v>
      </c>
      <c r="J3993" t="str">
        <f>HYPERLINK("https://www.facebook.com/454965103328545/videos/3697954183759550?comment_id=886398873264205","https://www.facebook.com/454965103328545/videos/3697954183759550?comment_id=886398873264205")</f>
        <v>https://www.facebook.com/454965103328545/videos/3697954183759550?comment_id=886398873264205</v>
      </c>
      <c r="O3993">
        <v>0</v>
      </c>
      <c r="P3993">
        <v>0</v>
      </c>
      <c r="Q3993">
        <v>0</v>
      </c>
      <c r="S3993">
        <v>0</v>
      </c>
      <c r="T3993">
        <v>0</v>
      </c>
      <c r="U3993">
        <v>0</v>
      </c>
      <c r="W3993" t="s">
        <v>62</v>
      </c>
    </row>
    <row r="3994" spans="1:42" x14ac:dyDescent="0.35">
      <c r="A3994" t="s">
        <v>45</v>
      </c>
      <c r="B3994" t="s">
        <v>8332</v>
      </c>
      <c r="C3994" t="s">
        <v>47</v>
      </c>
      <c r="D3994" t="s">
        <v>4058</v>
      </c>
      <c r="E3994" t="s">
        <v>4058</v>
      </c>
      <c r="F3994" t="s">
        <v>49</v>
      </c>
      <c r="G3994" t="s">
        <v>9098</v>
      </c>
      <c r="H3994" t="s">
        <v>9099</v>
      </c>
      <c r="J3994" t="str">
        <f>HYPERLINK("https://www.facebook.com/454965103328545/videos/3697954183759550?comment_id=1427693614796749","https://www.facebook.com/454965103328545/videos/3697954183759550?comment_id=1427693614796749")</f>
        <v>https://www.facebook.com/454965103328545/videos/3697954183759550?comment_id=1427693614796749</v>
      </c>
      <c r="O3994">
        <v>0</v>
      </c>
      <c r="P3994">
        <v>0</v>
      </c>
      <c r="Q3994">
        <v>0</v>
      </c>
      <c r="S3994">
        <v>0</v>
      </c>
      <c r="T3994">
        <v>0</v>
      </c>
      <c r="U3994">
        <v>0</v>
      </c>
      <c r="W3994" t="s">
        <v>62</v>
      </c>
    </row>
    <row r="3995" spans="1:42" x14ac:dyDescent="0.35">
      <c r="A3995" t="s">
        <v>45</v>
      </c>
      <c r="B3995" t="s">
        <v>8332</v>
      </c>
      <c r="C3995" t="s">
        <v>47</v>
      </c>
      <c r="D3995" t="s">
        <v>9100</v>
      </c>
      <c r="E3995" t="s">
        <v>9100</v>
      </c>
      <c r="F3995" t="s">
        <v>49</v>
      </c>
      <c r="G3995" t="s">
        <v>9101</v>
      </c>
      <c r="H3995" t="s">
        <v>9102</v>
      </c>
      <c r="J3995" t="str">
        <f>HYPERLINK("https://www.facebook.com/454965103328545/videos/3697954183759550?comment_id=817751180174566","https://www.facebook.com/454965103328545/videos/3697954183759550?comment_id=817751180174566")</f>
        <v>https://www.facebook.com/454965103328545/videos/3697954183759550?comment_id=817751180174566</v>
      </c>
      <c r="O3995">
        <v>0</v>
      </c>
      <c r="P3995">
        <v>0</v>
      </c>
      <c r="Q3995">
        <v>0</v>
      </c>
      <c r="S3995">
        <v>0</v>
      </c>
      <c r="T3995">
        <v>0</v>
      </c>
      <c r="U3995">
        <v>0</v>
      </c>
      <c r="W3995" t="s">
        <v>62</v>
      </c>
    </row>
    <row r="3996" spans="1:42" x14ac:dyDescent="0.35">
      <c r="A3996" t="s">
        <v>45</v>
      </c>
      <c r="B3996" t="s">
        <v>8332</v>
      </c>
      <c r="C3996" t="s">
        <v>47</v>
      </c>
      <c r="D3996" t="s">
        <v>9037</v>
      </c>
      <c r="E3996" t="s">
        <v>9037</v>
      </c>
      <c r="F3996" t="s">
        <v>49</v>
      </c>
      <c r="G3996" t="s">
        <v>9038</v>
      </c>
      <c r="H3996" t="s">
        <v>9103</v>
      </c>
      <c r="J3996" t="str">
        <f>HYPERLINK("https://www.facebook.com/454965103328545/videos/3697954183759550?comment_id=2321437454724155","https://www.facebook.com/454965103328545/videos/3697954183759550?comment_id=2321437454724155")</f>
        <v>https://www.facebook.com/454965103328545/videos/3697954183759550?comment_id=2321437454724155</v>
      </c>
      <c r="O3996">
        <v>0</v>
      </c>
      <c r="P3996">
        <v>0</v>
      </c>
      <c r="Q3996">
        <v>0</v>
      </c>
      <c r="S3996">
        <v>0</v>
      </c>
      <c r="T3996">
        <v>0</v>
      </c>
      <c r="U3996">
        <v>0</v>
      </c>
      <c r="W3996" t="s">
        <v>62</v>
      </c>
    </row>
    <row r="3997" spans="1:42" x14ac:dyDescent="0.35">
      <c r="A3997" t="s">
        <v>45</v>
      </c>
      <c r="B3997" t="s">
        <v>8332</v>
      </c>
      <c r="C3997" t="s">
        <v>47</v>
      </c>
      <c r="D3997" t="s">
        <v>4431</v>
      </c>
      <c r="E3997" t="s">
        <v>4431</v>
      </c>
      <c r="F3997" t="s">
        <v>49</v>
      </c>
      <c r="G3997" t="s">
        <v>9077</v>
      </c>
      <c r="H3997" t="s">
        <v>9104</v>
      </c>
      <c r="J3997" t="str">
        <f>HYPERLINK("https://www.facebook.com/454965103328545/videos/3697954183759550?comment_id=707196188185971","https://www.facebook.com/454965103328545/videos/3697954183759550?comment_id=707196188185971")</f>
        <v>https://www.facebook.com/454965103328545/videos/3697954183759550?comment_id=707196188185971</v>
      </c>
      <c r="O3997">
        <v>0</v>
      </c>
      <c r="P3997">
        <v>0</v>
      </c>
      <c r="Q3997">
        <v>0</v>
      </c>
      <c r="S3997">
        <v>0</v>
      </c>
      <c r="T3997">
        <v>0</v>
      </c>
      <c r="U3997">
        <v>0</v>
      </c>
      <c r="W3997" t="s">
        <v>62</v>
      </c>
    </row>
    <row r="3998" spans="1:42" x14ac:dyDescent="0.35">
      <c r="A3998" t="s">
        <v>45</v>
      </c>
      <c r="B3998" t="s">
        <v>8332</v>
      </c>
      <c r="C3998" t="s">
        <v>47</v>
      </c>
      <c r="D3998" t="s">
        <v>1779</v>
      </c>
      <c r="E3998" t="s">
        <v>1779</v>
      </c>
      <c r="F3998" t="s">
        <v>49</v>
      </c>
      <c r="G3998" t="s">
        <v>9105</v>
      </c>
      <c r="H3998" t="s">
        <v>9106</v>
      </c>
      <c r="J3998" t="str">
        <f>HYPERLINK("https://www.facebook.com/454965103328545/videos/3697954183759550?comment_id=1514166312649553","https://www.facebook.com/454965103328545/videos/3697954183759550?comment_id=1514166312649553")</f>
        <v>https://www.facebook.com/454965103328545/videos/3697954183759550?comment_id=1514166312649553</v>
      </c>
      <c r="O3998">
        <v>0</v>
      </c>
      <c r="P3998">
        <v>0</v>
      </c>
      <c r="Q3998">
        <v>0</v>
      </c>
      <c r="S3998">
        <v>0</v>
      </c>
      <c r="T3998">
        <v>0</v>
      </c>
      <c r="U3998">
        <v>0</v>
      </c>
      <c r="W3998" t="s">
        <v>106</v>
      </c>
    </row>
    <row r="3999" spans="1:42" x14ac:dyDescent="0.35">
      <c r="A3999" t="s">
        <v>45</v>
      </c>
      <c r="B3999" t="s">
        <v>8332</v>
      </c>
      <c r="C3999" t="s">
        <v>47</v>
      </c>
      <c r="D3999" t="s">
        <v>9069</v>
      </c>
      <c r="E3999" t="s">
        <v>9069</v>
      </c>
      <c r="F3999" t="s">
        <v>142</v>
      </c>
      <c r="G3999" t="s">
        <v>9070</v>
      </c>
      <c r="H3999" t="s">
        <v>9107</v>
      </c>
      <c r="J3999" t="str">
        <f>HYPERLINK("https://www.facebook.com/454965103328545/videos/3697954183759550?comment_id=740483144681090","https://www.facebook.com/454965103328545/videos/3697954183759550?comment_id=740483144681090")</f>
        <v>https://www.facebook.com/454965103328545/videos/3697954183759550?comment_id=740483144681090</v>
      </c>
      <c r="O3999">
        <v>0</v>
      </c>
      <c r="P3999">
        <v>0</v>
      </c>
      <c r="Q3999">
        <v>0</v>
      </c>
      <c r="S3999">
        <v>0</v>
      </c>
      <c r="T3999">
        <v>0</v>
      </c>
      <c r="U3999">
        <v>0</v>
      </c>
      <c r="W3999" t="s">
        <v>62</v>
      </c>
      <c r="AP3999" t="s">
        <v>147</v>
      </c>
    </row>
    <row r="4000" spans="1:42" x14ac:dyDescent="0.35">
      <c r="A4000" t="s">
        <v>45</v>
      </c>
      <c r="B4000" t="s">
        <v>8332</v>
      </c>
      <c r="C4000" t="s">
        <v>47</v>
      </c>
      <c r="D4000" t="s">
        <v>9037</v>
      </c>
      <c r="E4000" t="s">
        <v>9037</v>
      </c>
      <c r="F4000" t="s">
        <v>49</v>
      </c>
      <c r="G4000" t="s">
        <v>9038</v>
      </c>
      <c r="H4000" t="s">
        <v>9108</v>
      </c>
      <c r="J4000" t="str">
        <f>HYPERLINK("https://www.facebook.com/454965103328545/videos/3697954183759550?comment_id=2138111466554196","https://www.facebook.com/454965103328545/videos/3697954183759550?comment_id=2138111466554196")</f>
        <v>https://www.facebook.com/454965103328545/videos/3697954183759550?comment_id=2138111466554196</v>
      </c>
      <c r="O4000">
        <v>0</v>
      </c>
      <c r="P4000">
        <v>0</v>
      </c>
      <c r="Q4000">
        <v>0</v>
      </c>
      <c r="S4000">
        <v>0</v>
      </c>
      <c r="T4000">
        <v>0</v>
      </c>
      <c r="U4000">
        <v>0</v>
      </c>
      <c r="W4000" t="s">
        <v>62</v>
      </c>
    </row>
    <row r="4001" spans="1:42" x14ac:dyDescent="0.35">
      <c r="A4001" t="s">
        <v>45</v>
      </c>
      <c r="B4001" t="s">
        <v>8332</v>
      </c>
      <c r="C4001" t="s">
        <v>47</v>
      </c>
      <c r="D4001" t="s">
        <v>3619</v>
      </c>
      <c r="E4001" t="s">
        <v>3619</v>
      </c>
      <c r="F4001" t="s">
        <v>49</v>
      </c>
      <c r="G4001" t="s">
        <v>9109</v>
      </c>
      <c r="H4001" t="s">
        <v>9110</v>
      </c>
      <c r="J4001" t="str">
        <f>HYPERLINK("https://www.facebook.com/454965103328545/videos/3697954183759550?comment_id=402064762301443","https://www.facebook.com/454965103328545/videos/3697954183759550?comment_id=402064762301443")</f>
        <v>https://www.facebook.com/454965103328545/videos/3697954183759550?comment_id=402064762301443</v>
      </c>
      <c r="O4001">
        <v>0</v>
      </c>
      <c r="P4001">
        <v>0</v>
      </c>
      <c r="Q4001">
        <v>0</v>
      </c>
      <c r="S4001">
        <v>0</v>
      </c>
      <c r="T4001">
        <v>0</v>
      </c>
      <c r="U4001">
        <v>0</v>
      </c>
      <c r="W4001" t="s">
        <v>62</v>
      </c>
    </row>
    <row r="4002" spans="1:42" x14ac:dyDescent="0.35">
      <c r="A4002" t="s">
        <v>45</v>
      </c>
      <c r="B4002" t="s">
        <v>8332</v>
      </c>
      <c r="C4002" t="s">
        <v>47</v>
      </c>
      <c r="D4002" t="s">
        <v>9037</v>
      </c>
      <c r="E4002" t="s">
        <v>9037</v>
      </c>
      <c r="F4002" t="s">
        <v>49</v>
      </c>
      <c r="G4002" t="s">
        <v>9038</v>
      </c>
      <c r="H4002" t="s">
        <v>9111</v>
      </c>
      <c r="J4002" t="str">
        <f>HYPERLINK("https://www.facebook.com/454965103328545/videos/3697954183759550?comment_id=236473152845726","https://www.facebook.com/454965103328545/videos/3697954183759550?comment_id=236473152845726")</f>
        <v>https://www.facebook.com/454965103328545/videos/3697954183759550?comment_id=236473152845726</v>
      </c>
      <c r="O4002">
        <v>0</v>
      </c>
      <c r="P4002">
        <v>0</v>
      </c>
      <c r="Q4002">
        <v>0</v>
      </c>
      <c r="S4002">
        <v>0</v>
      </c>
      <c r="T4002">
        <v>0</v>
      </c>
      <c r="U4002">
        <v>0</v>
      </c>
      <c r="W4002" t="s">
        <v>62</v>
      </c>
    </row>
    <row r="4003" spans="1:42" x14ac:dyDescent="0.35">
      <c r="A4003" t="s">
        <v>45</v>
      </c>
      <c r="B4003" t="s">
        <v>8332</v>
      </c>
      <c r="C4003" t="s">
        <v>47</v>
      </c>
      <c r="D4003" t="s">
        <v>9037</v>
      </c>
      <c r="E4003" t="s">
        <v>9037</v>
      </c>
      <c r="F4003" t="s">
        <v>49</v>
      </c>
      <c r="G4003" t="s">
        <v>9038</v>
      </c>
      <c r="H4003" t="s">
        <v>9112</v>
      </c>
      <c r="J4003" t="str">
        <f>HYPERLINK("https://www.facebook.com/454965103328545/videos/3697954183759550?comment_id=2373651042818152","https://www.facebook.com/454965103328545/videos/3697954183759550?comment_id=2373651042818152")</f>
        <v>https://www.facebook.com/454965103328545/videos/3697954183759550?comment_id=2373651042818152</v>
      </c>
      <c r="O4003">
        <v>0</v>
      </c>
      <c r="P4003">
        <v>0</v>
      </c>
      <c r="Q4003">
        <v>0</v>
      </c>
      <c r="S4003">
        <v>0</v>
      </c>
      <c r="T4003">
        <v>0</v>
      </c>
      <c r="U4003">
        <v>0</v>
      </c>
      <c r="W4003" t="s">
        <v>62</v>
      </c>
    </row>
    <row r="4004" spans="1:42" x14ac:dyDescent="0.35">
      <c r="A4004" t="s">
        <v>45</v>
      </c>
      <c r="B4004" t="s">
        <v>8332</v>
      </c>
      <c r="C4004" t="s">
        <v>47</v>
      </c>
      <c r="D4004" t="s">
        <v>9100</v>
      </c>
      <c r="E4004" t="s">
        <v>9100</v>
      </c>
      <c r="F4004" t="s">
        <v>49</v>
      </c>
      <c r="G4004" t="s">
        <v>9101</v>
      </c>
      <c r="H4004" t="s">
        <v>9113</v>
      </c>
      <c r="J4004" t="str">
        <f>HYPERLINK("https://www.facebook.com/454965103328545/videos/3697954183759550?comment_id=392511890027183","https://www.facebook.com/454965103328545/videos/3697954183759550?comment_id=392511890027183")</f>
        <v>https://www.facebook.com/454965103328545/videos/3697954183759550?comment_id=392511890027183</v>
      </c>
      <c r="O4004">
        <v>0</v>
      </c>
      <c r="P4004">
        <v>0</v>
      </c>
      <c r="Q4004">
        <v>0</v>
      </c>
      <c r="S4004">
        <v>0</v>
      </c>
      <c r="T4004">
        <v>0</v>
      </c>
      <c r="U4004">
        <v>0</v>
      </c>
      <c r="W4004" t="s">
        <v>62</v>
      </c>
    </row>
    <row r="4005" spans="1:42" x14ac:dyDescent="0.35">
      <c r="A4005" t="s">
        <v>45</v>
      </c>
      <c r="B4005" t="s">
        <v>8332</v>
      </c>
      <c r="C4005" t="s">
        <v>47</v>
      </c>
      <c r="D4005" t="s">
        <v>9069</v>
      </c>
      <c r="E4005" t="s">
        <v>9069</v>
      </c>
      <c r="F4005" t="s">
        <v>142</v>
      </c>
      <c r="G4005" t="s">
        <v>9070</v>
      </c>
      <c r="H4005" t="s">
        <v>9114</v>
      </c>
      <c r="J4005" t="str">
        <f>HYPERLINK("https://www.facebook.com/454965103328545/videos/3697954183759550?comment_id=2461853454023150","https://www.facebook.com/454965103328545/videos/3697954183759550?comment_id=2461853454023150")</f>
        <v>https://www.facebook.com/454965103328545/videos/3697954183759550?comment_id=2461853454023150</v>
      </c>
      <c r="O4005">
        <v>0</v>
      </c>
      <c r="P4005">
        <v>0</v>
      </c>
      <c r="Q4005">
        <v>0</v>
      </c>
      <c r="S4005">
        <v>0</v>
      </c>
      <c r="T4005">
        <v>0</v>
      </c>
      <c r="U4005">
        <v>0</v>
      </c>
      <c r="W4005" t="s">
        <v>62</v>
      </c>
      <c r="AP4005" t="s">
        <v>147</v>
      </c>
    </row>
    <row r="4006" spans="1:42" x14ac:dyDescent="0.35">
      <c r="A4006" t="s">
        <v>45</v>
      </c>
      <c r="B4006" t="s">
        <v>8332</v>
      </c>
      <c r="C4006" t="s">
        <v>47</v>
      </c>
      <c r="D4006" t="s">
        <v>2913</v>
      </c>
      <c r="E4006" t="s">
        <v>2913</v>
      </c>
      <c r="F4006" t="s">
        <v>49</v>
      </c>
      <c r="G4006" t="s">
        <v>9115</v>
      </c>
      <c r="H4006" t="s">
        <v>9116</v>
      </c>
      <c r="J4006" t="str">
        <f>HYPERLINK("https://www.facebook.com/454965103328545/videos/3697954183759550?comment_id=701488915303047","https://www.facebook.com/454965103328545/videos/3697954183759550?comment_id=701488915303047")</f>
        <v>https://www.facebook.com/454965103328545/videos/3697954183759550?comment_id=701488915303047</v>
      </c>
      <c r="O4006">
        <v>0</v>
      </c>
      <c r="P4006">
        <v>0</v>
      </c>
      <c r="Q4006">
        <v>0</v>
      </c>
      <c r="S4006">
        <v>0</v>
      </c>
      <c r="T4006">
        <v>0</v>
      </c>
      <c r="U4006">
        <v>0</v>
      </c>
      <c r="W4006" t="s">
        <v>62</v>
      </c>
    </row>
    <row r="4007" spans="1:42" x14ac:dyDescent="0.35">
      <c r="A4007" t="s">
        <v>45</v>
      </c>
      <c r="B4007" t="s">
        <v>8332</v>
      </c>
      <c r="C4007" t="s">
        <v>47</v>
      </c>
      <c r="D4007" t="s">
        <v>9100</v>
      </c>
      <c r="E4007" t="s">
        <v>9100</v>
      </c>
      <c r="F4007" t="s">
        <v>49</v>
      </c>
      <c r="G4007" t="s">
        <v>9101</v>
      </c>
      <c r="H4007" t="s">
        <v>9117</v>
      </c>
      <c r="J4007" t="str">
        <f>HYPERLINK("https://www.facebook.com/454965103328545/videos/3697954183759550?comment_id=1608813033262913","https://www.facebook.com/454965103328545/videos/3697954183759550?comment_id=1608813033262913")</f>
        <v>https://www.facebook.com/454965103328545/videos/3697954183759550?comment_id=1608813033262913</v>
      </c>
      <c r="O4007">
        <v>0</v>
      </c>
      <c r="P4007">
        <v>0</v>
      </c>
      <c r="Q4007">
        <v>0</v>
      </c>
      <c r="S4007">
        <v>0</v>
      </c>
      <c r="T4007">
        <v>0</v>
      </c>
      <c r="U4007">
        <v>0</v>
      </c>
      <c r="W4007" t="s">
        <v>62</v>
      </c>
    </row>
    <row r="4008" spans="1:42" x14ac:dyDescent="0.35">
      <c r="A4008" t="s">
        <v>45</v>
      </c>
      <c r="B4008" t="s">
        <v>8332</v>
      </c>
      <c r="C4008" t="s">
        <v>47</v>
      </c>
      <c r="D4008" t="s">
        <v>1779</v>
      </c>
      <c r="E4008" t="s">
        <v>1779</v>
      </c>
      <c r="F4008" t="s">
        <v>49</v>
      </c>
      <c r="G4008" t="s">
        <v>9053</v>
      </c>
      <c r="H4008" t="s">
        <v>9118</v>
      </c>
      <c r="J4008" t="str">
        <f>HYPERLINK("https://www.facebook.com/454965103328545/videos/3697954183759550?comment_id=760891885505831","https://www.facebook.com/454965103328545/videos/3697954183759550?comment_id=760891885505831")</f>
        <v>https://www.facebook.com/454965103328545/videos/3697954183759550?comment_id=760891885505831</v>
      </c>
      <c r="O4008">
        <v>0</v>
      </c>
      <c r="P4008">
        <v>0</v>
      </c>
      <c r="Q4008">
        <v>0</v>
      </c>
      <c r="S4008">
        <v>0</v>
      </c>
      <c r="T4008">
        <v>0</v>
      </c>
      <c r="U4008">
        <v>0</v>
      </c>
      <c r="W4008" t="s">
        <v>62</v>
      </c>
    </row>
    <row r="4009" spans="1:42" x14ac:dyDescent="0.35">
      <c r="A4009" t="s">
        <v>45</v>
      </c>
      <c r="B4009" t="s">
        <v>8332</v>
      </c>
      <c r="C4009" t="s">
        <v>47</v>
      </c>
      <c r="D4009" t="s">
        <v>9100</v>
      </c>
      <c r="E4009" t="s">
        <v>9100</v>
      </c>
      <c r="F4009" t="s">
        <v>49</v>
      </c>
      <c r="G4009" t="s">
        <v>9101</v>
      </c>
      <c r="H4009" t="s">
        <v>9119</v>
      </c>
      <c r="J4009" t="str">
        <f>HYPERLINK("https://www.facebook.com/454965103328545/videos/3697954183759550?comment_id=1078909929976060","https://www.facebook.com/454965103328545/videos/3697954183759550?comment_id=1078909929976060")</f>
        <v>https://www.facebook.com/454965103328545/videos/3697954183759550?comment_id=1078909929976060</v>
      </c>
      <c r="O4009">
        <v>0</v>
      </c>
      <c r="P4009">
        <v>0</v>
      </c>
      <c r="Q4009">
        <v>0</v>
      </c>
      <c r="S4009">
        <v>0</v>
      </c>
      <c r="T4009">
        <v>0</v>
      </c>
      <c r="U4009">
        <v>0</v>
      </c>
      <c r="W4009" t="s">
        <v>62</v>
      </c>
    </row>
    <row r="4010" spans="1:42" x14ac:dyDescent="0.35">
      <c r="A4010" t="s">
        <v>45</v>
      </c>
      <c r="B4010" t="s">
        <v>8332</v>
      </c>
      <c r="C4010" t="s">
        <v>47</v>
      </c>
      <c r="D4010" t="s">
        <v>9069</v>
      </c>
      <c r="E4010" t="s">
        <v>9069</v>
      </c>
      <c r="F4010" t="s">
        <v>142</v>
      </c>
      <c r="G4010" t="s">
        <v>9070</v>
      </c>
      <c r="H4010" t="s">
        <v>9120</v>
      </c>
      <c r="J4010" t="str">
        <f>HYPERLINK("https://www.facebook.com/454965103328545/videos/3697954183759550?comment_id=348311181414804","https://www.facebook.com/454965103328545/videos/3697954183759550?comment_id=348311181414804")</f>
        <v>https://www.facebook.com/454965103328545/videos/3697954183759550?comment_id=348311181414804</v>
      </c>
      <c r="O4010">
        <v>0</v>
      </c>
      <c r="P4010">
        <v>0</v>
      </c>
      <c r="Q4010">
        <v>0</v>
      </c>
      <c r="S4010">
        <v>0</v>
      </c>
      <c r="T4010">
        <v>0</v>
      </c>
      <c r="U4010">
        <v>0</v>
      </c>
      <c r="W4010" t="s">
        <v>62</v>
      </c>
      <c r="AP4010" t="s">
        <v>147</v>
      </c>
    </row>
    <row r="4011" spans="1:42" x14ac:dyDescent="0.35">
      <c r="A4011" t="s">
        <v>45</v>
      </c>
      <c r="B4011" t="s">
        <v>8332</v>
      </c>
      <c r="C4011" t="s">
        <v>47</v>
      </c>
      <c r="D4011" t="s">
        <v>9050</v>
      </c>
      <c r="E4011" t="s">
        <v>9050</v>
      </c>
      <c r="F4011" t="s">
        <v>49</v>
      </c>
      <c r="G4011" t="s">
        <v>9121</v>
      </c>
      <c r="H4011" t="s">
        <v>9122</v>
      </c>
      <c r="J4011" t="str">
        <f>HYPERLINK("https://www.facebook.com/454965103328545/videos/3697954183759550?comment_id=907821061067165","https://www.facebook.com/454965103328545/videos/3697954183759550?comment_id=907821061067165")</f>
        <v>https://www.facebook.com/454965103328545/videos/3697954183759550?comment_id=907821061067165</v>
      </c>
      <c r="O4011">
        <v>0</v>
      </c>
      <c r="P4011">
        <v>0</v>
      </c>
      <c r="Q4011">
        <v>0</v>
      </c>
      <c r="S4011">
        <v>0</v>
      </c>
      <c r="T4011">
        <v>0</v>
      </c>
      <c r="U4011">
        <v>0</v>
      </c>
      <c r="W4011" t="s">
        <v>62</v>
      </c>
    </row>
    <row r="4012" spans="1:42" x14ac:dyDescent="0.35">
      <c r="A4012" t="s">
        <v>45</v>
      </c>
      <c r="B4012" t="s">
        <v>8332</v>
      </c>
      <c r="C4012" t="s">
        <v>47</v>
      </c>
      <c r="D4012" t="s">
        <v>9123</v>
      </c>
      <c r="E4012" t="s">
        <v>9123</v>
      </c>
      <c r="F4012" t="s">
        <v>49</v>
      </c>
      <c r="G4012" t="s">
        <v>9124</v>
      </c>
      <c r="H4012" t="s">
        <v>9122</v>
      </c>
      <c r="J4012" t="str">
        <f>HYPERLINK("https://www.facebook.com/454965103328545/videos/3697954183759550?comment_id=8044520948895531","https://www.facebook.com/454965103328545/videos/3697954183759550?comment_id=8044520948895531")</f>
        <v>https://www.facebook.com/454965103328545/videos/3697954183759550?comment_id=8044520948895531</v>
      </c>
      <c r="O4012">
        <v>0</v>
      </c>
      <c r="P4012">
        <v>0</v>
      </c>
      <c r="Q4012">
        <v>0</v>
      </c>
      <c r="S4012">
        <v>0</v>
      </c>
      <c r="T4012">
        <v>0</v>
      </c>
      <c r="U4012">
        <v>0</v>
      </c>
      <c r="W4012" t="s">
        <v>62</v>
      </c>
    </row>
    <row r="4013" spans="1:42" x14ac:dyDescent="0.35">
      <c r="A4013" t="s">
        <v>45</v>
      </c>
      <c r="B4013" t="s">
        <v>8332</v>
      </c>
      <c r="C4013" t="s">
        <v>47</v>
      </c>
      <c r="D4013" t="s">
        <v>9100</v>
      </c>
      <c r="E4013" t="s">
        <v>9100</v>
      </c>
      <c r="F4013" t="s">
        <v>49</v>
      </c>
      <c r="G4013" t="s">
        <v>9101</v>
      </c>
      <c r="H4013" t="s">
        <v>9125</v>
      </c>
      <c r="J4013" t="str">
        <f>HYPERLINK("https://www.facebook.com/454965103328545/videos/3697954183759550?comment_id=702691375237039","https://www.facebook.com/454965103328545/videos/3697954183759550?comment_id=702691375237039")</f>
        <v>https://www.facebook.com/454965103328545/videos/3697954183759550?comment_id=702691375237039</v>
      </c>
      <c r="O4013">
        <v>0</v>
      </c>
      <c r="P4013">
        <v>0</v>
      </c>
      <c r="Q4013">
        <v>0</v>
      </c>
      <c r="S4013">
        <v>0</v>
      </c>
      <c r="T4013">
        <v>0</v>
      </c>
      <c r="U4013">
        <v>0</v>
      </c>
      <c r="W4013" t="s">
        <v>62</v>
      </c>
    </row>
    <row r="4014" spans="1:42" x14ac:dyDescent="0.35">
      <c r="A4014" t="s">
        <v>45</v>
      </c>
      <c r="B4014" t="s">
        <v>8332</v>
      </c>
      <c r="C4014" t="s">
        <v>47</v>
      </c>
      <c r="D4014" t="s">
        <v>9123</v>
      </c>
      <c r="E4014" t="s">
        <v>9123</v>
      </c>
      <c r="F4014" t="s">
        <v>49</v>
      </c>
      <c r="G4014" t="s">
        <v>9124</v>
      </c>
      <c r="H4014" t="s">
        <v>9126</v>
      </c>
      <c r="J4014" t="str">
        <f>HYPERLINK("https://www.facebook.com/454965103328545/videos/3697954183759550?comment_id=299916209748574","https://www.facebook.com/454965103328545/videos/3697954183759550?comment_id=299916209748574")</f>
        <v>https://www.facebook.com/454965103328545/videos/3697954183759550?comment_id=299916209748574</v>
      </c>
      <c r="O4014">
        <v>0</v>
      </c>
      <c r="P4014">
        <v>0</v>
      </c>
      <c r="Q4014">
        <v>0</v>
      </c>
      <c r="S4014">
        <v>0</v>
      </c>
      <c r="T4014">
        <v>0</v>
      </c>
      <c r="U4014">
        <v>0</v>
      </c>
      <c r="W4014" t="s">
        <v>62</v>
      </c>
    </row>
    <row r="4015" spans="1:42" x14ac:dyDescent="0.35">
      <c r="A4015" t="s">
        <v>45</v>
      </c>
      <c r="B4015" t="s">
        <v>8332</v>
      </c>
      <c r="C4015" t="s">
        <v>47</v>
      </c>
      <c r="D4015" t="s">
        <v>9127</v>
      </c>
      <c r="E4015" t="s">
        <v>9127</v>
      </c>
      <c r="F4015" t="s">
        <v>49</v>
      </c>
      <c r="G4015" t="s">
        <v>9128</v>
      </c>
      <c r="H4015" t="s">
        <v>9129</v>
      </c>
      <c r="J4015" t="str">
        <f>HYPERLINK("https://www.facebook.com/454965103328545/videos/3697954183759550?comment_id=1076730090235867","https://www.facebook.com/454965103328545/videos/3697954183759550?comment_id=1076730090235867")</f>
        <v>https://www.facebook.com/454965103328545/videos/3697954183759550?comment_id=1076730090235867</v>
      </c>
      <c r="O4015">
        <v>0</v>
      </c>
      <c r="P4015">
        <v>0</v>
      </c>
      <c r="Q4015">
        <v>0</v>
      </c>
      <c r="S4015">
        <v>0</v>
      </c>
      <c r="T4015">
        <v>0</v>
      </c>
      <c r="U4015">
        <v>0</v>
      </c>
      <c r="W4015" t="s">
        <v>62</v>
      </c>
    </row>
    <row r="4016" spans="1:42" x14ac:dyDescent="0.35">
      <c r="A4016" t="s">
        <v>45</v>
      </c>
      <c r="B4016" t="s">
        <v>8332</v>
      </c>
      <c r="C4016" t="s">
        <v>47</v>
      </c>
      <c r="D4016" t="s">
        <v>1779</v>
      </c>
      <c r="E4016" t="s">
        <v>1779</v>
      </c>
      <c r="F4016" t="s">
        <v>49</v>
      </c>
      <c r="G4016" t="s">
        <v>9130</v>
      </c>
      <c r="H4016" t="s">
        <v>9131</v>
      </c>
      <c r="J4016" t="str">
        <f>HYPERLINK("https://www.facebook.com/454965103328545/videos/3697954183759550?comment_id=1845554562550189","https://www.facebook.com/454965103328545/videos/3697954183759550?comment_id=1845554562550189")</f>
        <v>https://www.facebook.com/454965103328545/videos/3697954183759550?comment_id=1845554562550189</v>
      </c>
      <c r="O4016">
        <v>0</v>
      </c>
      <c r="P4016">
        <v>0</v>
      </c>
      <c r="Q4016">
        <v>0</v>
      </c>
      <c r="S4016">
        <v>0</v>
      </c>
      <c r="T4016">
        <v>0</v>
      </c>
      <c r="U4016">
        <v>0</v>
      </c>
      <c r="W4016" t="s">
        <v>62</v>
      </c>
    </row>
    <row r="4017" spans="1:42" x14ac:dyDescent="0.35">
      <c r="A4017" t="s">
        <v>45</v>
      </c>
      <c r="B4017" t="s">
        <v>8332</v>
      </c>
      <c r="C4017" t="s">
        <v>47</v>
      </c>
      <c r="D4017" t="s">
        <v>9132</v>
      </c>
      <c r="E4017" t="s">
        <v>9132</v>
      </c>
      <c r="F4017" t="s">
        <v>49</v>
      </c>
      <c r="G4017" t="s">
        <v>9133</v>
      </c>
      <c r="H4017" t="s">
        <v>9134</v>
      </c>
      <c r="J4017" t="str">
        <f>HYPERLINK("https://www.facebook.com/454965103328545/videos/3697954183759550?comment_id=725742896195300","https://www.facebook.com/454965103328545/videos/3697954183759550?comment_id=725742896195300")</f>
        <v>https://www.facebook.com/454965103328545/videos/3697954183759550?comment_id=725742896195300</v>
      </c>
      <c r="O4017">
        <v>0</v>
      </c>
      <c r="P4017">
        <v>0</v>
      </c>
      <c r="Q4017">
        <v>0</v>
      </c>
      <c r="S4017">
        <v>0</v>
      </c>
      <c r="T4017">
        <v>0</v>
      </c>
      <c r="U4017">
        <v>0</v>
      </c>
      <c r="W4017" t="s">
        <v>62</v>
      </c>
    </row>
    <row r="4018" spans="1:42" x14ac:dyDescent="0.35">
      <c r="A4018" t="s">
        <v>45</v>
      </c>
      <c r="B4018" t="s">
        <v>8332</v>
      </c>
      <c r="C4018" t="s">
        <v>47</v>
      </c>
      <c r="D4018" t="s">
        <v>9135</v>
      </c>
      <c r="E4018" t="s">
        <v>9135</v>
      </c>
      <c r="F4018" t="s">
        <v>49</v>
      </c>
      <c r="G4018" t="s">
        <v>9136</v>
      </c>
      <c r="H4018" t="s">
        <v>9137</v>
      </c>
      <c r="J4018" t="str">
        <f>HYPERLINK("https://www.facebook.com/454965103328545/videos/3697954183759550?comment_id=1773833796392205","https://www.facebook.com/454965103328545/videos/3697954183759550?comment_id=1773833796392205")</f>
        <v>https://www.facebook.com/454965103328545/videos/3697954183759550?comment_id=1773833796392205</v>
      </c>
      <c r="O4018">
        <v>0</v>
      </c>
      <c r="P4018">
        <v>0</v>
      </c>
      <c r="Q4018">
        <v>0</v>
      </c>
      <c r="S4018">
        <v>0</v>
      </c>
      <c r="T4018">
        <v>0</v>
      </c>
      <c r="U4018">
        <v>0</v>
      </c>
      <c r="W4018" t="s">
        <v>62</v>
      </c>
    </row>
    <row r="4019" spans="1:42" x14ac:dyDescent="0.35">
      <c r="A4019" t="s">
        <v>45</v>
      </c>
      <c r="B4019" t="s">
        <v>8332</v>
      </c>
      <c r="C4019" t="s">
        <v>47</v>
      </c>
      <c r="D4019" t="s">
        <v>9090</v>
      </c>
      <c r="E4019" t="s">
        <v>9090</v>
      </c>
      <c r="F4019" t="s">
        <v>49</v>
      </c>
      <c r="G4019" t="s">
        <v>9138</v>
      </c>
      <c r="H4019" t="s">
        <v>9137</v>
      </c>
      <c r="J4019" t="str">
        <f>HYPERLINK("https://www.facebook.com/454965103328545/videos/3697954183759550?comment_id=1071427220639723","https://www.facebook.com/454965103328545/videos/3697954183759550?comment_id=1071427220639723")</f>
        <v>https://www.facebook.com/454965103328545/videos/3697954183759550?comment_id=1071427220639723</v>
      </c>
      <c r="O4019">
        <v>0</v>
      </c>
      <c r="P4019">
        <v>0</v>
      </c>
      <c r="Q4019">
        <v>0</v>
      </c>
      <c r="S4019">
        <v>0</v>
      </c>
      <c r="T4019">
        <v>0</v>
      </c>
      <c r="U4019">
        <v>0</v>
      </c>
      <c r="W4019" t="s">
        <v>62</v>
      </c>
    </row>
    <row r="4020" spans="1:42" x14ac:dyDescent="0.35">
      <c r="A4020" t="s">
        <v>45</v>
      </c>
      <c r="B4020" t="s">
        <v>8332</v>
      </c>
      <c r="C4020" t="s">
        <v>47</v>
      </c>
      <c r="D4020" t="s">
        <v>9127</v>
      </c>
      <c r="E4020" t="s">
        <v>9127</v>
      </c>
      <c r="F4020" t="s">
        <v>49</v>
      </c>
      <c r="G4020" t="s">
        <v>9139</v>
      </c>
      <c r="H4020" t="s">
        <v>9140</v>
      </c>
      <c r="J4020" t="str">
        <f>HYPERLINK("https://www.facebook.com/454965103328545/videos/3697954183759550?comment_id=228159883704529","https://www.facebook.com/454965103328545/videos/3697954183759550?comment_id=228159883704529")</f>
        <v>https://www.facebook.com/454965103328545/videos/3697954183759550?comment_id=228159883704529</v>
      </c>
      <c r="O4020">
        <v>0</v>
      </c>
      <c r="P4020">
        <v>0</v>
      </c>
      <c r="Q4020">
        <v>0</v>
      </c>
      <c r="S4020">
        <v>0</v>
      </c>
      <c r="T4020">
        <v>0</v>
      </c>
      <c r="U4020">
        <v>0</v>
      </c>
      <c r="W4020" t="s">
        <v>62</v>
      </c>
      <c r="AP4020" t="s">
        <v>101</v>
      </c>
    </row>
    <row r="4021" spans="1:42" x14ac:dyDescent="0.35">
      <c r="A4021" t="s">
        <v>45</v>
      </c>
      <c r="B4021" t="s">
        <v>8332</v>
      </c>
      <c r="C4021" t="s">
        <v>47</v>
      </c>
      <c r="D4021" t="s">
        <v>9123</v>
      </c>
      <c r="E4021" t="s">
        <v>9123</v>
      </c>
      <c r="F4021" t="s">
        <v>49</v>
      </c>
      <c r="G4021" t="s">
        <v>9124</v>
      </c>
      <c r="H4021" t="s">
        <v>9140</v>
      </c>
      <c r="J4021" t="str">
        <f>HYPERLINK("https://www.facebook.com/454965103328545/videos/3697954183759550?comment_id=801818888388528","https://www.facebook.com/454965103328545/videos/3697954183759550?comment_id=801818888388528")</f>
        <v>https://www.facebook.com/454965103328545/videos/3697954183759550?comment_id=801818888388528</v>
      </c>
      <c r="O4021">
        <v>0</v>
      </c>
      <c r="P4021">
        <v>0</v>
      </c>
      <c r="Q4021">
        <v>0</v>
      </c>
      <c r="S4021">
        <v>0</v>
      </c>
      <c r="T4021">
        <v>0</v>
      </c>
      <c r="U4021">
        <v>0</v>
      </c>
      <c r="W4021" t="s">
        <v>62</v>
      </c>
    </row>
    <row r="4022" spans="1:42" x14ac:dyDescent="0.35">
      <c r="A4022" t="s">
        <v>45</v>
      </c>
      <c r="B4022" t="s">
        <v>8332</v>
      </c>
      <c r="C4022" t="s">
        <v>47</v>
      </c>
      <c r="D4022" t="s">
        <v>9141</v>
      </c>
      <c r="E4022" t="s">
        <v>9141</v>
      </c>
      <c r="F4022" t="s">
        <v>49</v>
      </c>
      <c r="G4022" t="s">
        <v>9142</v>
      </c>
      <c r="H4022" t="s">
        <v>9140</v>
      </c>
      <c r="J4022" t="str">
        <f>HYPERLINK("https://www.facebook.com/454965103328545/videos/3697954183759550?comment_id=766650132179115","https://www.facebook.com/454965103328545/videos/3697954183759550?comment_id=766650132179115")</f>
        <v>https://www.facebook.com/454965103328545/videos/3697954183759550?comment_id=766650132179115</v>
      </c>
      <c r="O4022">
        <v>0</v>
      </c>
      <c r="P4022">
        <v>0</v>
      </c>
      <c r="Q4022">
        <v>0</v>
      </c>
      <c r="S4022">
        <v>0</v>
      </c>
      <c r="T4022">
        <v>0</v>
      </c>
      <c r="U4022">
        <v>0</v>
      </c>
      <c r="W4022" t="s">
        <v>62</v>
      </c>
    </row>
    <row r="4023" spans="1:42" x14ac:dyDescent="0.35">
      <c r="A4023" t="s">
        <v>45</v>
      </c>
      <c r="B4023" t="s">
        <v>8332</v>
      </c>
      <c r="C4023" t="s">
        <v>47</v>
      </c>
      <c r="D4023" t="s">
        <v>9037</v>
      </c>
      <c r="E4023" t="s">
        <v>9037</v>
      </c>
      <c r="F4023" t="s">
        <v>49</v>
      </c>
      <c r="G4023" t="s">
        <v>9038</v>
      </c>
      <c r="H4023" t="s">
        <v>9140</v>
      </c>
      <c r="J4023" t="str">
        <f>HYPERLINK("https://www.facebook.com/454965103328545/videos/3697954183759550?comment_id=927114825468720","https://www.facebook.com/454965103328545/videos/3697954183759550?comment_id=927114825468720")</f>
        <v>https://www.facebook.com/454965103328545/videos/3697954183759550?comment_id=927114825468720</v>
      </c>
      <c r="O4023">
        <v>0</v>
      </c>
      <c r="P4023">
        <v>0</v>
      </c>
      <c r="Q4023">
        <v>0</v>
      </c>
      <c r="S4023">
        <v>0</v>
      </c>
      <c r="T4023">
        <v>0</v>
      </c>
      <c r="U4023">
        <v>0</v>
      </c>
      <c r="W4023" t="s">
        <v>62</v>
      </c>
    </row>
    <row r="4024" spans="1:42" x14ac:dyDescent="0.35">
      <c r="A4024" t="s">
        <v>45</v>
      </c>
      <c r="B4024" t="s">
        <v>8332</v>
      </c>
      <c r="C4024" t="s">
        <v>47</v>
      </c>
      <c r="D4024" t="s">
        <v>9100</v>
      </c>
      <c r="E4024" t="s">
        <v>9100</v>
      </c>
      <c r="F4024" t="s">
        <v>49</v>
      </c>
      <c r="G4024" t="s">
        <v>9101</v>
      </c>
      <c r="H4024" t="s">
        <v>9143</v>
      </c>
      <c r="J4024" t="str">
        <f>HYPERLINK("https://www.facebook.com/454965103328545/videos/3697954183759550?comment_id=834757255119610","https://www.facebook.com/454965103328545/videos/3697954183759550?comment_id=834757255119610")</f>
        <v>https://www.facebook.com/454965103328545/videos/3697954183759550?comment_id=834757255119610</v>
      </c>
      <c r="O4024">
        <v>0</v>
      </c>
      <c r="P4024">
        <v>0</v>
      </c>
      <c r="Q4024">
        <v>0</v>
      </c>
      <c r="S4024">
        <v>0</v>
      </c>
      <c r="T4024">
        <v>0</v>
      </c>
      <c r="U4024">
        <v>0</v>
      </c>
      <c r="W4024" t="s">
        <v>62</v>
      </c>
    </row>
    <row r="4025" spans="1:42" x14ac:dyDescent="0.35">
      <c r="A4025" t="s">
        <v>45</v>
      </c>
      <c r="B4025" t="s">
        <v>8332</v>
      </c>
      <c r="C4025" t="s">
        <v>47</v>
      </c>
      <c r="D4025" t="s">
        <v>9123</v>
      </c>
      <c r="E4025" t="s">
        <v>9123</v>
      </c>
      <c r="F4025" t="s">
        <v>49</v>
      </c>
      <c r="G4025" t="s">
        <v>9124</v>
      </c>
      <c r="H4025" t="s">
        <v>9144</v>
      </c>
      <c r="J4025" t="str">
        <f>HYPERLINK("https://www.facebook.com/454965103328545/videos/3697954183759550?comment_id=402996458881525","https://www.facebook.com/454965103328545/videos/3697954183759550?comment_id=402996458881525")</f>
        <v>https://www.facebook.com/454965103328545/videos/3697954183759550?comment_id=402996458881525</v>
      </c>
      <c r="O4025">
        <v>0</v>
      </c>
      <c r="P4025">
        <v>0</v>
      </c>
      <c r="Q4025">
        <v>0</v>
      </c>
      <c r="S4025">
        <v>0</v>
      </c>
      <c r="T4025">
        <v>0</v>
      </c>
      <c r="U4025">
        <v>0</v>
      </c>
      <c r="W4025" t="s">
        <v>62</v>
      </c>
    </row>
    <row r="4026" spans="1:42" x14ac:dyDescent="0.35">
      <c r="A4026" t="s">
        <v>45</v>
      </c>
      <c r="B4026" t="s">
        <v>8332</v>
      </c>
      <c r="C4026" t="s">
        <v>47</v>
      </c>
      <c r="D4026" t="s">
        <v>9123</v>
      </c>
      <c r="E4026" t="s">
        <v>9123</v>
      </c>
      <c r="F4026" t="s">
        <v>49</v>
      </c>
      <c r="G4026" t="s">
        <v>9124</v>
      </c>
      <c r="H4026" t="s">
        <v>9145</v>
      </c>
      <c r="J4026" t="str">
        <f>HYPERLINK("https://www.facebook.com/454965103328545/videos/3697954183759550?comment_id=1152603956093564","https://www.facebook.com/454965103328545/videos/3697954183759550?comment_id=1152603956093564")</f>
        <v>https://www.facebook.com/454965103328545/videos/3697954183759550?comment_id=1152603956093564</v>
      </c>
      <c r="O4026">
        <v>0</v>
      </c>
      <c r="P4026">
        <v>0</v>
      </c>
      <c r="Q4026">
        <v>0</v>
      </c>
      <c r="S4026">
        <v>0</v>
      </c>
      <c r="T4026">
        <v>0</v>
      </c>
      <c r="U4026">
        <v>0</v>
      </c>
      <c r="W4026" t="s">
        <v>62</v>
      </c>
    </row>
    <row r="4027" spans="1:42" x14ac:dyDescent="0.35">
      <c r="A4027" t="s">
        <v>45</v>
      </c>
      <c r="B4027" t="s">
        <v>8332</v>
      </c>
      <c r="C4027" t="s">
        <v>47</v>
      </c>
      <c r="D4027" t="s">
        <v>1779</v>
      </c>
      <c r="E4027" t="s">
        <v>1779</v>
      </c>
      <c r="F4027" t="s">
        <v>142</v>
      </c>
      <c r="G4027" t="s">
        <v>9146</v>
      </c>
      <c r="H4027" t="s">
        <v>9145</v>
      </c>
      <c r="J4027" t="str">
        <f>HYPERLINK("https://www.facebook.com/454965103328545/videos/3697954183759550?comment_id=941882827352956","https://www.facebook.com/454965103328545/videos/3697954183759550?comment_id=941882827352956")</f>
        <v>https://www.facebook.com/454965103328545/videos/3697954183759550?comment_id=941882827352956</v>
      </c>
      <c r="O4027">
        <v>0</v>
      </c>
      <c r="P4027">
        <v>0</v>
      </c>
      <c r="Q4027">
        <v>0</v>
      </c>
      <c r="S4027">
        <v>0</v>
      </c>
      <c r="T4027">
        <v>0</v>
      </c>
      <c r="U4027">
        <v>0</v>
      </c>
      <c r="W4027" t="s">
        <v>62</v>
      </c>
      <c r="AP4027" t="s">
        <v>147</v>
      </c>
    </row>
    <row r="4028" spans="1:42" x14ac:dyDescent="0.35">
      <c r="A4028" t="s">
        <v>45</v>
      </c>
      <c r="B4028" t="s">
        <v>8332</v>
      </c>
      <c r="C4028" t="s">
        <v>47</v>
      </c>
      <c r="D4028" t="s">
        <v>9147</v>
      </c>
      <c r="E4028" t="s">
        <v>9147</v>
      </c>
      <c r="F4028" t="s">
        <v>49</v>
      </c>
      <c r="G4028" t="s">
        <v>9148</v>
      </c>
      <c r="H4028" t="s">
        <v>9149</v>
      </c>
      <c r="J4028" t="str">
        <f>HYPERLINK("https://www.facebook.com/454965103328545/videos/3697954183759550?comment_id=3813990535545068","https://www.facebook.com/454965103328545/videos/3697954183759550?comment_id=3813990535545068")</f>
        <v>https://www.facebook.com/454965103328545/videos/3697954183759550?comment_id=3813990535545068</v>
      </c>
      <c r="O4028">
        <v>0</v>
      </c>
      <c r="P4028">
        <v>0</v>
      </c>
      <c r="Q4028">
        <v>0</v>
      </c>
      <c r="S4028">
        <v>0</v>
      </c>
      <c r="T4028">
        <v>0</v>
      </c>
      <c r="U4028">
        <v>0</v>
      </c>
      <c r="W4028" t="s">
        <v>62</v>
      </c>
      <c r="AP4028" t="s">
        <v>101</v>
      </c>
    </row>
    <row r="4029" spans="1:42" x14ac:dyDescent="0.35">
      <c r="A4029" t="s">
        <v>45</v>
      </c>
      <c r="B4029" t="s">
        <v>8332</v>
      </c>
      <c r="C4029" t="s">
        <v>47</v>
      </c>
      <c r="D4029" t="s">
        <v>9050</v>
      </c>
      <c r="E4029" t="s">
        <v>9050</v>
      </c>
      <c r="F4029" t="s">
        <v>49</v>
      </c>
      <c r="G4029" t="s">
        <v>9150</v>
      </c>
      <c r="H4029" t="s">
        <v>9151</v>
      </c>
      <c r="J4029" t="str">
        <f>HYPERLINK("https://www.facebook.com/454965103328545/videos/3697954183759550?comment_id=933233331514433","https://www.facebook.com/454965103328545/videos/3697954183759550?comment_id=933233331514433")</f>
        <v>https://www.facebook.com/454965103328545/videos/3697954183759550?comment_id=933233331514433</v>
      </c>
      <c r="O4029">
        <v>0</v>
      </c>
      <c r="P4029">
        <v>0</v>
      </c>
      <c r="Q4029">
        <v>0</v>
      </c>
      <c r="S4029">
        <v>0</v>
      </c>
      <c r="T4029">
        <v>0</v>
      </c>
      <c r="U4029">
        <v>0</v>
      </c>
      <c r="W4029" t="s">
        <v>62</v>
      </c>
    </row>
    <row r="4030" spans="1:42" x14ac:dyDescent="0.35">
      <c r="A4030" t="s">
        <v>45</v>
      </c>
      <c r="B4030" t="s">
        <v>8332</v>
      </c>
      <c r="C4030" t="s">
        <v>47</v>
      </c>
      <c r="D4030" t="s">
        <v>9069</v>
      </c>
      <c r="E4030" t="s">
        <v>9069</v>
      </c>
      <c r="F4030" t="s">
        <v>142</v>
      </c>
      <c r="G4030" t="s">
        <v>9070</v>
      </c>
      <c r="H4030" t="s">
        <v>9151</v>
      </c>
      <c r="J4030" t="str">
        <f>HYPERLINK("https://www.facebook.com/454965103328545/videos/3697954183759550?comment_id=912649190174120","https://www.facebook.com/454965103328545/videos/3697954183759550?comment_id=912649190174120")</f>
        <v>https://www.facebook.com/454965103328545/videos/3697954183759550?comment_id=912649190174120</v>
      </c>
      <c r="O4030">
        <v>0</v>
      </c>
      <c r="P4030">
        <v>0</v>
      </c>
      <c r="Q4030">
        <v>0</v>
      </c>
      <c r="S4030">
        <v>0</v>
      </c>
      <c r="T4030">
        <v>0</v>
      </c>
      <c r="U4030">
        <v>0</v>
      </c>
      <c r="W4030" t="s">
        <v>62</v>
      </c>
      <c r="AP4030" t="s">
        <v>147</v>
      </c>
    </row>
    <row r="4031" spans="1:42" x14ac:dyDescent="0.35">
      <c r="A4031" t="s">
        <v>45</v>
      </c>
      <c r="B4031" t="s">
        <v>8332</v>
      </c>
      <c r="C4031" t="s">
        <v>47</v>
      </c>
      <c r="D4031" t="s">
        <v>9152</v>
      </c>
      <c r="E4031" t="s">
        <v>9152</v>
      </c>
      <c r="F4031" t="s">
        <v>49</v>
      </c>
      <c r="G4031" t="s">
        <v>9153</v>
      </c>
      <c r="H4031" t="s">
        <v>9154</v>
      </c>
      <c r="J4031" t="str">
        <f>HYPERLINK("https://www.facebook.com/357267201017935/inbox/6991896264221629/","https://www.facebook.com/357267201017935/inbox/6991896264221629/")</f>
        <v>https://www.facebook.com/357267201017935/inbox/6991896264221629/</v>
      </c>
      <c r="O4031">
        <v>0</v>
      </c>
      <c r="P4031">
        <v>0</v>
      </c>
      <c r="Q4031">
        <v>0</v>
      </c>
      <c r="S4031">
        <v>0</v>
      </c>
      <c r="T4031">
        <v>0</v>
      </c>
      <c r="U4031">
        <v>0</v>
      </c>
      <c r="W4031" t="s">
        <v>52</v>
      </c>
    </row>
    <row r="4032" spans="1:42" x14ac:dyDescent="0.35">
      <c r="A4032" t="s">
        <v>45</v>
      </c>
      <c r="B4032" t="s">
        <v>8332</v>
      </c>
      <c r="C4032" t="s">
        <v>47</v>
      </c>
      <c r="D4032" t="s">
        <v>9155</v>
      </c>
      <c r="E4032" t="s">
        <v>9155</v>
      </c>
      <c r="F4032" t="s">
        <v>49</v>
      </c>
      <c r="G4032" t="s">
        <v>9156</v>
      </c>
      <c r="H4032" t="s">
        <v>9157</v>
      </c>
      <c r="J4032" t="str">
        <f>HYPERLINK("https://www.facebook.com/454965103328545/videos/3697954183759550?comment_id=367825799204637","https://www.facebook.com/454965103328545/videos/3697954183759550?comment_id=367825799204637")</f>
        <v>https://www.facebook.com/454965103328545/videos/3697954183759550?comment_id=367825799204637</v>
      </c>
      <c r="O4032">
        <v>0</v>
      </c>
      <c r="P4032">
        <v>0</v>
      </c>
      <c r="Q4032">
        <v>0</v>
      </c>
      <c r="S4032">
        <v>0</v>
      </c>
      <c r="T4032">
        <v>0</v>
      </c>
      <c r="U4032">
        <v>0</v>
      </c>
      <c r="W4032" t="s">
        <v>62</v>
      </c>
    </row>
    <row r="4033" spans="1:42" x14ac:dyDescent="0.35">
      <c r="A4033" t="s">
        <v>45</v>
      </c>
      <c r="B4033" t="s">
        <v>8332</v>
      </c>
      <c r="C4033" t="s">
        <v>47</v>
      </c>
      <c r="D4033" t="s">
        <v>9123</v>
      </c>
      <c r="E4033" t="s">
        <v>9123</v>
      </c>
      <c r="F4033" t="s">
        <v>49</v>
      </c>
      <c r="G4033" t="s">
        <v>9124</v>
      </c>
      <c r="H4033" t="s">
        <v>9158</v>
      </c>
      <c r="J4033" t="str">
        <f>HYPERLINK("https://www.facebook.com/454965103328545/videos/3697954183759550?comment_id=1543350476449260","https://www.facebook.com/454965103328545/videos/3697954183759550?comment_id=1543350476449260")</f>
        <v>https://www.facebook.com/454965103328545/videos/3697954183759550?comment_id=1543350476449260</v>
      </c>
      <c r="O4033">
        <v>0</v>
      </c>
      <c r="P4033">
        <v>0</v>
      </c>
      <c r="Q4033">
        <v>0</v>
      </c>
      <c r="S4033">
        <v>0</v>
      </c>
      <c r="T4033">
        <v>0</v>
      </c>
      <c r="U4033">
        <v>0</v>
      </c>
      <c r="W4033" t="s">
        <v>62</v>
      </c>
    </row>
    <row r="4034" spans="1:42" x14ac:dyDescent="0.35">
      <c r="A4034" t="s">
        <v>45</v>
      </c>
      <c r="B4034" t="s">
        <v>8332</v>
      </c>
      <c r="C4034" t="s">
        <v>47</v>
      </c>
      <c r="D4034" t="s">
        <v>4431</v>
      </c>
      <c r="E4034" t="s">
        <v>4431</v>
      </c>
      <c r="F4034" t="s">
        <v>49</v>
      </c>
      <c r="G4034" t="s">
        <v>9077</v>
      </c>
      <c r="H4034" t="s">
        <v>9158</v>
      </c>
      <c r="J4034" t="str">
        <f>HYPERLINK("https://www.facebook.com/454965103328545/videos/3697954183759550?comment_id=3937711699790869","https://www.facebook.com/454965103328545/videos/3697954183759550?comment_id=3937711699790869")</f>
        <v>https://www.facebook.com/454965103328545/videos/3697954183759550?comment_id=3937711699790869</v>
      </c>
      <c r="O4034">
        <v>0</v>
      </c>
      <c r="P4034">
        <v>0</v>
      </c>
      <c r="Q4034">
        <v>0</v>
      </c>
      <c r="S4034">
        <v>0</v>
      </c>
      <c r="T4034">
        <v>0</v>
      </c>
      <c r="U4034">
        <v>0</v>
      </c>
      <c r="W4034" t="s">
        <v>62</v>
      </c>
      <c r="AP4034" t="s">
        <v>101</v>
      </c>
    </row>
    <row r="4035" spans="1:42" x14ac:dyDescent="0.35">
      <c r="A4035" t="s">
        <v>45</v>
      </c>
      <c r="B4035" t="s">
        <v>8332</v>
      </c>
      <c r="C4035" t="s">
        <v>47</v>
      </c>
      <c r="D4035" t="s">
        <v>9037</v>
      </c>
      <c r="E4035" t="s">
        <v>9037</v>
      </c>
      <c r="F4035" t="s">
        <v>49</v>
      </c>
      <c r="G4035" t="s">
        <v>9038</v>
      </c>
      <c r="H4035" t="s">
        <v>9159</v>
      </c>
      <c r="J4035" t="str">
        <f>HYPERLINK("https://www.facebook.com/454965103328545/videos/3697954183759550?comment_id=1811035379347586","https://www.facebook.com/454965103328545/videos/3697954183759550?comment_id=1811035379347586")</f>
        <v>https://www.facebook.com/454965103328545/videos/3697954183759550?comment_id=1811035379347586</v>
      </c>
      <c r="O4035">
        <v>0</v>
      </c>
      <c r="P4035">
        <v>0</v>
      </c>
      <c r="Q4035">
        <v>0</v>
      </c>
      <c r="S4035">
        <v>0</v>
      </c>
      <c r="T4035">
        <v>0</v>
      </c>
      <c r="U4035">
        <v>0</v>
      </c>
      <c r="W4035" t="s">
        <v>62</v>
      </c>
    </row>
    <row r="4036" spans="1:42" x14ac:dyDescent="0.35">
      <c r="A4036" t="s">
        <v>45</v>
      </c>
      <c r="B4036" t="s">
        <v>8332</v>
      </c>
      <c r="C4036" t="s">
        <v>47</v>
      </c>
      <c r="D4036" t="s">
        <v>9160</v>
      </c>
      <c r="E4036" t="s">
        <v>9160</v>
      </c>
      <c r="F4036" t="s">
        <v>49</v>
      </c>
      <c r="G4036" t="s">
        <v>9161</v>
      </c>
      <c r="H4036" t="s">
        <v>9159</v>
      </c>
      <c r="J4036" t="str">
        <f>HYPERLINK("https://www.facebook.com/454965103328545/videos/3697954183759550?comment_id=346215905053614","https://www.facebook.com/454965103328545/videos/3697954183759550?comment_id=346215905053614")</f>
        <v>https://www.facebook.com/454965103328545/videos/3697954183759550?comment_id=346215905053614</v>
      </c>
      <c r="O4036">
        <v>0</v>
      </c>
      <c r="P4036">
        <v>0</v>
      </c>
      <c r="Q4036">
        <v>0</v>
      </c>
      <c r="S4036">
        <v>0</v>
      </c>
      <c r="T4036">
        <v>0</v>
      </c>
      <c r="U4036">
        <v>0</v>
      </c>
      <c r="W4036" t="s">
        <v>62</v>
      </c>
      <c r="AO4036" t="s">
        <v>119</v>
      </c>
      <c r="AP4036" t="s">
        <v>101</v>
      </c>
    </row>
    <row r="4037" spans="1:42" x14ac:dyDescent="0.35">
      <c r="A4037" t="s">
        <v>45</v>
      </c>
      <c r="B4037" t="s">
        <v>8332</v>
      </c>
      <c r="C4037" t="s">
        <v>47</v>
      </c>
      <c r="D4037" t="s">
        <v>9123</v>
      </c>
      <c r="E4037" t="s">
        <v>9123</v>
      </c>
      <c r="F4037" t="s">
        <v>49</v>
      </c>
      <c r="G4037" t="s">
        <v>9124</v>
      </c>
      <c r="H4037" t="s">
        <v>9162</v>
      </c>
      <c r="J4037" t="str">
        <f>HYPERLINK("https://www.facebook.com/454965103328545/videos/3697954183759550?comment_id=3098418056954912","https://www.facebook.com/454965103328545/videos/3697954183759550?comment_id=3098418056954912")</f>
        <v>https://www.facebook.com/454965103328545/videos/3697954183759550?comment_id=3098418056954912</v>
      </c>
      <c r="O4037">
        <v>0</v>
      </c>
      <c r="P4037">
        <v>0</v>
      </c>
      <c r="Q4037">
        <v>0</v>
      </c>
      <c r="S4037">
        <v>0</v>
      </c>
      <c r="T4037">
        <v>0</v>
      </c>
      <c r="U4037">
        <v>0</v>
      </c>
      <c r="W4037" t="s">
        <v>62</v>
      </c>
    </row>
    <row r="4038" spans="1:42" x14ac:dyDescent="0.35">
      <c r="A4038" t="s">
        <v>45</v>
      </c>
      <c r="B4038" t="s">
        <v>8332</v>
      </c>
      <c r="C4038" t="s">
        <v>47</v>
      </c>
      <c r="D4038" t="s">
        <v>1779</v>
      </c>
      <c r="E4038" t="s">
        <v>1779</v>
      </c>
      <c r="F4038" t="s">
        <v>49</v>
      </c>
      <c r="G4038" t="s">
        <v>9163</v>
      </c>
      <c r="H4038" t="s">
        <v>9164</v>
      </c>
      <c r="J4038" t="str">
        <f>HYPERLINK("https://www.facebook.com/454965103328545/videos/3697954183759550?comment_id=949703359852968","https://www.facebook.com/454965103328545/videos/3697954183759550?comment_id=949703359852968")</f>
        <v>https://www.facebook.com/454965103328545/videos/3697954183759550?comment_id=949703359852968</v>
      </c>
      <c r="O4038">
        <v>0</v>
      </c>
      <c r="P4038">
        <v>0</v>
      </c>
      <c r="Q4038">
        <v>0</v>
      </c>
      <c r="S4038">
        <v>0</v>
      </c>
      <c r="T4038">
        <v>0</v>
      </c>
      <c r="U4038">
        <v>0</v>
      </c>
      <c r="W4038" t="s">
        <v>62</v>
      </c>
    </row>
    <row r="4039" spans="1:42" x14ac:dyDescent="0.35">
      <c r="A4039" t="s">
        <v>45</v>
      </c>
      <c r="B4039" t="s">
        <v>8332</v>
      </c>
      <c r="C4039" t="s">
        <v>47</v>
      </c>
      <c r="D4039" t="s">
        <v>9050</v>
      </c>
      <c r="E4039" t="s">
        <v>9050</v>
      </c>
      <c r="F4039" t="s">
        <v>49</v>
      </c>
      <c r="G4039" t="s">
        <v>9165</v>
      </c>
      <c r="H4039" t="s">
        <v>9166</v>
      </c>
      <c r="J4039" t="str">
        <f>HYPERLINK("https://www.facebook.com/454965103328545/videos/3697954183759550?comment_id=357869677176170","https://www.facebook.com/454965103328545/videos/3697954183759550?comment_id=357869677176170")</f>
        <v>https://www.facebook.com/454965103328545/videos/3697954183759550?comment_id=357869677176170</v>
      </c>
      <c r="O4039">
        <v>0</v>
      </c>
      <c r="P4039">
        <v>0</v>
      </c>
      <c r="Q4039">
        <v>0</v>
      </c>
      <c r="S4039">
        <v>0</v>
      </c>
      <c r="T4039">
        <v>0</v>
      </c>
      <c r="U4039">
        <v>0</v>
      </c>
      <c r="W4039" t="s">
        <v>62</v>
      </c>
    </row>
    <row r="4040" spans="1:42" x14ac:dyDescent="0.35">
      <c r="A4040" t="s">
        <v>45</v>
      </c>
      <c r="B4040" t="s">
        <v>8332</v>
      </c>
      <c r="C4040" t="s">
        <v>47</v>
      </c>
      <c r="D4040" t="s">
        <v>9042</v>
      </c>
      <c r="E4040" t="s">
        <v>9042</v>
      </c>
      <c r="F4040" t="s">
        <v>49</v>
      </c>
      <c r="G4040" t="s">
        <v>9167</v>
      </c>
      <c r="H4040" t="s">
        <v>9168</v>
      </c>
      <c r="J4040" t="str">
        <f>HYPERLINK("https://www.facebook.com/454965103328545/videos/3697954183759550?comment_id=1496563364234325","https://www.facebook.com/454965103328545/videos/3697954183759550?comment_id=1496563364234325")</f>
        <v>https://www.facebook.com/454965103328545/videos/3697954183759550?comment_id=1496563364234325</v>
      </c>
      <c r="O4040">
        <v>0</v>
      </c>
      <c r="P4040">
        <v>0</v>
      </c>
      <c r="Q4040">
        <v>0</v>
      </c>
      <c r="S4040">
        <v>0</v>
      </c>
      <c r="T4040">
        <v>0</v>
      </c>
      <c r="U4040">
        <v>0</v>
      </c>
      <c r="W4040" t="s">
        <v>62</v>
      </c>
    </row>
    <row r="4041" spans="1:42" x14ac:dyDescent="0.35">
      <c r="A4041" t="s">
        <v>45</v>
      </c>
      <c r="B4041" t="s">
        <v>8332</v>
      </c>
      <c r="C4041" t="s">
        <v>47</v>
      </c>
      <c r="D4041" t="s">
        <v>9169</v>
      </c>
      <c r="E4041" t="s">
        <v>9169</v>
      </c>
      <c r="F4041" t="s">
        <v>49</v>
      </c>
      <c r="G4041" t="s">
        <v>9170</v>
      </c>
      <c r="H4041" t="s">
        <v>9171</v>
      </c>
      <c r="J4041" t="str">
        <f>HYPERLINK("https://www.facebook.com/454965103328545/videos/3697954183759550?comment_id=1425513655067628","https://www.facebook.com/454965103328545/videos/3697954183759550?comment_id=1425513655067628")</f>
        <v>https://www.facebook.com/454965103328545/videos/3697954183759550?comment_id=1425513655067628</v>
      </c>
      <c r="O4041">
        <v>0</v>
      </c>
      <c r="P4041">
        <v>0</v>
      </c>
      <c r="Q4041">
        <v>0</v>
      </c>
      <c r="S4041">
        <v>0</v>
      </c>
      <c r="T4041">
        <v>0</v>
      </c>
      <c r="U4041">
        <v>0</v>
      </c>
      <c r="W4041" t="s">
        <v>62</v>
      </c>
    </row>
    <row r="4042" spans="1:42" x14ac:dyDescent="0.35">
      <c r="A4042" t="s">
        <v>45</v>
      </c>
      <c r="B4042" t="s">
        <v>8332</v>
      </c>
      <c r="C4042" t="s">
        <v>47</v>
      </c>
      <c r="D4042" t="s">
        <v>9069</v>
      </c>
      <c r="E4042" t="s">
        <v>9069</v>
      </c>
      <c r="F4042" t="s">
        <v>142</v>
      </c>
      <c r="G4042" t="s">
        <v>9070</v>
      </c>
      <c r="H4042" t="s">
        <v>9172</v>
      </c>
      <c r="J4042" t="str">
        <f>HYPERLINK("https://www.facebook.com/454965103328545/videos/3697954183759550?comment_id=1029907718104001","https://www.facebook.com/454965103328545/videos/3697954183759550?comment_id=1029907718104001")</f>
        <v>https://www.facebook.com/454965103328545/videos/3697954183759550?comment_id=1029907718104001</v>
      </c>
      <c r="O4042">
        <v>0</v>
      </c>
      <c r="P4042">
        <v>0</v>
      </c>
      <c r="Q4042">
        <v>0</v>
      </c>
      <c r="S4042">
        <v>0</v>
      </c>
      <c r="T4042">
        <v>0</v>
      </c>
      <c r="U4042">
        <v>0</v>
      </c>
      <c r="W4042" t="s">
        <v>62</v>
      </c>
      <c r="AP4042" t="s">
        <v>147</v>
      </c>
    </row>
    <row r="4043" spans="1:42" x14ac:dyDescent="0.35">
      <c r="A4043" t="s">
        <v>45</v>
      </c>
      <c r="B4043" t="s">
        <v>8332</v>
      </c>
      <c r="C4043" t="s">
        <v>47</v>
      </c>
      <c r="D4043" t="s">
        <v>9173</v>
      </c>
      <c r="E4043" t="s">
        <v>9173</v>
      </c>
      <c r="F4043" t="s">
        <v>49</v>
      </c>
      <c r="G4043" t="s">
        <v>9174</v>
      </c>
      <c r="H4043" t="s">
        <v>9175</v>
      </c>
      <c r="J4043" t="str">
        <f>HYPERLINK("https://www.facebook.com/454965103328545/videos/3697954183759550?comment_id=346525908286550","https://www.facebook.com/454965103328545/videos/3697954183759550?comment_id=346525908286550")</f>
        <v>https://www.facebook.com/454965103328545/videos/3697954183759550?comment_id=346525908286550</v>
      </c>
      <c r="O4043">
        <v>0</v>
      </c>
      <c r="P4043">
        <v>0</v>
      </c>
      <c r="Q4043">
        <v>0</v>
      </c>
      <c r="S4043">
        <v>0</v>
      </c>
      <c r="T4043">
        <v>0</v>
      </c>
      <c r="U4043">
        <v>0</v>
      </c>
      <c r="W4043" t="s">
        <v>62</v>
      </c>
      <c r="AP4043" t="s">
        <v>101</v>
      </c>
    </row>
    <row r="4044" spans="1:42" x14ac:dyDescent="0.35">
      <c r="A4044" t="s">
        <v>45</v>
      </c>
      <c r="B4044" t="s">
        <v>8332</v>
      </c>
      <c r="C4044" t="s">
        <v>47</v>
      </c>
      <c r="D4044" t="s">
        <v>9176</v>
      </c>
      <c r="E4044" t="s">
        <v>9176</v>
      </c>
      <c r="F4044" t="s">
        <v>49</v>
      </c>
      <c r="G4044" t="s">
        <v>9177</v>
      </c>
      <c r="H4044" t="s">
        <v>9178</v>
      </c>
      <c r="J4044" t="str">
        <f>HYPERLINK("https://www.facebook.com/454965103328545/videos/3697954183759550?comment_id=758910682378040","https://www.facebook.com/454965103328545/videos/3697954183759550?comment_id=758910682378040")</f>
        <v>https://www.facebook.com/454965103328545/videos/3697954183759550?comment_id=758910682378040</v>
      </c>
      <c r="O4044">
        <v>0</v>
      </c>
      <c r="P4044">
        <v>0</v>
      </c>
      <c r="Q4044">
        <v>0</v>
      </c>
      <c r="S4044">
        <v>0</v>
      </c>
      <c r="T4044">
        <v>0</v>
      </c>
      <c r="U4044">
        <v>0</v>
      </c>
      <c r="W4044" t="s">
        <v>62</v>
      </c>
    </row>
    <row r="4045" spans="1:42" x14ac:dyDescent="0.35">
      <c r="A4045" t="s">
        <v>45</v>
      </c>
      <c r="B4045" t="s">
        <v>8332</v>
      </c>
      <c r="C4045" t="s">
        <v>47</v>
      </c>
      <c r="D4045" t="s">
        <v>9179</v>
      </c>
      <c r="E4045" t="s">
        <v>9179</v>
      </c>
      <c r="F4045" t="s">
        <v>49</v>
      </c>
      <c r="G4045" t="s">
        <v>9180</v>
      </c>
      <c r="H4045" t="s">
        <v>9181</v>
      </c>
      <c r="J4045" t="str">
        <f>HYPERLINK("https://www.facebook.com/454965103328545/videos/3697954183759550?comment_id=7019090988204538","https://www.facebook.com/454965103328545/videos/3697954183759550?comment_id=7019090988204538")</f>
        <v>https://www.facebook.com/454965103328545/videos/3697954183759550?comment_id=7019090988204538</v>
      </c>
      <c r="O4045">
        <v>0</v>
      </c>
      <c r="P4045">
        <v>0</v>
      </c>
      <c r="Q4045">
        <v>0</v>
      </c>
      <c r="S4045">
        <v>0</v>
      </c>
      <c r="T4045">
        <v>0</v>
      </c>
      <c r="U4045">
        <v>0</v>
      </c>
      <c r="W4045" t="s">
        <v>62</v>
      </c>
    </row>
    <row r="4046" spans="1:42" x14ac:dyDescent="0.35">
      <c r="A4046" t="s">
        <v>45</v>
      </c>
      <c r="B4046" t="s">
        <v>8332</v>
      </c>
      <c r="C4046" t="s">
        <v>47</v>
      </c>
      <c r="D4046" t="s">
        <v>9050</v>
      </c>
      <c r="E4046" t="s">
        <v>9050</v>
      </c>
      <c r="F4046" t="s">
        <v>49</v>
      </c>
      <c r="G4046" t="s">
        <v>9182</v>
      </c>
      <c r="H4046" t="s">
        <v>9183</v>
      </c>
      <c r="J4046" t="str">
        <f>HYPERLINK("https://www.facebook.com/454965103328545/videos/3697954183759550?comment_id=3891076514512059","https://www.facebook.com/454965103328545/videos/3697954183759550?comment_id=3891076514512059")</f>
        <v>https://www.facebook.com/454965103328545/videos/3697954183759550?comment_id=3891076514512059</v>
      </c>
      <c r="O4046">
        <v>0</v>
      </c>
      <c r="P4046">
        <v>0</v>
      </c>
      <c r="Q4046">
        <v>0</v>
      </c>
      <c r="S4046">
        <v>0</v>
      </c>
      <c r="T4046">
        <v>0</v>
      </c>
      <c r="U4046">
        <v>0</v>
      </c>
      <c r="W4046" t="s">
        <v>62</v>
      </c>
    </row>
    <row r="4047" spans="1:42" x14ac:dyDescent="0.35">
      <c r="A4047" t="s">
        <v>45</v>
      </c>
      <c r="B4047" t="s">
        <v>8332</v>
      </c>
      <c r="C4047" t="s">
        <v>47</v>
      </c>
      <c r="D4047" t="s">
        <v>2913</v>
      </c>
      <c r="E4047" t="s">
        <v>2913</v>
      </c>
      <c r="F4047" t="s">
        <v>49</v>
      </c>
      <c r="G4047" t="s">
        <v>9184</v>
      </c>
      <c r="H4047" t="s">
        <v>9185</v>
      </c>
      <c r="J4047" t="str">
        <f>HYPERLINK("https://www.facebook.com/454965103328545/videos/3697954183759550?comment_id=1107300787307611","https://www.facebook.com/454965103328545/videos/3697954183759550?comment_id=1107300787307611")</f>
        <v>https://www.facebook.com/454965103328545/videos/3697954183759550?comment_id=1107300787307611</v>
      </c>
      <c r="O4047">
        <v>0</v>
      </c>
      <c r="P4047">
        <v>0</v>
      </c>
      <c r="Q4047">
        <v>0</v>
      </c>
      <c r="S4047">
        <v>0</v>
      </c>
      <c r="T4047">
        <v>0</v>
      </c>
      <c r="U4047">
        <v>0</v>
      </c>
      <c r="W4047" t="s">
        <v>62</v>
      </c>
    </row>
    <row r="4048" spans="1:42" x14ac:dyDescent="0.35">
      <c r="A4048" t="s">
        <v>45</v>
      </c>
      <c r="B4048" t="s">
        <v>8332</v>
      </c>
      <c r="C4048" t="s">
        <v>47</v>
      </c>
      <c r="D4048" t="s">
        <v>9155</v>
      </c>
      <c r="E4048" t="s">
        <v>9155</v>
      </c>
      <c r="F4048" t="s">
        <v>49</v>
      </c>
      <c r="G4048" t="s">
        <v>9156</v>
      </c>
      <c r="H4048" t="s">
        <v>9186</v>
      </c>
      <c r="J4048" t="str">
        <f>HYPERLINK("https://www.facebook.com/454965103328545/videos/3697954183759550?comment_id=1873859549750842","https://www.facebook.com/454965103328545/videos/3697954183759550?comment_id=1873859549750842")</f>
        <v>https://www.facebook.com/454965103328545/videos/3697954183759550?comment_id=1873859549750842</v>
      </c>
      <c r="O4048">
        <v>0</v>
      </c>
      <c r="P4048">
        <v>0</v>
      </c>
      <c r="Q4048">
        <v>0</v>
      </c>
      <c r="S4048">
        <v>0</v>
      </c>
      <c r="T4048">
        <v>0</v>
      </c>
      <c r="U4048">
        <v>0</v>
      </c>
      <c r="W4048" t="s">
        <v>62</v>
      </c>
    </row>
    <row r="4049" spans="1:42" x14ac:dyDescent="0.35">
      <c r="A4049" t="s">
        <v>45</v>
      </c>
      <c r="B4049" t="s">
        <v>8332</v>
      </c>
      <c r="C4049" t="s">
        <v>47</v>
      </c>
      <c r="D4049" t="s">
        <v>1779</v>
      </c>
      <c r="E4049" t="s">
        <v>1779</v>
      </c>
      <c r="F4049" t="s">
        <v>76</v>
      </c>
      <c r="G4049" t="s">
        <v>9187</v>
      </c>
      <c r="H4049" t="s">
        <v>9188</v>
      </c>
      <c r="J4049" t="str">
        <f>HYPERLINK("https://www.facebook.com/454965103328545/videos/3697954183759550?comment_id=1040879746990002","https://www.facebook.com/454965103328545/videos/3697954183759550?comment_id=1040879746990002")</f>
        <v>https://www.facebook.com/454965103328545/videos/3697954183759550?comment_id=1040879746990002</v>
      </c>
      <c r="O4049">
        <v>0</v>
      </c>
      <c r="P4049">
        <v>0</v>
      </c>
      <c r="Q4049">
        <v>0</v>
      </c>
      <c r="S4049">
        <v>0</v>
      </c>
      <c r="T4049">
        <v>0</v>
      </c>
      <c r="U4049">
        <v>0</v>
      </c>
      <c r="W4049" t="s">
        <v>62</v>
      </c>
    </row>
    <row r="4050" spans="1:42" x14ac:dyDescent="0.35">
      <c r="A4050" t="s">
        <v>45</v>
      </c>
      <c r="B4050" t="s">
        <v>8332</v>
      </c>
      <c r="C4050" t="s">
        <v>47</v>
      </c>
      <c r="D4050" t="s">
        <v>9069</v>
      </c>
      <c r="E4050" t="s">
        <v>9069</v>
      </c>
      <c r="F4050" t="s">
        <v>142</v>
      </c>
      <c r="G4050" t="s">
        <v>9070</v>
      </c>
      <c r="H4050" t="s">
        <v>9189</v>
      </c>
      <c r="J4050" t="str">
        <f>HYPERLINK("https://www.facebook.com/454965103328545/videos/3697954183759550?comment_id=383953014325824","https://www.facebook.com/454965103328545/videos/3697954183759550?comment_id=383953014325824")</f>
        <v>https://www.facebook.com/454965103328545/videos/3697954183759550?comment_id=383953014325824</v>
      </c>
      <c r="O4050">
        <v>0</v>
      </c>
      <c r="P4050">
        <v>0</v>
      </c>
      <c r="Q4050">
        <v>0</v>
      </c>
      <c r="S4050">
        <v>0</v>
      </c>
      <c r="T4050">
        <v>0</v>
      </c>
      <c r="U4050">
        <v>0</v>
      </c>
      <c r="W4050" t="s">
        <v>62</v>
      </c>
      <c r="AP4050" t="s">
        <v>147</v>
      </c>
    </row>
    <row r="4051" spans="1:42" x14ac:dyDescent="0.35">
      <c r="A4051" t="s">
        <v>45</v>
      </c>
      <c r="B4051" t="s">
        <v>8332</v>
      </c>
      <c r="C4051" t="s">
        <v>47</v>
      </c>
      <c r="D4051" t="s">
        <v>9050</v>
      </c>
      <c r="E4051" t="s">
        <v>9050</v>
      </c>
      <c r="F4051" t="s">
        <v>49</v>
      </c>
      <c r="G4051" t="s">
        <v>9190</v>
      </c>
      <c r="H4051" t="s">
        <v>9191</v>
      </c>
      <c r="J4051" t="str">
        <f>HYPERLINK("https://www.facebook.com/454965103328545/videos/3697954183759550?comment_id=362119849928473","https://www.facebook.com/454965103328545/videos/3697954183759550?comment_id=362119849928473")</f>
        <v>https://www.facebook.com/454965103328545/videos/3697954183759550?comment_id=362119849928473</v>
      </c>
      <c r="O4051">
        <v>0</v>
      </c>
      <c r="P4051">
        <v>0</v>
      </c>
      <c r="Q4051">
        <v>0</v>
      </c>
      <c r="S4051">
        <v>0</v>
      </c>
      <c r="T4051">
        <v>0</v>
      </c>
      <c r="U4051">
        <v>0</v>
      </c>
      <c r="W4051" t="s">
        <v>62</v>
      </c>
    </row>
    <row r="4052" spans="1:42" x14ac:dyDescent="0.35">
      <c r="A4052" t="s">
        <v>45</v>
      </c>
      <c r="B4052" t="s">
        <v>8332</v>
      </c>
      <c r="C4052" t="s">
        <v>47</v>
      </c>
      <c r="D4052" t="s">
        <v>2913</v>
      </c>
      <c r="E4052" t="s">
        <v>2913</v>
      </c>
      <c r="F4052" t="s">
        <v>49</v>
      </c>
      <c r="G4052" t="s">
        <v>9192</v>
      </c>
      <c r="H4052" t="s">
        <v>9193</v>
      </c>
      <c r="J4052" t="str">
        <f>HYPERLINK("https://www.facebook.com/454965103328545/videos/3697954183759550?comment_id=329775779390851","https://www.facebook.com/454965103328545/videos/3697954183759550?comment_id=329775779390851")</f>
        <v>https://www.facebook.com/454965103328545/videos/3697954183759550?comment_id=329775779390851</v>
      </c>
      <c r="O4052">
        <v>0</v>
      </c>
      <c r="P4052">
        <v>0</v>
      </c>
      <c r="Q4052">
        <v>0</v>
      </c>
      <c r="S4052">
        <v>0</v>
      </c>
      <c r="T4052">
        <v>0</v>
      </c>
      <c r="U4052">
        <v>0</v>
      </c>
      <c r="W4052" t="s">
        <v>62</v>
      </c>
    </row>
    <row r="4053" spans="1:42" x14ac:dyDescent="0.35">
      <c r="A4053" t="s">
        <v>45</v>
      </c>
      <c r="B4053" t="s">
        <v>8332</v>
      </c>
      <c r="C4053" t="s">
        <v>47</v>
      </c>
      <c r="D4053" t="s">
        <v>9050</v>
      </c>
      <c r="E4053" t="s">
        <v>9050</v>
      </c>
      <c r="F4053" t="s">
        <v>49</v>
      </c>
      <c r="G4053" t="s">
        <v>9194</v>
      </c>
      <c r="H4053" t="s">
        <v>9195</v>
      </c>
      <c r="J4053" t="str">
        <f>HYPERLINK("https://www.facebook.com/454965103328545/videos/3697954183759550?comment_id=423317473458951","https://www.facebook.com/454965103328545/videos/3697954183759550?comment_id=423317473458951")</f>
        <v>https://www.facebook.com/454965103328545/videos/3697954183759550?comment_id=423317473458951</v>
      </c>
      <c r="O4053">
        <v>0</v>
      </c>
      <c r="P4053">
        <v>0</v>
      </c>
      <c r="Q4053">
        <v>0</v>
      </c>
      <c r="S4053">
        <v>0</v>
      </c>
      <c r="T4053">
        <v>0</v>
      </c>
      <c r="U4053">
        <v>0</v>
      </c>
      <c r="W4053" t="s">
        <v>62</v>
      </c>
    </row>
    <row r="4054" spans="1:42" x14ac:dyDescent="0.35">
      <c r="A4054" t="s">
        <v>45</v>
      </c>
      <c r="B4054" t="s">
        <v>8332</v>
      </c>
      <c r="C4054" t="s">
        <v>47</v>
      </c>
      <c r="D4054" t="s">
        <v>9135</v>
      </c>
      <c r="E4054" t="s">
        <v>9135</v>
      </c>
      <c r="F4054" t="s">
        <v>49</v>
      </c>
      <c r="G4054" t="s">
        <v>9136</v>
      </c>
      <c r="H4054" t="s">
        <v>9196</v>
      </c>
      <c r="J4054" t="str">
        <f>HYPERLINK("https://www.facebook.com/454965103328545/videos/3697954183759550?comment_id=232043349970721","https://www.facebook.com/454965103328545/videos/3697954183759550?comment_id=232043349970721")</f>
        <v>https://www.facebook.com/454965103328545/videos/3697954183759550?comment_id=232043349970721</v>
      </c>
      <c r="O4054">
        <v>0</v>
      </c>
      <c r="P4054">
        <v>0</v>
      </c>
      <c r="Q4054">
        <v>0</v>
      </c>
      <c r="S4054">
        <v>0</v>
      </c>
      <c r="T4054">
        <v>0</v>
      </c>
      <c r="U4054">
        <v>0</v>
      </c>
      <c r="W4054" t="s">
        <v>62</v>
      </c>
    </row>
    <row r="4055" spans="1:42" x14ac:dyDescent="0.35">
      <c r="A4055" t="s">
        <v>45</v>
      </c>
      <c r="B4055" t="s">
        <v>8332</v>
      </c>
      <c r="C4055" t="s">
        <v>47</v>
      </c>
      <c r="D4055" t="s">
        <v>9155</v>
      </c>
      <c r="E4055" t="s">
        <v>9155</v>
      </c>
      <c r="F4055" t="s">
        <v>49</v>
      </c>
      <c r="G4055" t="s">
        <v>9197</v>
      </c>
      <c r="H4055" t="s">
        <v>9198</v>
      </c>
      <c r="J4055" t="str">
        <f>HYPERLINK("https://www.facebook.com/454965103328545/videos/3697954183759550?comment_id=274924645412975","https://www.facebook.com/454965103328545/videos/3697954183759550?comment_id=274924645412975")</f>
        <v>https://www.facebook.com/454965103328545/videos/3697954183759550?comment_id=274924645412975</v>
      </c>
      <c r="O4055">
        <v>0</v>
      </c>
      <c r="P4055">
        <v>0</v>
      </c>
      <c r="Q4055">
        <v>0</v>
      </c>
      <c r="S4055">
        <v>0</v>
      </c>
      <c r="T4055">
        <v>0</v>
      </c>
      <c r="U4055">
        <v>0</v>
      </c>
      <c r="W4055" t="s">
        <v>62</v>
      </c>
    </row>
    <row r="4056" spans="1:42" x14ac:dyDescent="0.35">
      <c r="A4056" t="s">
        <v>45</v>
      </c>
      <c r="B4056" t="s">
        <v>8332</v>
      </c>
      <c r="C4056" t="s">
        <v>47</v>
      </c>
      <c r="D4056" t="s">
        <v>9042</v>
      </c>
      <c r="E4056" t="s">
        <v>9042</v>
      </c>
      <c r="F4056" t="s">
        <v>49</v>
      </c>
      <c r="G4056" t="s">
        <v>9167</v>
      </c>
      <c r="H4056" t="s">
        <v>9199</v>
      </c>
      <c r="J4056" t="str">
        <f>HYPERLINK("https://www.facebook.com/454965103328545/videos/3697954183759550?comment_id=351712041040762","https://www.facebook.com/454965103328545/videos/3697954183759550?comment_id=351712041040762")</f>
        <v>https://www.facebook.com/454965103328545/videos/3697954183759550?comment_id=351712041040762</v>
      </c>
      <c r="O4056">
        <v>0</v>
      </c>
      <c r="P4056">
        <v>0</v>
      </c>
      <c r="Q4056">
        <v>0</v>
      </c>
      <c r="S4056">
        <v>0</v>
      </c>
      <c r="T4056">
        <v>0</v>
      </c>
      <c r="U4056">
        <v>0</v>
      </c>
      <c r="W4056" t="s">
        <v>62</v>
      </c>
    </row>
    <row r="4057" spans="1:42" x14ac:dyDescent="0.35">
      <c r="A4057" t="s">
        <v>45</v>
      </c>
      <c r="B4057" t="s">
        <v>8332</v>
      </c>
      <c r="C4057" t="s">
        <v>47</v>
      </c>
      <c r="D4057" t="s">
        <v>9200</v>
      </c>
      <c r="E4057" t="s">
        <v>9200</v>
      </c>
      <c r="F4057" t="s">
        <v>49</v>
      </c>
      <c r="G4057" t="s">
        <v>9201</v>
      </c>
      <c r="H4057" t="s">
        <v>9199</v>
      </c>
      <c r="J4057" t="str">
        <f>HYPERLINK("https://www.facebook.com/454965103328545/videos/3697954183759550?comment_id=1062897401498844","https://www.facebook.com/454965103328545/videos/3697954183759550?comment_id=1062897401498844")</f>
        <v>https://www.facebook.com/454965103328545/videos/3697954183759550?comment_id=1062897401498844</v>
      </c>
      <c r="O4057">
        <v>0</v>
      </c>
      <c r="P4057">
        <v>0</v>
      </c>
      <c r="Q4057">
        <v>0</v>
      </c>
      <c r="S4057">
        <v>0</v>
      </c>
      <c r="T4057">
        <v>0</v>
      </c>
      <c r="U4057">
        <v>0</v>
      </c>
      <c r="W4057" t="s">
        <v>62</v>
      </c>
    </row>
    <row r="4058" spans="1:42" x14ac:dyDescent="0.35">
      <c r="A4058" t="s">
        <v>45</v>
      </c>
      <c r="B4058" t="s">
        <v>8332</v>
      </c>
      <c r="C4058" t="s">
        <v>47</v>
      </c>
      <c r="D4058" t="s">
        <v>9123</v>
      </c>
      <c r="E4058" t="s">
        <v>9123</v>
      </c>
      <c r="F4058" t="s">
        <v>49</v>
      </c>
      <c r="G4058" t="s">
        <v>9202</v>
      </c>
      <c r="H4058" t="s">
        <v>9203</v>
      </c>
      <c r="J4058" t="str">
        <f>HYPERLINK("https://www.facebook.com/454965103328545/videos/3697954183759550?comment_id=3751824021808699","https://www.facebook.com/454965103328545/videos/3697954183759550?comment_id=3751824021808699")</f>
        <v>https://www.facebook.com/454965103328545/videos/3697954183759550?comment_id=3751824021808699</v>
      </c>
      <c r="O4058">
        <v>0</v>
      </c>
      <c r="P4058">
        <v>0</v>
      </c>
      <c r="Q4058">
        <v>0</v>
      </c>
      <c r="S4058">
        <v>0</v>
      </c>
      <c r="T4058">
        <v>0</v>
      </c>
      <c r="U4058">
        <v>0</v>
      </c>
      <c r="W4058" t="s">
        <v>62</v>
      </c>
    </row>
    <row r="4059" spans="1:42" x14ac:dyDescent="0.35">
      <c r="A4059" t="s">
        <v>45</v>
      </c>
      <c r="B4059" t="s">
        <v>8332</v>
      </c>
      <c r="C4059" t="s">
        <v>47</v>
      </c>
      <c r="D4059" t="s">
        <v>9141</v>
      </c>
      <c r="E4059" t="s">
        <v>9141</v>
      </c>
      <c r="F4059" t="s">
        <v>49</v>
      </c>
      <c r="G4059" t="s">
        <v>9204</v>
      </c>
      <c r="H4059" t="s">
        <v>9205</v>
      </c>
      <c r="J4059" t="str">
        <f>HYPERLINK("https://www.facebook.com/454965103328545/videos/3697954183759550?comment_id=763493025159882","https://www.facebook.com/454965103328545/videos/3697954183759550?comment_id=763493025159882")</f>
        <v>https://www.facebook.com/454965103328545/videos/3697954183759550?comment_id=763493025159882</v>
      </c>
      <c r="O4059">
        <v>0</v>
      </c>
      <c r="P4059">
        <v>0</v>
      </c>
      <c r="Q4059">
        <v>0</v>
      </c>
      <c r="S4059">
        <v>0</v>
      </c>
      <c r="T4059">
        <v>0</v>
      </c>
      <c r="U4059">
        <v>0</v>
      </c>
      <c r="W4059" t="s">
        <v>62</v>
      </c>
    </row>
    <row r="4060" spans="1:42" x14ac:dyDescent="0.35">
      <c r="A4060" t="s">
        <v>45</v>
      </c>
      <c r="B4060" t="s">
        <v>8332</v>
      </c>
      <c r="C4060" t="s">
        <v>47</v>
      </c>
      <c r="D4060" t="s">
        <v>9132</v>
      </c>
      <c r="E4060" t="s">
        <v>9132</v>
      </c>
      <c r="F4060" t="s">
        <v>49</v>
      </c>
      <c r="G4060" t="s">
        <v>9206</v>
      </c>
      <c r="H4060" t="s">
        <v>9207</v>
      </c>
      <c r="J4060" t="str">
        <f>HYPERLINK("https://www.facebook.com/454965103328545/videos/3697954183759550?comment_id=340535272285025","https://www.facebook.com/454965103328545/videos/3697954183759550?comment_id=340535272285025")</f>
        <v>https://www.facebook.com/454965103328545/videos/3697954183759550?comment_id=340535272285025</v>
      </c>
      <c r="O4060">
        <v>0</v>
      </c>
      <c r="P4060">
        <v>0</v>
      </c>
      <c r="Q4060">
        <v>0</v>
      </c>
      <c r="S4060">
        <v>0</v>
      </c>
      <c r="T4060">
        <v>0</v>
      </c>
      <c r="U4060">
        <v>0</v>
      </c>
      <c r="W4060" t="s">
        <v>62</v>
      </c>
    </row>
    <row r="4061" spans="1:42" x14ac:dyDescent="0.35">
      <c r="A4061" t="s">
        <v>45</v>
      </c>
      <c r="B4061" t="s">
        <v>8332</v>
      </c>
      <c r="C4061" t="s">
        <v>47</v>
      </c>
      <c r="D4061" t="s">
        <v>9208</v>
      </c>
      <c r="E4061" t="s">
        <v>9208</v>
      </c>
      <c r="F4061" t="s">
        <v>49</v>
      </c>
      <c r="G4061" t="s">
        <v>9209</v>
      </c>
      <c r="H4061" t="s">
        <v>9210</v>
      </c>
      <c r="J4061" t="str">
        <f>HYPERLINK("https://www.facebook.com/454965103328545/videos/3697954183759550?comment_id=4099760193583938","https://www.facebook.com/454965103328545/videos/3697954183759550?comment_id=4099760193583938")</f>
        <v>https://www.facebook.com/454965103328545/videos/3697954183759550?comment_id=4099760193583938</v>
      </c>
      <c r="O4061">
        <v>0</v>
      </c>
      <c r="P4061">
        <v>0</v>
      </c>
      <c r="Q4061">
        <v>0</v>
      </c>
      <c r="S4061">
        <v>0</v>
      </c>
      <c r="T4061">
        <v>0</v>
      </c>
      <c r="U4061">
        <v>0</v>
      </c>
      <c r="W4061" t="s">
        <v>62</v>
      </c>
    </row>
    <row r="4062" spans="1:42" x14ac:dyDescent="0.35">
      <c r="A4062" t="s">
        <v>45</v>
      </c>
      <c r="B4062" t="s">
        <v>8332</v>
      </c>
      <c r="C4062" t="s">
        <v>47</v>
      </c>
      <c r="D4062" t="s">
        <v>9211</v>
      </c>
      <c r="E4062" t="s">
        <v>9211</v>
      </c>
      <c r="F4062" t="s">
        <v>49</v>
      </c>
      <c r="G4062" t="s">
        <v>9212</v>
      </c>
      <c r="H4062" t="s">
        <v>9213</v>
      </c>
      <c r="J4062" t="str">
        <f>HYPERLINK("https://www.facebook.com/454965103328545/videos/3697954183759550?comment_id=7536491896417044","https://www.facebook.com/454965103328545/videos/3697954183759550?comment_id=7536491896417044")</f>
        <v>https://www.facebook.com/454965103328545/videos/3697954183759550?comment_id=7536491896417044</v>
      </c>
      <c r="O4062">
        <v>0</v>
      </c>
      <c r="P4062">
        <v>0</v>
      </c>
      <c r="Q4062">
        <v>0</v>
      </c>
      <c r="S4062">
        <v>0</v>
      </c>
      <c r="T4062">
        <v>0</v>
      </c>
      <c r="U4062">
        <v>0</v>
      </c>
      <c r="W4062" t="s">
        <v>62</v>
      </c>
      <c r="AP4062" t="s">
        <v>101</v>
      </c>
    </row>
    <row r="4063" spans="1:42" x14ac:dyDescent="0.35">
      <c r="A4063" t="s">
        <v>45</v>
      </c>
      <c r="B4063" t="s">
        <v>8332</v>
      </c>
      <c r="C4063" t="s">
        <v>47</v>
      </c>
      <c r="D4063" t="s">
        <v>2913</v>
      </c>
      <c r="E4063" t="s">
        <v>2913</v>
      </c>
      <c r="F4063" t="s">
        <v>49</v>
      </c>
      <c r="G4063" t="s">
        <v>9214</v>
      </c>
      <c r="H4063" t="s">
        <v>9215</v>
      </c>
      <c r="J4063" t="str">
        <f>HYPERLINK("https://www.facebook.com/454965103328545/videos/3697954183759550?comment_id=1547295566103179","https://www.facebook.com/454965103328545/videos/3697954183759550?comment_id=1547295566103179")</f>
        <v>https://www.facebook.com/454965103328545/videos/3697954183759550?comment_id=1547295566103179</v>
      </c>
      <c r="O4063">
        <v>0</v>
      </c>
      <c r="P4063">
        <v>0</v>
      </c>
      <c r="Q4063">
        <v>0</v>
      </c>
      <c r="S4063">
        <v>0</v>
      </c>
      <c r="T4063">
        <v>0</v>
      </c>
      <c r="U4063">
        <v>0</v>
      </c>
      <c r="W4063" t="s">
        <v>62</v>
      </c>
    </row>
    <row r="4064" spans="1:42" x14ac:dyDescent="0.35">
      <c r="A4064" t="s">
        <v>45</v>
      </c>
      <c r="B4064" t="s">
        <v>8332</v>
      </c>
      <c r="C4064" t="s">
        <v>47</v>
      </c>
      <c r="D4064" t="s">
        <v>9155</v>
      </c>
      <c r="E4064" t="s">
        <v>9155</v>
      </c>
      <c r="F4064" t="s">
        <v>49</v>
      </c>
      <c r="G4064" t="s">
        <v>9216</v>
      </c>
      <c r="H4064" t="s">
        <v>9217</v>
      </c>
      <c r="J4064" t="str">
        <f>HYPERLINK("https://www.facebook.com/454965103328545/videos/3697954183759550?comment_id=396803046267986","https://www.facebook.com/454965103328545/videos/3697954183759550?comment_id=396803046267986")</f>
        <v>https://www.facebook.com/454965103328545/videos/3697954183759550?comment_id=396803046267986</v>
      </c>
      <c r="O4064">
        <v>0</v>
      </c>
      <c r="P4064">
        <v>0</v>
      </c>
      <c r="Q4064">
        <v>0</v>
      </c>
      <c r="S4064">
        <v>0</v>
      </c>
      <c r="T4064">
        <v>0</v>
      </c>
      <c r="U4064">
        <v>0</v>
      </c>
      <c r="W4064" t="s">
        <v>62</v>
      </c>
    </row>
    <row r="4065" spans="1:42" x14ac:dyDescent="0.35">
      <c r="A4065" t="s">
        <v>45</v>
      </c>
      <c r="B4065" t="s">
        <v>8332</v>
      </c>
      <c r="C4065" t="s">
        <v>47</v>
      </c>
      <c r="D4065" t="s">
        <v>2913</v>
      </c>
      <c r="E4065" t="s">
        <v>2913</v>
      </c>
      <c r="F4065" t="s">
        <v>49</v>
      </c>
      <c r="G4065" t="s">
        <v>9214</v>
      </c>
      <c r="H4065" t="s">
        <v>9218</v>
      </c>
      <c r="J4065" t="str">
        <f>HYPERLINK("https://www.facebook.com/454965103328545/videos/3697954183759550?comment_id=339921222348719","https://www.facebook.com/454965103328545/videos/3697954183759550?comment_id=339921222348719")</f>
        <v>https://www.facebook.com/454965103328545/videos/3697954183759550?comment_id=339921222348719</v>
      </c>
      <c r="O4065">
        <v>0</v>
      </c>
      <c r="P4065">
        <v>0</v>
      </c>
      <c r="Q4065">
        <v>0</v>
      </c>
      <c r="S4065">
        <v>0</v>
      </c>
      <c r="T4065">
        <v>0</v>
      </c>
      <c r="U4065">
        <v>0</v>
      </c>
      <c r="W4065" t="s">
        <v>62</v>
      </c>
    </row>
    <row r="4066" spans="1:42" x14ac:dyDescent="0.35">
      <c r="A4066" t="s">
        <v>45</v>
      </c>
      <c r="B4066" t="s">
        <v>8332</v>
      </c>
      <c r="C4066" t="s">
        <v>47</v>
      </c>
      <c r="D4066" t="s">
        <v>9050</v>
      </c>
      <c r="E4066" t="s">
        <v>9050</v>
      </c>
      <c r="F4066" t="s">
        <v>49</v>
      </c>
      <c r="G4066" t="s">
        <v>9219</v>
      </c>
      <c r="H4066" t="s">
        <v>9220</v>
      </c>
      <c r="J4066" t="str">
        <f>HYPERLINK("https://www.facebook.com/454965103328545/videos/3697954183759550?comment_id=1428685327746775","https://www.facebook.com/454965103328545/videos/3697954183759550?comment_id=1428685327746775")</f>
        <v>https://www.facebook.com/454965103328545/videos/3697954183759550?comment_id=1428685327746775</v>
      </c>
      <c r="O4066">
        <v>0</v>
      </c>
      <c r="P4066">
        <v>0</v>
      </c>
      <c r="Q4066">
        <v>0</v>
      </c>
      <c r="S4066">
        <v>0</v>
      </c>
      <c r="T4066">
        <v>0</v>
      </c>
      <c r="U4066">
        <v>0</v>
      </c>
      <c r="W4066" t="s">
        <v>62</v>
      </c>
    </row>
    <row r="4067" spans="1:42" x14ac:dyDescent="0.35">
      <c r="A4067" t="s">
        <v>45</v>
      </c>
      <c r="B4067" t="s">
        <v>8332</v>
      </c>
      <c r="C4067" t="s">
        <v>47</v>
      </c>
      <c r="D4067" t="s">
        <v>9100</v>
      </c>
      <c r="E4067" t="s">
        <v>9100</v>
      </c>
      <c r="F4067" t="s">
        <v>142</v>
      </c>
      <c r="G4067" t="s">
        <v>9221</v>
      </c>
      <c r="H4067" t="s">
        <v>9220</v>
      </c>
      <c r="J4067" t="str">
        <f>HYPERLINK("https://www.facebook.com/454965103328545/videos/3697954183759550?comment_id=883435663575282","https://www.facebook.com/454965103328545/videos/3697954183759550?comment_id=883435663575282")</f>
        <v>https://www.facebook.com/454965103328545/videos/3697954183759550?comment_id=883435663575282</v>
      </c>
      <c r="O4067">
        <v>0</v>
      </c>
      <c r="P4067">
        <v>0</v>
      </c>
      <c r="Q4067">
        <v>0</v>
      </c>
      <c r="S4067">
        <v>0</v>
      </c>
      <c r="T4067">
        <v>0</v>
      </c>
      <c r="U4067">
        <v>0</v>
      </c>
      <c r="W4067" t="s">
        <v>62</v>
      </c>
      <c r="AP4067" t="s">
        <v>147</v>
      </c>
    </row>
    <row r="4068" spans="1:42" x14ac:dyDescent="0.35">
      <c r="A4068" t="s">
        <v>45</v>
      </c>
      <c r="B4068" t="s">
        <v>8332</v>
      </c>
      <c r="C4068" t="s">
        <v>47</v>
      </c>
      <c r="D4068" t="s">
        <v>2913</v>
      </c>
      <c r="E4068" t="s">
        <v>2913</v>
      </c>
      <c r="F4068" t="s">
        <v>49</v>
      </c>
      <c r="G4068" t="s">
        <v>9222</v>
      </c>
      <c r="H4068" t="s">
        <v>9223</v>
      </c>
      <c r="J4068" t="str">
        <f>HYPERLINK("https://www.facebook.com/454965103328545/videos/3697954183759550?comment_id=397163072805980","https://www.facebook.com/454965103328545/videos/3697954183759550?comment_id=397163072805980")</f>
        <v>https://www.facebook.com/454965103328545/videos/3697954183759550?comment_id=397163072805980</v>
      </c>
      <c r="O4068">
        <v>0</v>
      </c>
      <c r="P4068">
        <v>0</v>
      </c>
      <c r="Q4068">
        <v>0</v>
      </c>
      <c r="S4068">
        <v>0</v>
      </c>
      <c r="T4068">
        <v>0</v>
      </c>
      <c r="U4068">
        <v>0</v>
      </c>
      <c r="W4068" t="s">
        <v>62</v>
      </c>
    </row>
    <row r="4069" spans="1:42" x14ac:dyDescent="0.35">
      <c r="A4069" t="s">
        <v>45</v>
      </c>
      <c r="B4069" t="s">
        <v>8332</v>
      </c>
      <c r="C4069" t="s">
        <v>47</v>
      </c>
      <c r="D4069" t="s">
        <v>9224</v>
      </c>
      <c r="E4069" t="s">
        <v>9224</v>
      </c>
      <c r="F4069" t="s">
        <v>49</v>
      </c>
      <c r="G4069" t="s">
        <v>9225</v>
      </c>
      <c r="H4069" t="s">
        <v>9226</v>
      </c>
      <c r="J4069" t="str">
        <f>HYPERLINK("https://www.facebook.com/454965103328545/videos/3697954183759550?comment_id=1884634748620259","https://www.facebook.com/454965103328545/videos/3697954183759550?comment_id=1884634748620259")</f>
        <v>https://www.facebook.com/454965103328545/videos/3697954183759550?comment_id=1884634748620259</v>
      </c>
      <c r="O4069">
        <v>0</v>
      </c>
      <c r="P4069">
        <v>0</v>
      </c>
      <c r="Q4069">
        <v>0</v>
      </c>
      <c r="S4069">
        <v>0</v>
      </c>
      <c r="T4069">
        <v>0</v>
      </c>
      <c r="U4069">
        <v>0</v>
      </c>
      <c r="W4069" t="s">
        <v>62</v>
      </c>
    </row>
    <row r="4070" spans="1:42" x14ac:dyDescent="0.35">
      <c r="A4070" t="s">
        <v>45</v>
      </c>
      <c r="B4070" t="s">
        <v>8332</v>
      </c>
      <c r="C4070" t="s">
        <v>47</v>
      </c>
      <c r="D4070" t="s">
        <v>9227</v>
      </c>
      <c r="E4070" t="s">
        <v>9227</v>
      </c>
      <c r="F4070" t="s">
        <v>49</v>
      </c>
      <c r="G4070" t="s">
        <v>9228</v>
      </c>
      <c r="H4070" t="s">
        <v>9229</v>
      </c>
      <c r="J4070" t="str">
        <f>HYPERLINK("https://www.facebook.com/454965103328545/videos/3697954183759550?comment_id=1034135111022388","https://www.facebook.com/454965103328545/videos/3697954183759550?comment_id=1034135111022388")</f>
        <v>https://www.facebook.com/454965103328545/videos/3697954183759550?comment_id=1034135111022388</v>
      </c>
      <c r="O4070">
        <v>0</v>
      </c>
      <c r="P4070">
        <v>0</v>
      </c>
      <c r="Q4070">
        <v>0</v>
      </c>
      <c r="S4070">
        <v>0</v>
      </c>
      <c r="T4070">
        <v>0</v>
      </c>
      <c r="U4070">
        <v>0</v>
      </c>
      <c r="W4070" t="s">
        <v>62</v>
      </c>
      <c r="AP4070" t="s">
        <v>94</v>
      </c>
    </row>
    <row r="4071" spans="1:42" x14ac:dyDescent="0.35">
      <c r="A4071" t="s">
        <v>45</v>
      </c>
      <c r="B4071" t="s">
        <v>8332</v>
      </c>
      <c r="C4071" t="s">
        <v>47</v>
      </c>
      <c r="D4071" t="s">
        <v>9230</v>
      </c>
      <c r="E4071" t="s">
        <v>9230</v>
      </c>
      <c r="F4071" t="s">
        <v>49</v>
      </c>
      <c r="G4071" t="s">
        <v>9231</v>
      </c>
      <c r="H4071" t="s">
        <v>9232</v>
      </c>
      <c r="J4071" t="str">
        <f>HYPERLINK("https://www.facebook.com/454965103328545/videos/3697954183759550?comment_id=1379622219324218","https://www.facebook.com/454965103328545/videos/3697954183759550?comment_id=1379622219324218")</f>
        <v>https://www.facebook.com/454965103328545/videos/3697954183759550?comment_id=1379622219324218</v>
      </c>
      <c r="O4071">
        <v>0</v>
      </c>
      <c r="P4071">
        <v>0</v>
      </c>
      <c r="Q4071">
        <v>0</v>
      </c>
      <c r="S4071">
        <v>0</v>
      </c>
      <c r="T4071">
        <v>0</v>
      </c>
      <c r="U4071">
        <v>0</v>
      </c>
      <c r="W4071" t="s">
        <v>62</v>
      </c>
    </row>
    <row r="4072" spans="1:42" x14ac:dyDescent="0.35">
      <c r="A4072" t="s">
        <v>45</v>
      </c>
      <c r="B4072" t="s">
        <v>8332</v>
      </c>
      <c r="C4072" t="s">
        <v>47</v>
      </c>
      <c r="D4072" t="s">
        <v>9123</v>
      </c>
      <c r="E4072" t="s">
        <v>9123</v>
      </c>
      <c r="F4072" t="s">
        <v>49</v>
      </c>
      <c r="G4072" t="s">
        <v>9233</v>
      </c>
      <c r="H4072" t="s">
        <v>9234</v>
      </c>
      <c r="J4072" t="str">
        <f>HYPERLINK("https://www.facebook.com/454965103328545/videos/3697954183759550?comment_id=3724827451126801","https://www.facebook.com/454965103328545/videos/3697954183759550?comment_id=3724827451126801")</f>
        <v>https://www.facebook.com/454965103328545/videos/3697954183759550?comment_id=3724827451126801</v>
      </c>
      <c r="O4072">
        <v>0</v>
      </c>
      <c r="P4072">
        <v>0</v>
      </c>
      <c r="Q4072">
        <v>0</v>
      </c>
      <c r="S4072">
        <v>0</v>
      </c>
      <c r="T4072">
        <v>0</v>
      </c>
      <c r="U4072">
        <v>0</v>
      </c>
      <c r="W4072" t="s">
        <v>62</v>
      </c>
    </row>
    <row r="4073" spans="1:42" x14ac:dyDescent="0.35">
      <c r="A4073" t="s">
        <v>45</v>
      </c>
      <c r="B4073" t="s">
        <v>8332</v>
      </c>
      <c r="C4073" t="s">
        <v>47</v>
      </c>
      <c r="D4073" t="s">
        <v>9208</v>
      </c>
      <c r="E4073" t="s">
        <v>9208</v>
      </c>
      <c r="F4073" t="s">
        <v>49</v>
      </c>
      <c r="G4073" t="s">
        <v>9235</v>
      </c>
      <c r="H4073" t="s">
        <v>9236</v>
      </c>
      <c r="J4073" t="str">
        <f>HYPERLINK("https://www.facebook.com/454965103328545/videos/3697954183759550?comment_id=1745330059311386","https://www.facebook.com/454965103328545/videos/3697954183759550?comment_id=1745330059311386")</f>
        <v>https://www.facebook.com/454965103328545/videos/3697954183759550?comment_id=1745330059311386</v>
      </c>
      <c r="O4073">
        <v>0</v>
      </c>
      <c r="P4073">
        <v>0</v>
      </c>
      <c r="Q4073">
        <v>0</v>
      </c>
      <c r="S4073">
        <v>0</v>
      </c>
      <c r="T4073">
        <v>0</v>
      </c>
      <c r="U4073">
        <v>0</v>
      </c>
      <c r="W4073" t="s">
        <v>62</v>
      </c>
    </row>
    <row r="4074" spans="1:42" x14ac:dyDescent="0.35">
      <c r="A4074" t="s">
        <v>45</v>
      </c>
      <c r="B4074" t="s">
        <v>8332</v>
      </c>
      <c r="C4074" t="s">
        <v>47</v>
      </c>
      <c r="D4074" t="s">
        <v>9200</v>
      </c>
      <c r="E4074" t="s">
        <v>9200</v>
      </c>
      <c r="F4074" t="s">
        <v>49</v>
      </c>
      <c r="G4074" t="s">
        <v>9237</v>
      </c>
      <c r="H4074" t="s">
        <v>9238</v>
      </c>
      <c r="J4074" t="str">
        <f>HYPERLINK("https://www.facebook.com/454965103328545/videos/3697954183759550?comment_id=3958226861071306","https://www.facebook.com/454965103328545/videos/3697954183759550?comment_id=3958226861071306")</f>
        <v>https://www.facebook.com/454965103328545/videos/3697954183759550?comment_id=3958226861071306</v>
      </c>
      <c r="O4074">
        <v>0</v>
      </c>
      <c r="P4074">
        <v>0</v>
      </c>
      <c r="Q4074">
        <v>0</v>
      </c>
      <c r="S4074">
        <v>0</v>
      </c>
      <c r="T4074">
        <v>0</v>
      </c>
      <c r="U4074">
        <v>0</v>
      </c>
      <c r="W4074" t="s">
        <v>62</v>
      </c>
    </row>
    <row r="4075" spans="1:42" x14ac:dyDescent="0.35">
      <c r="A4075" t="s">
        <v>45</v>
      </c>
      <c r="B4075" t="s">
        <v>8332</v>
      </c>
      <c r="C4075" t="s">
        <v>47</v>
      </c>
      <c r="D4075" t="s">
        <v>6626</v>
      </c>
      <c r="E4075" t="s">
        <v>6626</v>
      </c>
      <c r="F4075" t="s">
        <v>49</v>
      </c>
      <c r="G4075" t="s">
        <v>9239</v>
      </c>
      <c r="H4075" t="s">
        <v>9238</v>
      </c>
      <c r="J4075" t="str">
        <f>HYPERLINK("https://www.facebook.com/454965103328545/videos/3697954183759550?comment_id=403712622312841","https://www.facebook.com/454965103328545/videos/3697954183759550?comment_id=403712622312841")</f>
        <v>https://www.facebook.com/454965103328545/videos/3697954183759550?comment_id=403712622312841</v>
      </c>
      <c r="O4075">
        <v>0</v>
      </c>
      <c r="P4075">
        <v>0</v>
      </c>
      <c r="Q4075">
        <v>0</v>
      </c>
      <c r="S4075">
        <v>0</v>
      </c>
      <c r="T4075">
        <v>0</v>
      </c>
      <c r="U4075">
        <v>0</v>
      </c>
      <c r="W4075" t="s">
        <v>62</v>
      </c>
    </row>
    <row r="4076" spans="1:42" x14ac:dyDescent="0.35">
      <c r="A4076" t="s">
        <v>45</v>
      </c>
      <c r="B4076" t="s">
        <v>8332</v>
      </c>
      <c r="C4076" t="s">
        <v>47</v>
      </c>
      <c r="D4076" t="s">
        <v>9135</v>
      </c>
      <c r="E4076" t="s">
        <v>9135</v>
      </c>
      <c r="F4076" t="s">
        <v>49</v>
      </c>
      <c r="G4076" t="s">
        <v>9136</v>
      </c>
      <c r="H4076" t="s">
        <v>9240</v>
      </c>
      <c r="J4076" t="str">
        <f>HYPERLINK("https://www.facebook.com/454965103328545/videos/3697954183759550?comment_id=1563991827690053","https://www.facebook.com/454965103328545/videos/3697954183759550?comment_id=1563991827690053")</f>
        <v>https://www.facebook.com/454965103328545/videos/3697954183759550?comment_id=1563991827690053</v>
      </c>
      <c r="O4076">
        <v>0</v>
      </c>
      <c r="P4076">
        <v>0</v>
      </c>
      <c r="Q4076">
        <v>0</v>
      </c>
      <c r="S4076">
        <v>0</v>
      </c>
      <c r="T4076">
        <v>0</v>
      </c>
      <c r="U4076">
        <v>0</v>
      </c>
      <c r="W4076" t="s">
        <v>62</v>
      </c>
    </row>
    <row r="4077" spans="1:42" x14ac:dyDescent="0.35">
      <c r="A4077" t="s">
        <v>45</v>
      </c>
      <c r="B4077" t="s">
        <v>8332</v>
      </c>
      <c r="C4077" t="s">
        <v>47</v>
      </c>
      <c r="D4077" t="s">
        <v>9173</v>
      </c>
      <c r="E4077" t="s">
        <v>9173</v>
      </c>
      <c r="F4077" t="s">
        <v>49</v>
      </c>
      <c r="G4077" t="s">
        <v>9241</v>
      </c>
      <c r="H4077" t="s">
        <v>9242</v>
      </c>
      <c r="J4077" t="str">
        <f>HYPERLINK("https://www.facebook.com/454965103328545/videos/3697954183759550?comment_id=1500579157178589","https://www.facebook.com/454965103328545/videos/3697954183759550?comment_id=1500579157178589")</f>
        <v>https://www.facebook.com/454965103328545/videos/3697954183759550?comment_id=1500579157178589</v>
      </c>
      <c r="O4077">
        <v>0</v>
      </c>
      <c r="P4077">
        <v>0</v>
      </c>
      <c r="Q4077">
        <v>0</v>
      </c>
      <c r="S4077">
        <v>0</v>
      </c>
      <c r="T4077">
        <v>0</v>
      </c>
      <c r="U4077">
        <v>0</v>
      </c>
      <c r="W4077" t="s">
        <v>62</v>
      </c>
    </row>
    <row r="4078" spans="1:42" x14ac:dyDescent="0.35">
      <c r="A4078" t="s">
        <v>45</v>
      </c>
      <c r="B4078" t="s">
        <v>8332</v>
      </c>
      <c r="C4078" t="s">
        <v>47</v>
      </c>
      <c r="D4078" t="s">
        <v>9127</v>
      </c>
      <c r="E4078" t="s">
        <v>9127</v>
      </c>
      <c r="F4078" t="s">
        <v>49</v>
      </c>
      <c r="G4078" t="s">
        <v>9243</v>
      </c>
      <c r="H4078" t="s">
        <v>9244</v>
      </c>
      <c r="J4078" t="str">
        <f>HYPERLINK("https://www.facebook.com/454965103328545/videos/3697954183759550?comment_id=852092036689301","https://www.facebook.com/454965103328545/videos/3697954183759550?comment_id=852092036689301")</f>
        <v>https://www.facebook.com/454965103328545/videos/3697954183759550?comment_id=852092036689301</v>
      </c>
      <c r="O4078">
        <v>0</v>
      </c>
      <c r="P4078">
        <v>0</v>
      </c>
      <c r="Q4078">
        <v>0</v>
      </c>
      <c r="S4078">
        <v>0</v>
      </c>
      <c r="T4078">
        <v>0</v>
      </c>
      <c r="U4078">
        <v>0</v>
      </c>
      <c r="W4078" t="s">
        <v>62</v>
      </c>
    </row>
    <row r="4079" spans="1:42" x14ac:dyDescent="0.35">
      <c r="A4079" t="s">
        <v>45</v>
      </c>
      <c r="B4079" t="s">
        <v>8332</v>
      </c>
      <c r="C4079" t="s">
        <v>47</v>
      </c>
      <c r="D4079" t="s">
        <v>9208</v>
      </c>
      <c r="E4079" t="s">
        <v>9208</v>
      </c>
      <c r="F4079" t="s">
        <v>49</v>
      </c>
      <c r="G4079" t="s">
        <v>9245</v>
      </c>
      <c r="H4079" t="s">
        <v>9246</v>
      </c>
      <c r="J4079" t="str">
        <f>HYPERLINK("https://www.facebook.com/454965103328545/videos/3697954183759550?comment_id=3661236054196392","https://www.facebook.com/454965103328545/videos/3697954183759550?comment_id=3661236054196392")</f>
        <v>https://www.facebook.com/454965103328545/videos/3697954183759550?comment_id=3661236054196392</v>
      </c>
      <c r="O4079">
        <v>0</v>
      </c>
      <c r="P4079">
        <v>0</v>
      </c>
      <c r="Q4079">
        <v>0</v>
      </c>
      <c r="S4079">
        <v>0</v>
      </c>
      <c r="T4079">
        <v>0</v>
      </c>
      <c r="U4079">
        <v>0</v>
      </c>
      <c r="W4079" t="s">
        <v>62</v>
      </c>
    </row>
    <row r="4080" spans="1:42" x14ac:dyDescent="0.35">
      <c r="A4080" t="s">
        <v>45</v>
      </c>
      <c r="B4080" t="s">
        <v>8332</v>
      </c>
      <c r="C4080" t="s">
        <v>47</v>
      </c>
      <c r="D4080" t="s">
        <v>2913</v>
      </c>
      <c r="E4080" t="s">
        <v>2913</v>
      </c>
      <c r="F4080" t="s">
        <v>49</v>
      </c>
      <c r="G4080" t="s">
        <v>9214</v>
      </c>
      <c r="H4080" t="s">
        <v>9247</v>
      </c>
      <c r="J4080" t="str">
        <f>HYPERLINK("https://www.facebook.com/454965103328545/videos/3697954183759550?comment_id=1075870326960470","https://www.facebook.com/454965103328545/videos/3697954183759550?comment_id=1075870326960470")</f>
        <v>https://www.facebook.com/454965103328545/videos/3697954183759550?comment_id=1075870326960470</v>
      </c>
      <c r="O4080">
        <v>0</v>
      </c>
      <c r="P4080">
        <v>0</v>
      </c>
      <c r="Q4080">
        <v>0</v>
      </c>
      <c r="S4080">
        <v>0</v>
      </c>
      <c r="T4080">
        <v>0</v>
      </c>
      <c r="U4080">
        <v>0</v>
      </c>
      <c r="W4080" t="s">
        <v>62</v>
      </c>
    </row>
    <row r="4081" spans="1:42" x14ac:dyDescent="0.35">
      <c r="A4081" t="s">
        <v>45</v>
      </c>
      <c r="B4081" t="s">
        <v>8332</v>
      </c>
      <c r="C4081" t="s">
        <v>47</v>
      </c>
      <c r="D4081" t="s">
        <v>2913</v>
      </c>
      <c r="E4081" t="s">
        <v>2913</v>
      </c>
      <c r="F4081" t="s">
        <v>49</v>
      </c>
      <c r="G4081" t="s">
        <v>9214</v>
      </c>
      <c r="H4081" t="s">
        <v>9248</v>
      </c>
      <c r="J4081" t="str">
        <f>HYPERLINK("https://www.facebook.com/454965103328545/videos/3697954183759550?comment_id=335673782785381","https://www.facebook.com/454965103328545/videos/3697954183759550?comment_id=335673782785381")</f>
        <v>https://www.facebook.com/454965103328545/videos/3697954183759550?comment_id=335673782785381</v>
      </c>
      <c r="O4081">
        <v>0</v>
      </c>
      <c r="P4081">
        <v>0</v>
      </c>
      <c r="Q4081">
        <v>0</v>
      </c>
      <c r="S4081">
        <v>0</v>
      </c>
      <c r="T4081">
        <v>0</v>
      </c>
      <c r="U4081">
        <v>0</v>
      </c>
      <c r="W4081" t="s">
        <v>62</v>
      </c>
    </row>
    <row r="4082" spans="1:42" x14ac:dyDescent="0.35">
      <c r="A4082" t="s">
        <v>45</v>
      </c>
      <c r="B4082" t="s">
        <v>8332</v>
      </c>
      <c r="C4082" t="s">
        <v>47</v>
      </c>
      <c r="D4082" t="s">
        <v>274</v>
      </c>
      <c r="E4082" t="s">
        <v>274</v>
      </c>
      <c r="F4082" t="s">
        <v>49</v>
      </c>
      <c r="G4082" t="s">
        <v>9249</v>
      </c>
      <c r="H4082" t="s">
        <v>9250</v>
      </c>
      <c r="J4082" t="str">
        <f>HYPERLINK("https://www.facebook.com/454965103328545/videos/3697954183759550?comment_id=758890219031410","https://www.facebook.com/454965103328545/videos/3697954183759550?comment_id=758890219031410")</f>
        <v>https://www.facebook.com/454965103328545/videos/3697954183759550?comment_id=758890219031410</v>
      </c>
      <c r="O4082">
        <v>0</v>
      </c>
      <c r="P4082">
        <v>0</v>
      </c>
      <c r="Q4082">
        <v>0</v>
      </c>
      <c r="S4082">
        <v>0</v>
      </c>
      <c r="T4082">
        <v>0</v>
      </c>
      <c r="U4082">
        <v>0</v>
      </c>
      <c r="W4082" t="s">
        <v>62</v>
      </c>
    </row>
    <row r="4083" spans="1:42" x14ac:dyDescent="0.35">
      <c r="A4083" t="s">
        <v>45</v>
      </c>
      <c r="B4083" t="s">
        <v>8332</v>
      </c>
      <c r="C4083" t="s">
        <v>47</v>
      </c>
      <c r="D4083" t="s">
        <v>5524</v>
      </c>
      <c r="E4083" t="s">
        <v>5524</v>
      </c>
      <c r="F4083" t="s">
        <v>49</v>
      </c>
      <c r="G4083" t="s">
        <v>9251</v>
      </c>
      <c r="H4083" t="s">
        <v>9252</v>
      </c>
      <c r="J4083" t="str">
        <f>HYPERLINK("https://www.facebook.com/454965103328545/videos/3697954183759550?comment_id=935381634227910","https://www.facebook.com/454965103328545/videos/3697954183759550?comment_id=935381634227910")</f>
        <v>https://www.facebook.com/454965103328545/videos/3697954183759550?comment_id=935381634227910</v>
      </c>
      <c r="O4083">
        <v>0</v>
      </c>
      <c r="P4083">
        <v>0</v>
      </c>
      <c r="Q4083">
        <v>0</v>
      </c>
      <c r="S4083">
        <v>0</v>
      </c>
      <c r="T4083">
        <v>0</v>
      </c>
      <c r="U4083">
        <v>0</v>
      </c>
      <c r="W4083" t="s">
        <v>62</v>
      </c>
    </row>
    <row r="4084" spans="1:42" x14ac:dyDescent="0.35">
      <c r="A4084" t="s">
        <v>45</v>
      </c>
      <c r="B4084" t="s">
        <v>8332</v>
      </c>
      <c r="C4084" t="s">
        <v>47</v>
      </c>
      <c r="D4084" t="s">
        <v>9132</v>
      </c>
      <c r="E4084" t="s">
        <v>9132</v>
      </c>
      <c r="F4084" t="s">
        <v>49</v>
      </c>
      <c r="G4084" t="s">
        <v>9253</v>
      </c>
      <c r="H4084" t="s">
        <v>9254</v>
      </c>
      <c r="J4084" t="str">
        <f>HYPERLINK("https://www.facebook.com/454965103328545/videos/3697954183759550?comment_id=7445033645527803","https://www.facebook.com/454965103328545/videos/3697954183759550?comment_id=7445033645527803")</f>
        <v>https://www.facebook.com/454965103328545/videos/3697954183759550?comment_id=7445033645527803</v>
      </c>
      <c r="O4084">
        <v>0</v>
      </c>
      <c r="P4084">
        <v>0</v>
      </c>
      <c r="Q4084">
        <v>0</v>
      </c>
      <c r="S4084">
        <v>0</v>
      </c>
      <c r="T4084">
        <v>0</v>
      </c>
      <c r="U4084">
        <v>0</v>
      </c>
      <c r="W4084" t="s">
        <v>62</v>
      </c>
    </row>
    <row r="4085" spans="1:42" x14ac:dyDescent="0.35">
      <c r="A4085" t="s">
        <v>45</v>
      </c>
      <c r="B4085" t="s">
        <v>8332</v>
      </c>
      <c r="C4085" t="s">
        <v>47</v>
      </c>
      <c r="D4085" t="s">
        <v>9050</v>
      </c>
      <c r="E4085" t="s">
        <v>9050</v>
      </c>
      <c r="F4085" t="s">
        <v>49</v>
      </c>
      <c r="G4085" t="s">
        <v>9255</v>
      </c>
      <c r="H4085" t="s">
        <v>9256</v>
      </c>
      <c r="J4085" t="str">
        <f>HYPERLINK("https://www.facebook.com/454965103328545/videos/3697954183759550?comment_id=369546362600098","https://www.facebook.com/454965103328545/videos/3697954183759550?comment_id=369546362600098")</f>
        <v>https://www.facebook.com/454965103328545/videos/3697954183759550?comment_id=369546362600098</v>
      </c>
      <c r="O4085">
        <v>0</v>
      </c>
      <c r="P4085">
        <v>0</v>
      </c>
      <c r="Q4085">
        <v>0</v>
      </c>
      <c r="S4085">
        <v>0</v>
      </c>
      <c r="T4085">
        <v>0</v>
      </c>
      <c r="U4085">
        <v>0</v>
      </c>
      <c r="W4085" t="s">
        <v>62</v>
      </c>
    </row>
    <row r="4086" spans="1:42" x14ac:dyDescent="0.35">
      <c r="A4086" t="s">
        <v>45</v>
      </c>
      <c r="B4086" t="s">
        <v>8332</v>
      </c>
      <c r="C4086" t="s">
        <v>47</v>
      </c>
      <c r="D4086" t="s">
        <v>9127</v>
      </c>
      <c r="E4086" t="s">
        <v>9127</v>
      </c>
      <c r="F4086" t="s">
        <v>49</v>
      </c>
      <c r="G4086" t="s">
        <v>9257</v>
      </c>
      <c r="H4086" t="s">
        <v>9258</v>
      </c>
      <c r="J4086" t="str">
        <f>HYPERLINK("https://www.facebook.com/454965103328545/videos/3697954183759550?comment_id=1843680189409530","https://www.facebook.com/454965103328545/videos/3697954183759550?comment_id=1843680189409530")</f>
        <v>https://www.facebook.com/454965103328545/videos/3697954183759550?comment_id=1843680189409530</v>
      </c>
      <c r="O4086">
        <v>0</v>
      </c>
      <c r="P4086">
        <v>0</v>
      </c>
      <c r="Q4086">
        <v>0</v>
      </c>
      <c r="S4086">
        <v>0</v>
      </c>
      <c r="T4086">
        <v>0</v>
      </c>
      <c r="U4086">
        <v>0</v>
      </c>
      <c r="W4086" t="s">
        <v>62</v>
      </c>
    </row>
    <row r="4087" spans="1:42" x14ac:dyDescent="0.35">
      <c r="A4087" t="s">
        <v>45</v>
      </c>
      <c r="B4087" t="s">
        <v>8332</v>
      </c>
      <c r="C4087" t="s">
        <v>47</v>
      </c>
      <c r="D4087" t="s">
        <v>9259</v>
      </c>
      <c r="E4087" t="s">
        <v>9259</v>
      </c>
      <c r="F4087" t="s">
        <v>49</v>
      </c>
      <c r="G4087" t="s">
        <v>9260</v>
      </c>
      <c r="H4087" t="s">
        <v>9258</v>
      </c>
      <c r="J4087" t="str">
        <f>HYPERLINK("https://www.facebook.com/454965103328545/videos/3697954183759550?comment_id=765719441657848","https://www.facebook.com/454965103328545/videos/3697954183759550?comment_id=765719441657848")</f>
        <v>https://www.facebook.com/454965103328545/videos/3697954183759550?comment_id=765719441657848</v>
      </c>
      <c r="O4087">
        <v>0</v>
      </c>
      <c r="P4087">
        <v>0</v>
      </c>
      <c r="Q4087">
        <v>0</v>
      </c>
      <c r="S4087">
        <v>0</v>
      </c>
      <c r="T4087">
        <v>0</v>
      </c>
      <c r="U4087">
        <v>0</v>
      </c>
      <c r="W4087" t="s">
        <v>62</v>
      </c>
    </row>
    <row r="4088" spans="1:42" x14ac:dyDescent="0.35">
      <c r="A4088" t="s">
        <v>45</v>
      </c>
      <c r="B4088" t="s">
        <v>8332</v>
      </c>
      <c r="C4088" t="s">
        <v>47</v>
      </c>
      <c r="D4088" t="s">
        <v>9259</v>
      </c>
      <c r="E4088" t="s">
        <v>9259</v>
      </c>
      <c r="F4088" t="s">
        <v>49</v>
      </c>
      <c r="G4088" t="s">
        <v>9260</v>
      </c>
      <c r="H4088" t="s">
        <v>9261</v>
      </c>
      <c r="J4088" t="str">
        <f>HYPERLINK("https://www.facebook.com/454965103328545/videos/3697954183759550?comment_id=498642429432380","https://www.facebook.com/454965103328545/videos/3697954183759550?comment_id=498642429432380")</f>
        <v>https://www.facebook.com/454965103328545/videos/3697954183759550?comment_id=498642429432380</v>
      </c>
      <c r="O4088">
        <v>0</v>
      </c>
      <c r="P4088">
        <v>0</v>
      </c>
      <c r="Q4088">
        <v>0</v>
      </c>
      <c r="S4088">
        <v>0</v>
      </c>
      <c r="T4088">
        <v>0</v>
      </c>
      <c r="U4088">
        <v>0</v>
      </c>
      <c r="W4088" t="s">
        <v>62</v>
      </c>
      <c r="AP4088" t="s">
        <v>101</v>
      </c>
    </row>
    <row r="4089" spans="1:42" x14ac:dyDescent="0.35">
      <c r="A4089" t="s">
        <v>45</v>
      </c>
      <c r="B4089" t="s">
        <v>8332</v>
      </c>
      <c r="C4089" t="s">
        <v>47</v>
      </c>
      <c r="D4089" t="s">
        <v>9141</v>
      </c>
      <c r="E4089" t="s">
        <v>9141</v>
      </c>
      <c r="F4089" t="s">
        <v>49</v>
      </c>
      <c r="G4089" t="s">
        <v>9262</v>
      </c>
      <c r="H4089" t="s">
        <v>9263</v>
      </c>
      <c r="J4089" t="str">
        <f>HYPERLINK("https://www.facebook.com/454965103328545/videos/3697954183759550?comment_id=400621449206884","https://www.facebook.com/454965103328545/videos/3697954183759550?comment_id=400621449206884")</f>
        <v>https://www.facebook.com/454965103328545/videos/3697954183759550?comment_id=400621449206884</v>
      </c>
      <c r="O4089">
        <v>0</v>
      </c>
      <c r="P4089">
        <v>0</v>
      </c>
      <c r="Q4089">
        <v>0</v>
      </c>
      <c r="S4089">
        <v>0</v>
      </c>
      <c r="T4089">
        <v>0</v>
      </c>
      <c r="U4089">
        <v>0</v>
      </c>
      <c r="W4089" t="s">
        <v>62</v>
      </c>
    </row>
    <row r="4090" spans="1:42" x14ac:dyDescent="0.35">
      <c r="A4090" t="s">
        <v>45</v>
      </c>
      <c r="B4090" t="s">
        <v>8332</v>
      </c>
      <c r="C4090" t="s">
        <v>47</v>
      </c>
      <c r="D4090" t="s">
        <v>9155</v>
      </c>
      <c r="E4090" t="s">
        <v>9155</v>
      </c>
      <c r="F4090" t="s">
        <v>49</v>
      </c>
      <c r="G4090" t="s">
        <v>9216</v>
      </c>
      <c r="H4090" t="s">
        <v>9264</v>
      </c>
      <c r="J4090" t="str">
        <f>HYPERLINK("https://www.facebook.com/454965103328545/videos/3697954183759550?comment_id=322641024104462","https://www.facebook.com/454965103328545/videos/3697954183759550?comment_id=322641024104462")</f>
        <v>https://www.facebook.com/454965103328545/videos/3697954183759550?comment_id=322641024104462</v>
      </c>
      <c r="O4090">
        <v>0</v>
      </c>
      <c r="P4090">
        <v>0</v>
      </c>
      <c r="Q4090">
        <v>0</v>
      </c>
      <c r="S4090">
        <v>0</v>
      </c>
      <c r="T4090">
        <v>0</v>
      </c>
      <c r="U4090">
        <v>0</v>
      </c>
      <c r="W4090" t="s">
        <v>62</v>
      </c>
    </row>
    <row r="4091" spans="1:42" x14ac:dyDescent="0.35">
      <c r="A4091" t="s">
        <v>45</v>
      </c>
      <c r="B4091" t="s">
        <v>8332</v>
      </c>
      <c r="C4091" t="s">
        <v>47</v>
      </c>
      <c r="D4091" t="s">
        <v>9259</v>
      </c>
      <c r="E4091" t="s">
        <v>9259</v>
      </c>
      <c r="F4091" t="s">
        <v>49</v>
      </c>
      <c r="G4091" t="s">
        <v>9260</v>
      </c>
      <c r="H4091" t="s">
        <v>9265</v>
      </c>
      <c r="J4091" t="str">
        <f>HYPERLINK("https://www.facebook.com/454965103328545/videos/3697954183759550?comment_id=223445237505608","https://www.facebook.com/454965103328545/videos/3697954183759550?comment_id=223445237505608")</f>
        <v>https://www.facebook.com/454965103328545/videos/3697954183759550?comment_id=223445237505608</v>
      </c>
      <c r="O4091">
        <v>0</v>
      </c>
      <c r="P4091">
        <v>0</v>
      </c>
      <c r="Q4091">
        <v>0</v>
      </c>
      <c r="S4091">
        <v>0</v>
      </c>
      <c r="T4091">
        <v>0</v>
      </c>
      <c r="U4091">
        <v>0</v>
      </c>
      <c r="W4091" t="s">
        <v>62</v>
      </c>
    </row>
    <row r="4092" spans="1:42" x14ac:dyDescent="0.35">
      <c r="A4092" t="s">
        <v>45</v>
      </c>
      <c r="B4092" t="s">
        <v>8332</v>
      </c>
      <c r="C4092" t="s">
        <v>47</v>
      </c>
      <c r="D4092" t="s">
        <v>6710</v>
      </c>
      <c r="E4092" t="s">
        <v>6710</v>
      </c>
      <c r="F4092" t="s">
        <v>49</v>
      </c>
      <c r="G4092" t="s">
        <v>9266</v>
      </c>
      <c r="H4092" t="s">
        <v>9267</v>
      </c>
      <c r="J4092" t="str">
        <f>HYPERLINK("https://www.facebook.com/357267201017935/inbox/6743898455688079/","https://www.facebook.com/357267201017935/inbox/6743898455688079/")</f>
        <v>https://www.facebook.com/357267201017935/inbox/6743898455688079/</v>
      </c>
      <c r="O4092">
        <v>0</v>
      </c>
      <c r="P4092">
        <v>0</v>
      </c>
      <c r="Q4092">
        <v>0</v>
      </c>
      <c r="S4092">
        <v>0</v>
      </c>
      <c r="T4092">
        <v>0</v>
      </c>
      <c r="U4092">
        <v>0</v>
      </c>
      <c r="W4092" t="s">
        <v>52</v>
      </c>
    </row>
    <row r="4093" spans="1:42" x14ac:dyDescent="0.35">
      <c r="A4093" t="s">
        <v>45</v>
      </c>
      <c r="B4093" t="s">
        <v>8332</v>
      </c>
      <c r="C4093" t="s">
        <v>47</v>
      </c>
      <c r="D4093" t="s">
        <v>9259</v>
      </c>
      <c r="E4093" t="s">
        <v>9259</v>
      </c>
      <c r="F4093" t="s">
        <v>49</v>
      </c>
      <c r="G4093" t="s">
        <v>9260</v>
      </c>
      <c r="H4093" t="s">
        <v>9268</v>
      </c>
      <c r="J4093" t="str">
        <f>HYPERLINK("https://www.facebook.com/454965103328545/videos/3697954183759550?comment_id=2776192465883536","https://www.facebook.com/454965103328545/videos/3697954183759550?comment_id=2776192465883536")</f>
        <v>https://www.facebook.com/454965103328545/videos/3697954183759550?comment_id=2776192465883536</v>
      </c>
      <c r="O4093">
        <v>0</v>
      </c>
      <c r="P4093">
        <v>0</v>
      </c>
      <c r="Q4093">
        <v>0</v>
      </c>
      <c r="S4093">
        <v>0</v>
      </c>
      <c r="T4093">
        <v>0</v>
      </c>
      <c r="U4093">
        <v>0</v>
      </c>
      <c r="W4093" t="s">
        <v>62</v>
      </c>
      <c r="AP4093" t="s">
        <v>101</v>
      </c>
    </row>
    <row r="4094" spans="1:42" x14ac:dyDescent="0.35">
      <c r="A4094" t="s">
        <v>45</v>
      </c>
      <c r="B4094" t="s">
        <v>8332</v>
      </c>
      <c r="C4094" t="s">
        <v>47</v>
      </c>
      <c r="D4094" t="s">
        <v>9269</v>
      </c>
      <c r="E4094" t="s">
        <v>9269</v>
      </c>
      <c r="F4094" t="s">
        <v>49</v>
      </c>
      <c r="G4094" t="s">
        <v>9270</v>
      </c>
      <c r="H4094" t="s">
        <v>9271</v>
      </c>
      <c r="J4094" t="str">
        <f>HYPERLINK("https://www.facebook.com/454965103328545/videos/3697954183759550?comment_id=1116539039786787","https://www.facebook.com/454965103328545/videos/3697954183759550?comment_id=1116539039786787")</f>
        <v>https://www.facebook.com/454965103328545/videos/3697954183759550?comment_id=1116539039786787</v>
      </c>
      <c r="O4094">
        <v>0</v>
      </c>
      <c r="P4094">
        <v>0</v>
      </c>
      <c r="Q4094">
        <v>0</v>
      </c>
      <c r="S4094">
        <v>0</v>
      </c>
      <c r="T4094">
        <v>0</v>
      </c>
      <c r="U4094">
        <v>0</v>
      </c>
      <c r="W4094" t="s">
        <v>62</v>
      </c>
    </row>
    <row r="4095" spans="1:42" x14ac:dyDescent="0.35">
      <c r="A4095" t="s">
        <v>45</v>
      </c>
      <c r="B4095" t="s">
        <v>8332</v>
      </c>
      <c r="C4095" t="s">
        <v>47</v>
      </c>
      <c r="D4095" t="s">
        <v>6710</v>
      </c>
      <c r="E4095" t="s">
        <v>6710</v>
      </c>
      <c r="F4095" t="s">
        <v>49</v>
      </c>
      <c r="G4095" t="s">
        <v>9272</v>
      </c>
      <c r="H4095" t="s">
        <v>9273</v>
      </c>
      <c r="J4095" t="str">
        <f>HYPERLINK("https://www.facebook.com/357267201017935/inbox/6743898455688079/","https://www.facebook.com/357267201017935/inbox/6743898455688079/")</f>
        <v>https://www.facebook.com/357267201017935/inbox/6743898455688079/</v>
      </c>
      <c r="O4095">
        <v>0</v>
      </c>
      <c r="P4095">
        <v>0</v>
      </c>
      <c r="Q4095">
        <v>0</v>
      </c>
      <c r="S4095">
        <v>0</v>
      </c>
      <c r="T4095">
        <v>0</v>
      </c>
      <c r="U4095">
        <v>0</v>
      </c>
      <c r="W4095" t="s">
        <v>52</v>
      </c>
    </row>
    <row r="4096" spans="1:42" x14ac:dyDescent="0.35">
      <c r="A4096" t="s">
        <v>45</v>
      </c>
      <c r="B4096" t="s">
        <v>8332</v>
      </c>
      <c r="C4096" t="s">
        <v>47</v>
      </c>
      <c r="D4096" t="s">
        <v>9259</v>
      </c>
      <c r="E4096" t="s">
        <v>9259</v>
      </c>
      <c r="F4096" t="s">
        <v>49</v>
      </c>
      <c r="G4096" t="s">
        <v>9260</v>
      </c>
      <c r="H4096" t="s">
        <v>9274</v>
      </c>
      <c r="J4096" t="str">
        <f>HYPERLINK("https://www.facebook.com/454965103328545/videos/3697954183759550?comment_id=402091635544806","https://www.facebook.com/454965103328545/videos/3697954183759550?comment_id=402091635544806")</f>
        <v>https://www.facebook.com/454965103328545/videos/3697954183759550?comment_id=402091635544806</v>
      </c>
      <c r="O4096">
        <v>0</v>
      </c>
      <c r="P4096">
        <v>0</v>
      </c>
      <c r="Q4096">
        <v>0</v>
      </c>
      <c r="S4096">
        <v>0</v>
      </c>
      <c r="T4096">
        <v>0</v>
      </c>
      <c r="U4096">
        <v>0</v>
      </c>
      <c r="W4096" t="s">
        <v>62</v>
      </c>
      <c r="AP4096" t="s">
        <v>101</v>
      </c>
    </row>
    <row r="4097" spans="1:42" x14ac:dyDescent="0.35">
      <c r="A4097" t="s">
        <v>45</v>
      </c>
      <c r="B4097" t="s">
        <v>8332</v>
      </c>
      <c r="C4097" t="s">
        <v>47</v>
      </c>
      <c r="D4097" t="s">
        <v>9042</v>
      </c>
      <c r="E4097" t="s">
        <v>9042</v>
      </c>
      <c r="F4097" t="s">
        <v>49</v>
      </c>
      <c r="G4097" t="s">
        <v>9167</v>
      </c>
      <c r="H4097" t="s">
        <v>9275</v>
      </c>
      <c r="J4097" t="str">
        <f>HYPERLINK("https://www.facebook.com/454965103328545/videos/3697954183759550?comment_id=379006951397776","https://www.facebook.com/454965103328545/videos/3697954183759550?comment_id=379006951397776")</f>
        <v>https://www.facebook.com/454965103328545/videos/3697954183759550?comment_id=379006951397776</v>
      </c>
      <c r="O4097">
        <v>0</v>
      </c>
      <c r="P4097">
        <v>0</v>
      </c>
      <c r="Q4097">
        <v>0</v>
      </c>
      <c r="S4097">
        <v>0</v>
      </c>
      <c r="T4097">
        <v>0</v>
      </c>
      <c r="U4097">
        <v>0</v>
      </c>
      <c r="W4097" t="s">
        <v>62</v>
      </c>
    </row>
    <row r="4098" spans="1:42" x14ac:dyDescent="0.35">
      <c r="A4098" t="s">
        <v>45</v>
      </c>
      <c r="B4098" t="s">
        <v>8332</v>
      </c>
      <c r="C4098" t="s">
        <v>47</v>
      </c>
      <c r="D4098" t="s">
        <v>9259</v>
      </c>
      <c r="E4098" t="s">
        <v>9259</v>
      </c>
      <c r="F4098" t="s">
        <v>49</v>
      </c>
      <c r="G4098" t="s">
        <v>9260</v>
      </c>
      <c r="H4098" t="s">
        <v>9276</v>
      </c>
      <c r="J4098" t="str">
        <f>HYPERLINK("https://www.facebook.com/454965103328545/videos/3697954183759550?comment_id=208452312295577","https://www.facebook.com/454965103328545/videos/3697954183759550?comment_id=208452312295577")</f>
        <v>https://www.facebook.com/454965103328545/videos/3697954183759550?comment_id=208452312295577</v>
      </c>
      <c r="O4098">
        <v>0</v>
      </c>
      <c r="P4098">
        <v>0</v>
      </c>
      <c r="Q4098">
        <v>0</v>
      </c>
      <c r="S4098">
        <v>0</v>
      </c>
      <c r="T4098">
        <v>0</v>
      </c>
      <c r="U4098">
        <v>0</v>
      </c>
      <c r="W4098" t="s">
        <v>62</v>
      </c>
      <c r="AP4098" t="s">
        <v>101</v>
      </c>
    </row>
    <row r="4099" spans="1:42" x14ac:dyDescent="0.35">
      <c r="A4099" t="s">
        <v>45</v>
      </c>
      <c r="B4099" t="s">
        <v>8332</v>
      </c>
      <c r="C4099" t="s">
        <v>47</v>
      </c>
      <c r="D4099" t="s">
        <v>9259</v>
      </c>
      <c r="E4099" t="s">
        <v>9259</v>
      </c>
      <c r="F4099" t="s">
        <v>49</v>
      </c>
      <c r="G4099" t="s">
        <v>9260</v>
      </c>
      <c r="H4099" t="s">
        <v>9277</v>
      </c>
      <c r="J4099" t="str">
        <f>HYPERLINK("https://www.facebook.com/454965103328545/videos/3697954183759550?comment_id=1099034717909457","https://www.facebook.com/454965103328545/videos/3697954183759550?comment_id=1099034717909457")</f>
        <v>https://www.facebook.com/454965103328545/videos/3697954183759550?comment_id=1099034717909457</v>
      </c>
      <c r="O4099">
        <v>0</v>
      </c>
      <c r="P4099">
        <v>0</v>
      </c>
      <c r="Q4099">
        <v>0</v>
      </c>
      <c r="S4099">
        <v>0</v>
      </c>
      <c r="T4099">
        <v>0</v>
      </c>
      <c r="U4099">
        <v>0</v>
      </c>
      <c r="W4099" t="s">
        <v>62</v>
      </c>
      <c r="AP4099" t="s">
        <v>101</v>
      </c>
    </row>
    <row r="4100" spans="1:42" x14ac:dyDescent="0.35">
      <c r="A4100" t="s">
        <v>45</v>
      </c>
      <c r="B4100" t="s">
        <v>8332</v>
      </c>
      <c r="C4100" t="s">
        <v>47</v>
      </c>
      <c r="D4100" t="s">
        <v>9069</v>
      </c>
      <c r="E4100" t="s">
        <v>9069</v>
      </c>
      <c r="F4100" t="s">
        <v>142</v>
      </c>
      <c r="G4100" t="s">
        <v>9278</v>
      </c>
      <c r="H4100" t="s">
        <v>9279</v>
      </c>
      <c r="J4100" t="str">
        <f>HYPERLINK("https://www.facebook.com/454965103328545/videos/3697954183759550?comment_id=781065350573736","https://www.facebook.com/454965103328545/videos/3697954183759550?comment_id=781065350573736")</f>
        <v>https://www.facebook.com/454965103328545/videos/3697954183759550?comment_id=781065350573736</v>
      </c>
      <c r="O4100">
        <v>0</v>
      </c>
      <c r="P4100">
        <v>0</v>
      </c>
      <c r="Q4100">
        <v>0</v>
      </c>
      <c r="S4100">
        <v>0</v>
      </c>
      <c r="T4100">
        <v>0</v>
      </c>
      <c r="U4100">
        <v>0</v>
      </c>
      <c r="W4100" t="s">
        <v>62</v>
      </c>
      <c r="AP4100" t="s">
        <v>147</v>
      </c>
    </row>
    <row r="4101" spans="1:42" x14ac:dyDescent="0.35">
      <c r="A4101" t="s">
        <v>45</v>
      </c>
      <c r="B4101" t="s">
        <v>8332</v>
      </c>
      <c r="C4101" t="s">
        <v>47</v>
      </c>
      <c r="D4101" t="s">
        <v>9259</v>
      </c>
      <c r="E4101" t="s">
        <v>9259</v>
      </c>
      <c r="F4101" t="s">
        <v>49</v>
      </c>
      <c r="G4101" t="s">
        <v>9260</v>
      </c>
      <c r="H4101" t="s">
        <v>9279</v>
      </c>
      <c r="J4101" t="str">
        <f>HYPERLINK("https://www.facebook.com/454965103328545/videos/3697954183759550?comment_id=7254114484669332","https://www.facebook.com/454965103328545/videos/3697954183759550?comment_id=7254114484669332")</f>
        <v>https://www.facebook.com/454965103328545/videos/3697954183759550?comment_id=7254114484669332</v>
      </c>
      <c r="O4101">
        <v>0</v>
      </c>
      <c r="P4101">
        <v>0</v>
      </c>
      <c r="Q4101">
        <v>0</v>
      </c>
      <c r="S4101">
        <v>0</v>
      </c>
      <c r="T4101">
        <v>0</v>
      </c>
      <c r="U4101">
        <v>0</v>
      </c>
      <c r="W4101" t="s">
        <v>62</v>
      </c>
      <c r="AP4101" t="s">
        <v>101</v>
      </c>
    </row>
    <row r="4102" spans="1:42" x14ac:dyDescent="0.35">
      <c r="A4102" t="s">
        <v>45</v>
      </c>
      <c r="B4102" t="s">
        <v>8332</v>
      </c>
      <c r="C4102" t="s">
        <v>47</v>
      </c>
      <c r="D4102" t="s">
        <v>9280</v>
      </c>
      <c r="E4102" t="s">
        <v>9280</v>
      </c>
      <c r="F4102" t="s">
        <v>49</v>
      </c>
      <c r="G4102" t="s">
        <v>9281</v>
      </c>
      <c r="H4102" t="s">
        <v>9282</v>
      </c>
      <c r="J4102" t="str">
        <f>HYPERLINK("https://www.facebook.com/454965103328545/videos/3697954183759550?comment_id=682705873783314","https://www.facebook.com/454965103328545/videos/3697954183759550?comment_id=682705873783314")</f>
        <v>https://www.facebook.com/454965103328545/videos/3697954183759550?comment_id=682705873783314</v>
      </c>
      <c r="O4102">
        <v>0</v>
      </c>
      <c r="P4102">
        <v>0</v>
      </c>
      <c r="Q4102">
        <v>0</v>
      </c>
      <c r="S4102">
        <v>0</v>
      </c>
      <c r="T4102">
        <v>0</v>
      </c>
      <c r="U4102">
        <v>0</v>
      </c>
      <c r="W4102" t="s">
        <v>62</v>
      </c>
    </row>
    <row r="4103" spans="1:42" x14ac:dyDescent="0.35">
      <c r="A4103" t="s">
        <v>45</v>
      </c>
      <c r="B4103" t="s">
        <v>8332</v>
      </c>
      <c r="C4103" t="s">
        <v>47</v>
      </c>
      <c r="D4103" t="s">
        <v>9208</v>
      </c>
      <c r="E4103" t="s">
        <v>9208</v>
      </c>
      <c r="F4103" t="s">
        <v>49</v>
      </c>
      <c r="G4103" t="s">
        <v>9283</v>
      </c>
      <c r="H4103" t="s">
        <v>9282</v>
      </c>
      <c r="J4103" t="str">
        <f>HYPERLINK("https://www.facebook.com/454965103328545/videos/3697954183759550?comment_id=920489385896705","https://www.facebook.com/454965103328545/videos/3697954183759550?comment_id=920489385896705")</f>
        <v>https://www.facebook.com/454965103328545/videos/3697954183759550?comment_id=920489385896705</v>
      </c>
      <c r="O4103">
        <v>0</v>
      </c>
      <c r="P4103">
        <v>0</v>
      </c>
      <c r="Q4103">
        <v>0</v>
      </c>
      <c r="S4103">
        <v>0</v>
      </c>
      <c r="T4103">
        <v>0</v>
      </c>
      <c r="U4103">
        <v>0</v>
      </c>
      <c r="W4103" t="s">
        <v>62</v>
      </c>
    </row>
    <row r="4104" spans="1:42" x14ac:dyDescent="0.35">
      <c r="A4104" t="s">
        <v>45</v>
      </c>
      <c r="B4104" t="s">
        <v>8332</v>
      </c>
      <c r="C4104" t="s">
        <v>47</v>
      </c>
      <c r="D4104" t="s">
        <v>9259</v>
      </c>
      <c r="E4104" t="s">
        <v>9259</v>
      </c>
      <c r="F4104" t="s">
        <v>49</v>
      </c>
      <c r="G4104" t="s">
        <v>9260</v>
      </c>
      <c r="H4104" t="s">
        <v>9284</v>
      </c>
      <c r="J4104" t="str">
        <f>HYPERLINK("https://www.facebook.com/454965103328545/videos/3697954183759550?comment_id=291183027297823","https://www.facebook.com/454965103328545/videos/3697954183759550?comment_id=291183027297823")</f>
        <v>https://www.facebook.com/454965103328545/videos/3697954183759550?comment_id=291183027297823</v>
      </c>
      <c r="O4104">
        <v>0</v>
      </c>
      <c r="P4104">
        <v>0</v>
      </c>
      <c r="Q4104">
        <v>0</v>
      </c>
      <c r="S4104">
        <v>0</v>
      </c>
      <c r="T4104">
        <v>0</v>
      </c>
      <c r="U4104">
        <v>0</v>
      </c>
      <c r="W4104" t="s">
        <v>62</v>
      </c>
      <c r="AP4104" t="s">
        <v>101</v>
      </c>
    </row>
    <row r="4105" spans="1:42" x14ac:dyDescent="0.35">
      <c r="A4105" t="s">
        <v>45</v>
      </c>
      <c r="B4105" t="s">
        <v>8332</v>
      </c>
      <c r="C4105" t="s">
        <v>47</v>
      </c>
      <c r="D4105" t="s">
        <v>9259</v>
      </c>
      <c r="E4105" t="s">
        <v>9259</v>
      </c>
      <c r="F4105" t="s">
        <v>49</v>
      </c>
      <c r="G4105" t="s">
        <v>9260</v>
      </c>
      <c r="H4105" t="s">
        <v>9285</v>
      </c>
      <c r="J4105" t="str">
        <f>HYPERLINK("https://www.facebook.com/454965103328545/videos/3697954183759550?comment_id=692957563026245","https://www.facebook.com/454965103328545/videos/3697954183759550?comment_id=692957563026245")</f>
        <v>https://www.facebook.com/454965103328545/videos/3697954183759550?comment_id=692957563026245</v>
      </c>
      <c r="O4105">
        <v>0</v>
      </c>
      <c r="P4105">
        <v>0</v>
      </c>
      <c r="Q4105">
        <v>0</v>
      </c>
      <c r="S4105">
        <v>0</v>
      </c>
      <c r="T4105">
        <v>0</v>
      </c>
      <c r="U4105">
        <v>0</v>
      </c>
      <c r="W4105" t="s">
        <v>62</v>
      </c>
      <c r="AP4105" t="s">
        <v>101</v>
      </c>
    </row>
    <row r="4106" spans="1:42" x14ac:dyDescent="0.35">
      <c r="A4106" t="s">
        <v>45</v>
      </c>
      <c r="B4106" t="s">
        <v>8332</v>
      </c>
      <c r="C4106" t="s">
        <v>47</v>
      </c>
      <c r="D4106" t="s">
        <v>9259</v>
      </c>
      <c r="E4106" t="s">
        <v>9259</v>
      </c>
      <c r="F4106" t="s">
        <v>49</v>
      </c>
      <c r="G4106" t="s">
        <v>9260</v>
      </c>
      <c r="H4106" t="s">
        <v>9286</v>
      </c>
      <c r="J4106" t="str">
        <f>HYPERLINK("https://www.facebook.com/454965103328545/videos/3697954183759550?comment_id=1065964611308574","https://www.facebook.com/454965103328545/videos/3697954183759550?comment_id=1065964611308574")</f>
        <v>https://www.facebook.com/454965103328545/videos/3697954183759550?comment_id=1065964611308574</v>
      </c>
      <c r="O4106">
        <v>0</v>
      </c>
      <c r="P4106">
        <v>0</v>
      </c>
      <c r="Q4106">
        <v>0</v>
      </c>
      <c r="S4106">
        <v>0</v>
      </c>
      <c r="T4106">
        <v>0</v>
      </c>
      <c r="U4106">
        <v>0</v>
      </c>
      <c r="W4106" t="s">
        <v>62</v>
      </c>
      <c r="AP4106" t="s">
        <v>101</v>
      </c>
    </row>
    <row r="4107" spans="1:42" x14ac:dyDescent="0.35">
      <c r="A4107" t="s">
        <v>45</v>
      </c>
      <c r="B4107" t="s">
        <v>8332</v>
      </c>
      <c r="C4107" t="s">
        <v>47</v>
      </c>
      <c r="D4107" t="s">
        <v>9259</v>
      </c>
      <c r="E4107" t="s">
        <v>9259</v>
      </c>
      <c r="F4107" t="s">
        <v>49</v>
      </c>
      <c r="G4107" t="s">
        <v>9260</v>
      </c>
      <c r="H4107" t="s">
        <v>9287</v>
      </c>
      <c r="J4107" t="str">
        <f>HYPERLINK("https://www.facebook.com/454965103328545/videos/3697954183759550?comment_id=1502398937001883","https://www.facebook.com/454965103328545/videos/3697954183759550?comment_id=1502398937001883")</f>
        <v>https://www.facebook.com/454965103328545/videos/3697954183759550?comment_id=1502398937001883</v>
      </c>
      <c r="O4107">
        <v>0</v>
      </c>
      <c r="P4107">
        <v>0</v>
      </c>
      <c r="Q4107">
        <v>0</v>
      </c>
      <c r="S4107">
        <v>0</v>
      </c>
      <c r="T4107">
        <v>0</v>
      </c>
      <c r="U4107">
        <v>0</v>
      </c>
      <c r="W4107" t="s">
        <v>62</v>
      </c>
    </row>
    <row r="4108" spans="1:42" x14ac:dyDescent="0.35">
      <c r="A4108" t="s">
        <v>45</v>
      </c>
      <c r="B4108" t="s">
        <v>8332</v>
      </c>
      <c r="C4108" t="s">
        <v>47</v>
      </c>
      <c r="D4108" t="s">
        <v>9069</v>
      </c>
      <c r="E4108" t="s">
        <v>9069</v>
      </c>
      <c r="F4108" t="s">
        <v>142</v>
      </c>
      <c r="G4108" t="s">
        <v>9278</v>
      </c>
      <c r="H4108" t="s">
        <v>9287</v>
      </c>
      <c r="J4108" t="str">
        <f>HYPERLINK("https://www.facebook.com/454965103328545/videos/3697954183759550?comment_id=1132813861412414","https://www.facebook.com/454965103328545/videos/3697954183759550?comment_id=1132813861412414")</f>
        <v>https://www.facebook.com/454965103328545/videos/3697954183759550?comment_id=1132813861412414</v>
      </c>
      <c r="O4108">
        <v>0</v>
      </c>
      <c r="P4108">
        <v>0</v>
      </c>
      <c r="Q4108">
        <v>0</v>
      </c>
      <c r="S4108">
        <v>0</v>
      </c>
      <c r="T4108">
        <v>0</v>
      </c>
      <c r="U4108">
        <v>0</v>
      </c>
      <c r="W4108" t="s">
        <v>62</v>
      </c>
    </row>
    <row r="4109" spans="1:42" x14ac:dyDescent="0.35">
      <c r="A4109" t="s">
        <v>45</v>
      </c>
      <c r="B4109" t="s">
        <v>8332</v>
      </c>
      <c r="C4109" t="s">
        <v>47</v>
      </c>
      <c r="D4109" t="s">
        <v>2913</v>
      </c>
      <c r="E4109" t="s">
        <v>2913</v>
      </c>
      <c r="F4109" t="s">
        <v>49</v>
      </c>
      <c r="G4109" t="s">
        <v>9288</v>
      </c>
      <c r="H4109" t="s">
        <v>9287</v>
      </c>
      <c r="J4109" t="str">
        <f>HYPERLINK("https://www.facebook.com/454965103328545/videos/3697954183759550?comment_id=3759382937680976","https://www.facebook.com/454965103328545/videos/3697954183759550?comment_id=3759382937680976")</f>
        <v>https://www.facebook.com/454965103328545/videos/3697954183759550?comment_id=3759382937680976</v>
      </c>
      <c r="O4109">
        <v>0</v>
      </c>
      <c r="P4109">
        <v>0</v>
      </c>
      <c r="Q4109">
        <v>0</v>
      </c>
      <c r="S4109">
        <v>0</v>
      </c>
      <c r="T4109">
        <v>0</v>
      </c>
      <c r="U4109">
        <v>0</v>
      </c>
      <c r="W4109" t="s">
        <v>62</v>
      </c>
    </row>
    <row r="4110" spans="1:42" x14ac:dyDescent="0.35">
      <c r="A4110" t="s">
        <v>45</v>
      </c>
      <c r="B4110" t="s">
        <v>8332</v>
      </c>
      <c r="C4110" t="s">
        <v>47</v>
      </c>
      <c r="D4110" t="s">
        <v>9259</v>
      </c>
      <c r="E4110" t="s">
        <v>9259</v>
      </c>
      <c r="F4110" t="s">
        <v>49</v>
      </c>
      <c r="G4110" t="s">
        <v>9260</v>
      </c>
      <c r="H4110" t="s">
        <v>9289</v>
      </c>
      <c r="J4110" t="str">
        <f>HYPERLINK("https://www.facebook.com/454965103328545/videos/3697954183759550?comment_id=1895115600886510","https://www.facebook.com/454965103328545/videos/3697954183759550?comment_id=1895115600886510")</f>
        <v>https://www.facebook.com/454965103328545/videos/3697954183759550?comment_id=1895115600886510</v>
      </c>
      <c r="O4110">
        <v>0</v>
      </c>
      <c r="P4110">
        <v>0</v>
      </c>
      <c r="Q4110">
        <v>0</v>
      </c>
      <c r="S4110">
        <v>0</v>
      </c>
      <c r="T4110">
        <v>0</v>
      </c>
      <c r="U4110">
        <v>0</v>
      </c>
      <c r="W4110" t="s">
        <v>62</v>
      </c>
    </row>
    <row r="4111" spans="1:42" x14ac:dyDescent="0.35">
      <c r="A4111" t="s">
        <v>45</v>
      </c>
      <c r="B4111" t="s">
        <v>8332</v>
      </c>
      <c r="C4111" t="s">
        <v>47</v>
      </c>
      <c r="D4111" t="s">
        <v>9132</v>
      </c>
      <c r="E4111" t="s">
        <v>9132</v>
      </c>
      <c r="F4111" t="s">
        <v>49</v>
      </c>
      <c r="G4111" t="s">
        <v>9290</v>
      </c>
      <c r="H4111" t="s">
        <v>9291</v>
      </c>
      <c r="J4111" t="str">
        <f>HYPERLINK("https://www.facebook.com/454965103328545/videos/3697954183759550?comment_id=1657503414783510","https://www.facebook.com/454965103328545/videos/3697954183759550?comment_id=1657503414783510")</f>
        <v>https://www.facebook.com/454965103328545/videos/3697954183759550?comment_id=1657503414783510</v>
      </c>
      <c r="O4111">
        <v>0</v>
      </c>
      <c r="P4111">
        <v>0</v>
      </c>
      <c r="Q4111">
        <v>0</v>
      </c>
      <c r="S4111">
        <v>0</v>
      </c>
      <c r="T4111">
        <v>0</v>
      </c>
      <c r="U4111">
        <v>0</v>
      </c>
      <c r="W4111" t="s">
        <v>62</v>
      </c>
    </row>
    <row r="4112" spans="1:42" x14ac:dyDescent="0.35">
      <c r="A4112" t="s">
        <v>45</v>
      </c>
      <c r="B4112" t="s">
        <v>8332</v>
      </c>
      <c r="C4112" t="s">
        <v>47</v>
      </c>
      <c r="D4112" t="s">
        <v>274</v>
      </c>
      <c r="E4112" t="s">
        <v>274</v>
      </c>
      <c r="F4112" t="s">
        <v>142</v>
      </c>
      <c r="G4112" t="s">
        <v>9292</v>
      </c>
      <c r="H4112" t="s">
        <v>9293</v>
      </c>
      <c r="J4112" t="str">
        <f>HYPERLINK("https://www.facebook.com/454965103328545/videos/3697954183759550?comment_id=687099033632314","https://www.facebook.com/454965103328545/videos/3697954183759550?comment_id=687099033632314")</f>
        <v>https://www.facebook.com/454965103328545/videos/3697954183759550?comment_id=687099033632314</v>
      </c>
      <c r="O4112">
        <v>0</v>
      </c>
      <c r="P4112">
        <v>0</v>
      </c>
      <c r="Q4112">
        <v>0</v>
      </c>
      <c r="S4112">
        <v>0</v>
      </c>
      <c r="T4112">
        <v>0</v>
      </c>
      <c r="U4112">
        <v>0</v>
      </c>
      <c r="W4112" t="s">
        <v>62</v>
      </c>
    </row>
    <row r="4113" spans="1:42" x14ac:dyDescent="0.35">
      <c r="A4113" t="s">
        <v>45</v>
      </c>
      <c r="B4113" t="s">
        <v>8332</v>
      </c>
      <c r="C4113" t="s">
        <v>47</v>
      </c>
      <c r="D4113" t="s">
        <v>9069</v>
      </c>
      <c r="E4113" t="s">
        <v>9069</v>
      </c>
      <c r="F4113" t="s">
        <v>142</v>
      </c>
      <c r="G4113" t="s">
        <v>9278</v>
      </c>
      <c r="H4113" t="s">
        <v>9294</v>
      </c>
      <c r="J4113" t="str">
        <f>HYPERLINK("https://www.facebook.com/454965103328545/videos/3697954183759550?comment_id=2094726417577428","https://www.facebook.com/454965103328545/videos/3697954183759550?comment_id=2094726417577428")</f>
        <v>https://www.facebook.com/454965103328545/videos/3697954183759550?comment_id=2094726417577428</v>
      </c>
      <c r="O4113">
        <v>0</v>
      </c>
      <c r="P4113">
        <v>0</v>
      </c>
      <c r="Q4113">
        <v>0</v>
      </c>
      <c r="S4113">
        <v>0</v>
      </c>
      <c r="T4113">
        <v>0</v>
      </c>
      <c r="U4113">
        <v>0</v>
      </c>
      <c r="W4113" t="s">
        <v>62</v>
      </c>
    </row>
    <row r="4114" spans="1:42" x14ac:dyDescent="0.35">
      <c r="A4114" t="s">
        <v>45</v>
      </c>
      <c r="B4114" t="s">
        <v>8332</v>
      </c>
      <c r="C4114" t="s">
        <v>47</v>
      </c>
      <c r="D4114" t="s">
        <v>9259</v>
      </c>
      <c r="E4114" t="s">
        <v>9259</v>
      </c>
      <c r="F4114" t="s">
        <v>49</v>
      </c>
      <c r="G4114" t="s">
        <v>9260</v>
      </c>
      <c r="H4114" t="s">
        <v>9295</v>
      </c>
      <c r="J4114" t="str">
        <f>HYPERLINK("https://www.facebook.com/454965103328545/videos/3697954183759550?comment_id=252592094452274","https://www.facebook.com/454965103328545/videos/3697954183759550?comment_id=252592094452274")</f>
        <v>https://www.facebook.com/454965103328545/videos/3697954183759550?comment_id=252592094452274</v>
      </c>
      <c r="O4114">
        <v>0</v>
      </c>
      <c r="P4114">
        <v>0</v>
      </c>
      <c r="Q4114">
        <v>0</v>
      </c>
      <c r="S4114">
        <v>0</v>
      </c>
      <c r="T4114">
        <v>0</v>
      </c>
      <c r="U4114">
        <v>0</v>
      </c>
      <c r="W4114" t="s">
        <v>62</v>
      </c>
    </row>
    <row r="4115" spans="1:42" x14ac:dyDescent="0.35">
      <c r="A4115" t="s">
        <v>45</v>
      </c>
      <c r="B4115" t="s">
        <v>8332</v>
      </c>
      <c r="C4115" t="s">
        <v>47</v>
      </c>
      <c r="D4115" t="s">
        <v>9259</v>
      </c>
      <c r="E4115" t="s">
        <v>9259</v>
      </c>
      <c r="F4115" t="s">
        <v>49</v>
      </c>
      <c r="G4115" t="s">
        <v>9260</v>
      </c>
      <c r="H4115" t="s">
        <v>9296</v>
      </c>
      <c r="J4115" t="str">
        <f>HYPERLINK("https://www.facebook.com/454965103328545/videos/3697954183759550?comment_id=1449751005578952","https://www.facebook.com/454965103328545/videos/3697954183759550?comment_id=1449751005578952")</f>
        <v>https://www.facebook.com/454965103328545/videos/3697954183759550?comment_id=1449751005578952</v>
      </c>
      <c r="O4115">
        <v>0</v>
      </c>
      <c r="P4115">
        <v>0</v>
      </c>
      <c r="Q4115">
        <v>0</v>
      </c>
      <c r="S4115">
        <v>0</v>
      </c>
      <c r="T4115">
        <v>0</v>
      </c>
      <c r="U4115">
        <v>0</v>
      </c>
      <c r="W4115" t="s">
        <v>62</v>
      </c>
      <c r="AP4115" t="s">
        <v>101</v>
      </c>
    </row>
    <row r="4116" spans="1:42" x14ac:dyDescent="0.35">
      <c r="A4116" t="s">
        <v>45</v>
      </c>
      <c r="B4116" t="s">
        <v>8332</v>
      </c>
      <c r="C4116" t="s">
        <v>47</v>
      </c>
      <c r="D4116" t="s">
        <v>9069</v>
      </c>
      <c r="E4116" t="s">
        <v>9069</v>
      </c>
      <c r="F4116" t="s">
        <v>142</v>
      </c>
      <c r="G4116" t="s">
        <v>9278</v>
      </c>
      <c r="H4116" t="s">
        <v>9297</v>
      </c>
      <c r="J4116" t="str">
        <f>HYPERLINK("https://www.facebook.com/454965103328545/videos/3697954183759550?comment_id=1090806879036633","https://www.facebook.com/454965103328545/videos/3697954183759550?comment_id=1090806879036633")</f>
        <v>https://www.facebook.com/454965103328545/videos/3697954183759550?comment_id=1090806879036633</v>
      </c>
      <c r="O4116">
        <v>0</v>
      </c>
      <c r="P4116">
        <v>0</v>
      </c>
      <c r="Q4116">
        <v>0</v>
      </c>
      <c r="S4116">
        <v>0</v>
      </c>
      <c r="T4116">
        <v>0</v>
      </c>
      <c r="U4116">
        <v>0</v>
      </c>
      <c r="W4116" t="s">
        <v>62</v>
      </c>
      <c r="AP4116" t="s">
        <v>147</v>
      </c>
    </row>
    <row r="4117" spans="1:42" x14ac:dyDescent="0.35">
      <c r="A4117" t="s">
        <v>45</v>
      </c>
      <c r="B4117" t="s">
        <v>8332</v>
      </c>
      <c r="C4117" t="s">
        <v>47</v>
      </c>
      <c r="D4117" t="s">
        <v>9208</v>
      </c>
      <c r="E4117" t="s">
        <v>9208</v>
      </c>
      <c r="F4117" t="s">
        <v>49</v>
      </c>
      <c r="G4117" t="s">
        <v>9298</v>
      </c>
      <c r="H4117" t="s">
        <v>9299</v>
      </c>
      <c r="J4117" t="str">
        <f>HYPERLINK("https://www.facebook.com/454965103328545/videos/3697954183759550?comment_id=402456295609522","https://www.facebook.com/454965103328545/videos/3697954183759550?comment_id=402456295609522")</f>
        <v>https://www.facebook.com/454965103328545/videos/3697954183759550?comment_id=402456295609522</v>
      </c>
      <c r="O4117">
        <v>0</v>
      </c>
      <c r="P4117">
        <v>0</v>
      </c>
      <c r="Q4117">
        <v>0</v>
      </c>
      <c r="S4117">
        <v>0</v>
      </c>
      <c r="T4117">
        <v>0</v>
      </c>
      <c r="U4117">
        <v>0</v>
      </c>
      <c r="W4117" t="s">
        <v>62</v>
      </c>
      <c r="AP4117" t="s">
        <v>94</v>
      </c>
    </row>
    <row r="4118" spans="1:42" x14ac:dyDescent="0.35">
      <c r="A4118" t="s">
        <v>45</v>
      </c>
      <c r="B4118" t="s">
        <v>8332</v>
      </c>
      <c r="C4118" t="s">
        <v>47</v>
      </c>
      <c r="D4118" t="s">
        <v>9259</v>
      </c>
      <c r="E4118" t="s">
        <v>9259</v>
      </c>
      <c r="F4118" t="s">
        <v>49</v>
      </c>
      <c r="G4118" t="s">
        <v>9260</v>
      </c>
      <c r="H4118" t="s">
        <v>9300</v>
      </c>
      <c r="J4118" t="str">
        <f>HYPERLINK("https://www.facebook.com/454965103328545/videos/3697954183759550?comment_id=2621435411358067","https://www.facebook.com/454965103328545/videos/3697954183759550?comment_id=2621435411358067")</f>
        <v>https://www.facebook.com/454965103328545/videos/3697954183759550?comment_id=2621435411358067</v>
      </c>
      <c r="O4118">
        <v>0</v>
      </c>
      <c r="P4118">
        <v>0</v>
      </c>
      <c r="Q4118">
        <v>0</v>
      </c>
      <c r="S4118">
        <v>0</v>
      </c>
      <c r="T4118">
        <v>0</v>
      </c>
      <c r="U4118">
        <v>0</v>
      </c>
      <c r="W4118" t="s">
        <v>62</v>
      </c>
      <c r="AP4118" t="s">
        <v>101</v>
      </c>
    </row>
    <row r="4119" spans="1:42" x14ac:dyDescent="0.35">
      <c r="A4119" t="s">
        <v>45</v>
      </c>
      <c r="B4119" t="s">
        <v>8332</v>
      </c>
      <c r="C4119" t="s">
        <v>47</v>
      </c>
      <c r="D4119" t="s">
        <v>9259</v>
      </c>
      <c r="E4119" t="s">
        <v>9259</v>
      </c>
      <c r="F4119" t="s">
        <v>49</v>
      </c>
      <c r="G4119" t="s">
        <v>9260</v>
      </c>
      <c r="H4119" t="s">
        <v>9301</v>
      </c>
      <c r="J4119" t="str">
        <f>HYPERLINK("https://www.facebook.com/454965103328545/videos/3697954183759550?comment_id=913388180364868","https://www.facebook.com/454965103328545/videos/3697954183759550?comment_id=913388180364868")</f>
        <v>https://www.facebook.com/454965103328545/videos/3697954183759550?comment_id=913388180364868</v>
      </c>
      <c r="O4119">
        <v>0</v>
      </c>
      <c r="P4119">
        <v>0</v>
      </c>
      <c r="Q4119">
        <v>0</v>
      </c>
      <c r="S4119">
        <v>0</v>
      </c>
      <c r="T4119">
        <v>0</v>
      </c>
      <c r="U4119">
        <v>0</v>
      </c>
      <c r="W4119" t="s">
        <v>62</v>
      </c>
      <c r="AP4119" t="s">
        <v>101</v>
      </c>
    </row>
    <row r="4120" spans="1:42" x14ac:dyDescent="0.35">
      <c r="A4120" t="s">
        <v>45</v>
      </c>
      <c r="B4120" t="s">
        <v>8332</v>
      </c>
      <c r="C4120" t="s">
        <v>47</v>
      </c>
      <c r="D4120" t="s">
        <v>9100</v>
      </c>
      <c r="E4120" t="s">
        <v>9100</v>
      </c>
      <c r="F4120" t="s">
        <v>142</v>
      </c>
      <c r="G4120" t="s">
        <v>9302</v>
      </c>
      <c r="H4120" t="s">
        <v>9303</v>
      </c>
      <c r="J4120" t="str">
        <f>HYPERLINK("https://www.facebook.com/454965103328545/videos/3697954183759550?comment_id=363258376639600","https://www.facebook.com/454965103328545/videos/3697954183759550?comment_id=363258376639600")</f>
        <v>https://www.facebook.com/454965103328545/videos/3697954183759550?comment_id=363258376639600</v>
      </c>
      <c r="O4120">
        <v>0</v>
      </c>
      <c r="P4120">
        <v>0</v>
      </c>
      <c r="Q4120">
        <v>0</v>
      </c>
      <c r="S4120">
        <v>0</v>
      </c>
      <c r="T4120">
        <v>0</v>
      </c>
      <c r="U4120">
        <v>0</v>
      </c>
      <c r="W4120" t="s">
        <v>62</v>
      </c>
      <c r="AP4120" t="s">
        <v>147</v>
      </c>
    </row>
    <row r="4121" spans="1:42" x14ac:dyDescent="0.35">
      <c r="A4121" t="s">
        <v>45</v>
      </c>
      <c r="B4121" t="s">
        <v>8332</v>
      </c>
      <c r="C4121" t="s">
        <v>47</v>
      </c>
      <c r="D4121" t="s">
        <v>9259</v>
      </c>
      <c r="E4121" t="s">
        <v>9259</v>
      </c>
      <c r="F4121" t="s">
        <v>49</v>
      </c>
      <c r="G4121" t="s">
        <v>9260</v>
      </c>
      <c r="H4121" t="s">
        <v>9304</v>
      </c>
      <c r="J4121" t="str">
        <f>HYPERLINK("https://www.facebook.com/454965103328545/videos/3697954183759550?comment_id=2035449640175742","https://www.facebook.com/454965103328545/videos/3697954183759550?comment_id=2035449640175742")</f>
        <v>https://www.facebook.com/454965103328545/videos/3697954183759550?comment_id=2035449640175742</v>
      </c>
      <c r="O4121">
        <v>0</v>
      </c>
      <c r="P4121">
        <v>0</v>
      </c>
      <c r="Q4121">
        <v>0</v>
      </c>
      <c r="S4121">
        <v>0</v>
      </c>
      <c r="T4121">
        <v>0</v>
      </c>
      <c r="U4121">
        <v>0</v>
      </c>
      <c r="W4121" t="s">
        <v>62</v>
      </c>
      <c r="AP4121" t="s">
        <v>101</v>
      </c>
    </row>
    <row r="4122" spans="1:42" x14ac:dyDescent="0.35">
      <c r="A4122" t="s">
        <v>45</v>
      </c>
      <c r="B4122" t="s">
        <v>8332</v>
      </c>
      <c r="C4122" t="s">
        <v>47</v>
      </c>
      <c r="D4122" t="s">
        <v>9069</v>
      </c>
      <c r="E4122" t="s">
        <v>9069</v>
      </c>
      <c r="F4122" t="s">
        <v>142</v>
      </c>
      <c r="G4122" t="s">
        <v>9278</v>
      </c>
      <c r="H4122" t="s">
        <v>9305</v>
      </c>
      <c r="J4122" t="str">
        <f>HYPERLINK("https://www.facebook.com/454965103328545/videos/3697954183759550?comment_id=933062585204888","https://www.facebook.com/454965103328545/videos/3697954183759550?comment_id=933062585204888")</f>
        <v>https://www.facebook.com/454965103328545/videos/3697954183759550?comment_id=933062585204888</v>
      </c>
      <c r="O4122">
        <v>0</v>
      </c>
      <c r="P4122">
        <v>0</v>
      </c>
      <c r="Q4122">
        <v>0</v>
      </c>
      <c r="S4122">
        <v>0</v>
      </c>
      <c r="T4122">
        <v>0</v>
      </c>
      <c r="U4122">
        <v>0</v>
      </c>
      <c r="W4122" t="s">
        <v>62</v>
      </c>
      <c r="AP4122" t="s">
        <v>147</v>
      </c>
    </row>
    <row r="4123" spans="1:42" x14ac:dyDescent="0.35">
      <c r="A4123" t="s">
        <v>45</v>
      </c>
      <c r="B4123" t="s">
        <v>8332</v>
      </c>
      <c r="C4123" t="s">
        <v>47</v>
      </c>
      <c r="D4123" t="s">
        <v>9259</v>
      </c>
      <c r="E4123" t="s">
        <v>9259</v>
      </c>
      <c r="F4123" t="s">
        <v>49</v>
      </c>
      <c r="G4123" t="s">
        <v>9260</v>
      </c>
      <c r="H4123" t="s">
        <v>9306</v>
      </c>
      <c r="J4123" t="str">
        <f>HYPERLINK("https://www.facebook.com/454965103328545/videos/3697954183759550?comment_id=1456804481573061","https://www.facebook.com/454965103328545/videos/3697954183759550?comment_id=1456804481573061")</f>
        <v>https://www.facebook.com/454965103328545/videos/3697954183759550?comment_id=1456804481573061</v>
      </c>
      <c r="O4123">
        <v>0</v>
      </c>
      <c r="P4123">
        <v>0</v>
      </c>
      <c r="Q4123">
        <v>0</v>
      </c>
      <c r="S4123">
        <v>0</v>
      </c>
      <c r="T4123">
        <v>0</v>
      </c>
      <c r="U4123">
        <v>0</v>
      </c>
      <c r="W4123" t="s">
        <v>62</v>
      </c>
      <c r="AP4123" t="s">
        <v>101</v>
      </c>
    </row>
    <row r="4124" spans="1:42" x14ac:dyDescent="0.35">
      <c r="A4124" t="s">
        <v>45</v>
      </c>
      <c r="B4124" t="s">
        <v>8332</v>
      </c>
      <c r="C4124" t="s">
        <v>47</v>
      </c>
      <c r="D4124" t="s">
        <v>9135</v>
      </c>
      <c r="E4124" t="s">
        <v>9135</v>
      </c>
      <c r="F4124" t="s">
        <v>49</v>
      </c>
      <c r="G4124" t="s">
        <v>9307</v>
      </c>
      <c r="H4124" t="s">
        <v>9308</v>
      </c>
      <c r="J4124" t="str">
        <f>HYPERLINK("https://www.facebook.com/454965103328545/videos/3697954183759550?comment_id=1690532454803970","https://www.facebook.com/454965103328545/videos/3697954183759550?comment_id=1690532454803970")</f>
        <v>https://www.facebook.com/454965103328545/videos/3697954183759550?comment_id=1690532454803970</v>
      </c>
      <c r="O4124">
        <v>0</v>
      </c>
      <c r="P4124">
        <v>0</v>
      </c>
      <c r="Q4124">
        <v>0</v>
      </c>
      <c r="S4124">
        <v>0</v>
      </c>
      <c r="T4124">
        <v>0</v>
      </c>
      <c r="U4124">
        <v>0</v>
      </c>
      <c r="W4124" t="s">
        <v>62</v>
      </c>
    </row>
    <row r="4125" spans="1:42" x14ac:dyDescent="0.35">
      <c r="A4125" t="s">
        <v>45</v>
      </c>
      <c r="B4125" t="s">
        <v>8332</v>
      </c>
      <c r="C4125" t="s">
        <v>47</v>
      </c>
      <c r="D4125" t="s">
        <v>9259</v>
      </c>
      <c r="E4125" t="s">
        <v>9259</v>
      </c>
      <c r="F4125" t="s">
        <v>49</v>
      </c>
      <c r="G4125" t="s">
        <v>9260</v>
      </c>
      <c r="H4125" t="s">
        <v>9309</v>
      </c>
      <c r="J4125" t="str">
        <f>HYPERLINK("https://www.facebook.com/454965103328545/videos/3697954183759550?comment_id=900405224913786","https://www.facebook.com/454965103328545/videos/3697954183759550?comment_id=900405224913786")</f>
        <v>https://www.facebook.com/454965103328545/videos/3697954183759550?comment_id=900405224913786</v>
      </c>
      <c r="O4125">
        <v>0</v>
      </c>
      <c r="P4125">
        <v>0</v>
      </c>
      <c r="Q4125">
        <v>0</v>
      </c>
      <c r="S4125">
        <v>0</v>
      </c>
      <c r="T4125">
        <v>0</v>
      </c>
      <c r="U4125">
        <v>0</v>
      </c>
      <c r="W4125" t="s">
        <v>62</v>
      </c>
      <c r="AP4125" t="s">
        <v>101</v>
      </c>
    </row>
    <row r="4126" spans="1:42" x14ac:dyDescent="0.35">
      <c r="A4126" t="s">
        <v>45</v>
      </c>
      <c r="B4126" t="s">
        <v>8332</v>
      </c>
      <c r="C4126" t="s">
        <v>47</v>
      </c>
      <c r="D4126" t="s">
        <v>9259</v>
      </c>
      <c r="E4126" t="s">
        <v>9259</v>
      </c>
      <c r="F4126" t="s">
        <v>49</v>
      </c>
      <c r="G4126" t="s">
        <v>9260</v>
      </c>
      <c r="H4126" t="s">
        <v>9310</v>
      </c>
      <c r="J4126" t="str">
        <f>HYPERLINK("https://www.facebook.com/454965103328545/videos/3697954183759550?comment_id=3667510360199970","https://www.facebook.com/454965103328545/videos/3697954183759550?comment_id=3667510360199970")</f>
        <v>https://www.facebook.com/454965103328545/videos/3697954183759550?comment_id=3667510360199970</v>
      </c>
      <c r="O4126">
        <v>0</v>
      </c>
      <c r="P4126">
        <v>0</v>
      </c>
      <c r="Q4126">
        <v>0</v>
      </c>
      <c r="S4126">
        <v>0</v>
      </c>
      <c r="T4126">
        <v>0</v>
      </c>
      <c r="U4126">
        <v>0</v>
      </c>
      <c r="W4126" t="s">
        <v>62</v>
      </c>
    </row>
    <row r="4127" spans="1:42" x14ac:dyDescent="0.35">
      <c r="A4127" t="s">
        <v>45</v>
      </c>
      <c r="B4127" t="s">
        <v>8332</v>
      </c>
      <c r="C4127" t="s">
        <v>47</v>
      </c>
      <c r="D4127" t="s">
        <v>9311</v>
      </c>
      <c r="E4127" t="s">
        <v>9311</v>
      </c>
      <c r="F4127" t="s">
        <v>142</v>
      </c>
      <c r="G4127" t="s">
        <v>9312</v>
      </c>
      <c r="H4127" t="s">
        <v>9313</v>
      </c>
      <c r="J4127" t="str">
        <f>HYPERLINK("https://www.facebook.com/454965103328545/videos/3697954183759550?comment_id=316146471423218","https://www.facebook.com/454965103328545/videos/3697954183759550?comment_id=316146471423218")</f>
        <v>https://www.facebook.com/454965103328545/videos/3697954183759550?comment_id=316146471423218</v>
      </c>
      <c r="O4127">
        <v>0</v>
      </c>
      <c r="P4127">
        <v>0</v>
      </c>
      <c r="Q4127">
        <v>0</v>
      </c>
      <c r="S4127">
        <v>0</v>
      </c>
      <c r="T4127">
        <v>0</v>
      </c>
      <c r="U4127">
        <v>0</v>
      </c>
      <c r="W4127" t="s">
        <v>62</v>
      </c>
    </row>
    <row r="4128" spans="1:42" x14ac:dyDescent="0.35">
      <c r="A4128" t="s">
        <v>45</v>
      </c>
      <c r="B4128" t="s">
        <v>8332</v>
      </c>
      <c r="C4128" t="s">
        <v>47</v>
      </c>
      <c r="D4128" t="s">
        <v>9208</v>
      </c>
      <c r="E4128" t="s">
        <v>9208</v>
      </c>
      <c r="F4128" t="s">
        <v>49</v>
      </c>
      <c r="G4128" t="s">
        <v>9314</v>
      </c>
      <c r="H4128" t="s">
        <v>9315</v>
      </c>
      <c r="J4128" t="str">
        <f>HYPERLINK("https://www.facebook.com/454965103328545/videos/3697954183759550?comment_id=2622931377868514","https://www.facebook.com/454965103328545/videos/3697954183759550?comment_id=2622931377868514")</f>
        <v>https://www.facebook.com/454965103328545/videos/3697954183759550?comment_id=2622931377868514</v>
      </c>
      <c r="O4128">
        <v>0</v>
      </c>
      <c r="P4128">
        <v>0</v>
      </c>
      <c r="Q4128">
        <v>0</v>
      </c>
      <c r="S4128">
        <v>0</v>
      </c>
      <c r="T4128">
        <v>0</v>
      </c>
      <c r="U4128">
        <v>0</v>
      </c>
      <c r="W4128" t="s">
        <v>62</v>
      </c>
    </row>
    <row r="4129" spans="1:42" x14ac:dyDescent="0.35">
      <c r="A4129" t="s">
        <v>45</v>
      </c>
      <c r="B4129" t="s">
        <v>8332</v>
      </c>
      <c r="C4129" t="s">
        <v>47</v>
      </c>
      <c r="D4129" t="s">
        <v>9311</v>
      </c>
      <c r="E4129" t="s">
        <v>9311</v>
      </c>
      <c r="F4129" t="s">
        <v>142</v>
      </c>
      <c r="G4129" t="s">
        <v>9312</v>
      </c>
      <c r="H4129" t="s">
        <v>9316</v>
      </c>
      <c r="J4129" t="str">
        <f>HYPERLINK("https://www.facebook.com/454965103328545/videos/3697954183759550?comment_id=238949155928797","https://www.facebook.com/454965103328545/videos/3697954183759550?comment_id=238949155928797")</f>
        <v>https://www.facebook.com/454965103328545/videos/3697954183759550?comment_id=238949155928797</v>
      </c>
      <c r="O4129">
        <v>0</v>
      </c>
      <c r="P4129">
        <v>0</v>
      </c>
      <c r="Q4129">
        <v>0</v>
      </c>
      <c r="S4129">
        <v>0</v>
      </c>
      <c r="T4129">
        <v>0</v>
      </c>
      <c r="U4129">
        <v>0</v>
      </c>
      <c r="W4129" t="s">
        <v>62</v>
      </c>
    </row>
    <row r="4130" spans="1:42" x14ac:dyDescent="0.35">
      <c r="A4130" t="s">
        <v>45</v>
      </c>
      <c r="B4130" t="s">
        <v>8332</v>
      </c>
      <c r="C4130" t="s">
        <v>47</v>
      </c>
      <c r="D4130" t="s">
        <v>9259</v>
      </c>
      <c r="E4130" t="s">
        <v>9259</v>
      </c>
      <c r="F4130" t="s">
        <v>49</v>
      </c>
      <c r="G4130" t="s">
        <v>9260</v>
      </c>
      <c r="H4130" t="s">
        <v>9317</v>
      </c>
      <c r="J4130" t="str">
        <f>HYPERLINK("https://www.facebook.com/454965103328545/videos/3697954183759550?comment_id=854051316524655","https://www.facebook.com/454965103328545/videos/3697954183759550?comment_id=854051316524655")</f>
        <v>https://www.facebook.com/454965103328545/videos/3697954183759550?comment_id=854051316524655</v>
      </c>
      <c r="O4130">
        <v>0</v>
      </c>
      <c r="P4130">
        <v>0</v>
      </c>
      <c r="Q4130">
        <v>0</v>
      </c>
      <c r="S4130">
        <v>0</v>
      </c>
      <c r="T4130">
        <v>0</v>
      </c>
      <c r="U4130">
        <v>0</v>
      </c>
      <c r="W4130" t="s">
        <v>62</v>
      </c>
      <c r="AP4130" t="s">
        <v>101</v>
      </c>
    </row>
    <row r="4131" spans="1:42" x14ac:dyDescent="0.35">
      <c r="A4131" t="s">
        <v>45</v>
      </c>
      <c r="B4131" t="s">
        <v>8332</v>
      </c>
      <c r="C4131" t="s">
        <v>47</v>
      </c>
      <c r="D4131" t="s">
        <v>1117</v>
      </c>
      <c r="E4131" t="s">
        <v>1117</v>
      </c>
      <c r="F4131" t="s">
        <v>76</v>
      </c>
      <c r="G4131" t="s">
        <v>1118</v>
      </c>
      <c r="H4131" t="s">
        <v>9317</v>
      </c>
      <c r="J4131" t="str">
        <f>HYPERLINK("https://www.facebook.com/357267201017935/inbox/5367043763373562/","https://www.facebook.com/357267201017935/inbox/5367043763373562/")</f>
        <v>https://www.facebook.com/357267201017935/inbox/5367043763373562/</v>
      </c>
      <c r="O4131">
        <v>0</v>
      </c>
      <c r="P4131">
        <v>0</v>
      </c>
      <c r="Q4131">
        <v>0</v>
      </c>
      <c r="S4131">
        <v>0</v>
      </c>
      <c r="T4131">
        <v>0</v>
      </c>
      <c r="U4131">
        <v>0</v>
      </c>
      <c r="W4131" t="s">
        <v>52</v>
      </c>
    </row>
    <row r="4132" spans="1:42" x14ac:dyDescent="0.35">
      <c r="A4132" t="s">
        <v>45</v>
      </c>
      <c r="B4132" t="s">
        <v>8332</v>
      </c>
      <c r="C4132" t="s">
        <v>47</v>
      </c>
      <c r="D4132" t="s">
        <v>9259</v>
      </c>
      <c r="E4132" t="s">
        <v>9259</v>
      </c>
      <c r="F4132" t="s">
        <v>49</v>
      </c>
      <c r="G4132" t="s">
        <v>9260</v>
      </c>
      <c r="H4132" t="s">
        <v>9318</v>
      </c>
      <c r="J4132" t="str">
        <f>HYPERLINK("https://www.facebook.com/454965103328545/videos/3697954183759550?comment_id=922340412954294","https://www.facebook.com/454965103328545/videos/3697954183759550?comment_id=922340412954294")</f>
        <v>https://www.facebook.com/454965103328545/videos/3697954183759550?comment_id=922340412954294</v>
      </c>
      <c r="O4132">
        <v>0</v>
      </c>
      <c r="P4132">
        <v>0</v>
      </c>
      <c r="Q4132">
        <v>0</v>
      </c>
      <c r="S4132">
        <v>0</v>
      </c>
      <c r="T4132">
        <v>0</v>
      </c>
      <c r="U4132">
        <v>0</v>
      </c>
      <c r="W4132" t="s">
        <v>62</v>
      </c>
      <c r="AP4132" t="s">
        <v>101</v>
      </c>
    </row>
    <row r="4133" spans="1:42" x14ac:dyDescent="0.35">
      <c r="A4133" t="s">
        <v>45</v>
      </c>
      <c r="B4133" t="s">
        <v>8332</v>
      </c>
      <c r="C4133" t="s">
        <v>47</v>
      </c>
      <c r="D4133" t="s">
        <v>9259</v>
      </c>
      <c r="E4133" t="s">
        <v>9259</v>
      </c>
      <c r="F4133" t="s">
        <v>49</v>
      </c>
      <c r="G4133" t="s">
        <v>9260</v>
      </c>
      <c r="H4133" t="s">
        <v>9319</v>
      </c>
      <c r="J4133" t="str">
        <f>HYPERLINK("https://www.facebook.com/454965103328545/videos/3697954183759550?comment_id=2402262709960116","https://www.facebook.com/454965103328545/videos/3697954183759550?comment_id=2402262709960116")</f>
        <v>https://www.facebook.com/454965103328545/videos/3697954183759550?comment_id=2402262709960116</v>
      </c>
      <c r="O4133">
        <v>0</v>
      </c>
      <c r="P4133">
        <v>0</v>
      </c>
      <c r="Q4133">
        <v>0</v>
      </c>
      <c r="S4133">
        <v>0</v>
      </c>
      <c r="T4133">
        <v>0</v>
      </c>
      <c r="U4133">
        <v>0</v>
      </c>
      <c r="W4133" t="s">
        <v>62</v>
      </c>
      <c r="AP4133" t="s">
        <v>101</v>
      </c>
    </row>
    <row r="4134" spans="1:42" x14ac:dyDescent="0.35">
      <c r="A4134" t="s">
        <v>45</v>
      </c>
      <c r="B4134" t="s">
        <v>8332</v>
      </c>
      <c r="C4134" t="s">
        <v>47</v>
      </c>
      <c r="D4134" t="s">
        <v>9320</v>
      </c>
      <c r="E4134" t="s">
        <v>9320</v>
      </c>
      <c r="F4134" t="s">
        <v>49</v>
      </c>
      <c r="G4134" t="s">
        <v>459</v>
      </c>
      <c r="H4134" t="s">
        <v>9321</v>
      </c>
      <c r="J4134" t="str">
        <f>HYPERLINK("https://www.facebook.com/454965103328545/videos/3697954183759550?comment_id=1584238695725028","https://www.facebook.com/454965103328545/videos/3697954183759550?comment_id=1584238695725028")</f>
        <v>https://www.facebook.com/454965103328545/videos/3697954183759550?comment_id=1584238695725028</v>
      </c>
      <c r="O4134">
        <v>0</v>
      </c>
      <c r="P4134">
        <v>0</v>
      </c>
      <c r="Q4134">
        <v>0</v>
      </c>
      <c r="S4134">
        <v>0</v>
      </c>
      <c r="T4134">
        <v>0</v>
      </c>
      <c r="U4134">
        <v>0</v>
      </c>
      <c r="W4134" t="s">
        <v>62</v>
      </c>
    </row>
    <row r="4135" spans="1:42" x14ac:dyDescent="0.35">
      <c r="A4135" t="s">
        <v>45</v>
      </c>
      <c r="B4135" t="s">
        <v>8332</v>
      </c>
      <c r="C4135" t="s">
        <v>47</v>
      </c>
      <c r="D4135" t="s">
        <v>9311</v>
      </c>
      <c r="E4135" t="s">
        <v>9311</v>
      </c>
      <c r="F4135" t="s">
        <v>142</v>
      </c>
      <c r="G4135" t="s">
        <v>9312</v>
      </c>
      <c r="H4135" t="s">
        <v>9322</v>
      </c>
      <c r="J4135" t="str">
        <f>HYPERLINK("https://www.facebook.com/454965103328545/videos/3697954183759550?comment_id=949025633324522","https://www.facebook.com/454965103328545/videos/3697954183759550?comment_id=949025633324522")</f>
        <v>https://www.facebook.com/454965103328545/videos/3697954183759550?comment_id=949025633324522</v>
      </c>
      <c r="O4135">
        <v>0</v>
      </c>
      <c r="P4135">
        <v>0</v>
      </c>
      <c r="Q4135">
        <v>0</v>
      </c>
      <c r="S4135">
        <v>0</v>
      </c>
      <c r="T4135">
        <v>0</v>
      </c>
      <c r="U4135">
        <v>0</v>
      </c>
      <c r="W4135" t="s">
        <v>62</v>
      </c>
    </row>
    <row r="4136" spans="1:42" x14ac:dyDescent="0.35">
      <c r="A4136" t="s">
        <v>45</v>
      </c>
      <c r="B4136" t="s">
        <v>8332</v>
      </c>
      <c r="C4136" t="s">
        <v>47</v>
      </c>
      <c r="D4136" t="s">
        <v>9211</v>
      </c>
      <c r="E4136" t="s">
        <v>9211</v>
      </c>
      <c r="F4136" t="s">
        <v>49</v>
      </c>
      <c r="G4136" t="s">
        <v>9323</v>
      </c>
      <c r="H4136" t="s">
        <v>9322</v>
      </c>
      <c r="J4136" t="str">
        <f>HYPERLINK("https://www.facebook.com/454965103328545/videos/3697954183759550?comment_id=734652188613311","https://www.facebook.com/454965103328545/videos/3697954183759550?comment_id=734652188613311")</f>
        <v>https://www.facebook.com/454965103328545/videos/3697954183759550?comment_id=734652188613311</v>
      </c>
      <c r="O4136">
        <v>0</v>
      </c>
      <c r="P4136">
        <v>0</v>
      </c>
      <c r="Q4136">
        <v>0</v>
      </c>
      <c r="S4136">
        <v>0</v>
      </c>
      <c r="T4136">
        <v>0</v>
      </c>
      <c r="U4136">
        <v>0</v>
      </c>
      <c r="W4136" t="s">
        <v>62</v>
      </c>
      <c r="AP4136" t="s">
        <v>101</v>
      </c>
    </row>
    <row r="4137" spans="1:42" x14ac:dyDescent="0.35">
      <c r="A4137" t="s">
        <v>45</v>
      </c>
      <c r="B4137" t="s">
        <v>8332</v>
      </c>
      <c r="C4137" t="s">
        <v>47</v>
      </c>
      <c r="D4137" t="s">
        <v>9311</v>
      </c>
      <c r="E4137" t="s">
        <v>9311</v>
      </c>
      <c r="F4137" t="s">
        <v>142</v>
      </c>
      <c r="G4137" t="s">
        <v>9312</v>
      </c>
      <c r="H4137" t="s">
        <v>9324</v>
      </c>
      <c r="J4137" t="str">
        <f>HYPERLINK("https://www.facebook.com/454965103328545/videos/3697954183759550?comment_id=410571298209825","https://www.facebook.com/454965103328545/videos/3697954183759550?comment_id=410571298209825")</f>
        <v>https://www.facebook.com/454965103328545/videos/3697954183759550?comment_id=410571298209825</v>
      </c>
      <c r="O4137">
        <v>0</v>
      </c>
      <c r="P4137">
        <v>0</v>
      </c>
      <c r="Q4137">
        <v>0</v>
      </c>
      <c r="S4137">
        <v>0</v>
      </c>
      <c r="T4137">
        <v>0</v>
      </c>
      <c r="U4137">
        <v>0</v>
      </c>
      <c r="W4137" t="s">
        <v>62</v>
      </c>
    </row>
    <row r="4138" spans="1:42" x14ac:dyDescent="0.35">
      <c r="A4138" t="s">
        <v>45</v>
      </c>
      <c r="B4138" t="s">
        <v>8332</v>
      </c>
      <c r="C4138" t="s">
        <v>47</v>
      </c>
      <c r="D4138" t="s">
        <v>1987</v>
      </c>
      <c r="E4138" t="s">
        <v>1987</v>
      </c>
      <c r="F4138" t="s">
        <v>142</v>
      </c>
      <c r="G4138" t="s">
        <v>9325</v>
      </c>
      <c r="H4138" t="s">
        <v>9326</v>
      </c>
      <c r="J4138" t="str">
        <f>HYPERLINK("https://www.facebook.com/454965103328545/videos/3697954183759550?comment_id=1313701539340094","https://www.facebook.com/454965103328545/videos/3697954183759550?comment_id=1313701539340094")</f>
        <v>https://www.facebook.com/454965103328545/videos/3697954183759550?comment_id=1313701539340094</v>
      </c>
      <c r="O4138">
        <v>0</v>
      </c>
      <c r="P4138">
        <v>0</v>
      </c>
      <c r="Q4138">
        <v>0</v>
      </c>
      <c r="S4138">
        <v>0</v>
      </c>
      <c r="T4138">
        <v>0</v>
      </c>
      <c r="U4138">
        <v>0</v>
      </c>
      <c r="W4138" t="s">
        <v>62</v>
      </c>
      <c r="AP4138" t="s">
        <v>147</v>
      </c>
    </row>
    <row r="4139" spans="1:42" x14ac:dyDescent="0.35">
      <c r="A4139" t="s">
        <v>45</v>
      </c>
      <c r="B4139" t="s">
        <v>8332</v>
      </c>
      <c r="C4139" t="s">
        <v>47</v>
      </c>
      <c r="D4139" t="s">
        <v>9311</v>
      </c>
      <c r="E4139" t="s">
        <v>9311</v>
      </c>
      <c r="F4139" t="s">
        <v>142</v>
      </c>
      <c r="G4139" t="s">
        <v>9312</v>
      </c>
      <c r="H4139" t="s">
        <v>9327</v>
      </c>
      <c r="J4139" t="str">
        <f>HYPERLINK("https://www.facebook.com/454965103328545/videos/3697954183759550?comment_id=770979691746971","https://www.facebook.com/454965103328545/videos/3697954183759550?comment_id=770979691746971")</f>
        <v>https://www.facebook.com/454965103328545/videos/3697954183759550?comment_id=770979691746971</v>
      </c>
      <c r="O4139">
        <v>0</v>
      </c>
      <c r="P4139">
        <v>0</v>
      </c>
      <c r="Q4139">
        <v>0</v>
      </c>
      <c r="S4139">
        <v>0</v>
      </c>
      <c r="T4139">
        <v>0</v>
      </c>
      <c r="U4139">
        <v>0</v>
      </c>
      <c r="W4139" t="s">
        <v>62</v>
      </c>
    </row>
    <row r="4140" spans="1:42" x14ac:dyDescent="0.35">
      <c r="A4140" t="s">
        <v>45</v>
      </c>
      <c r="B4140" t="s">
        <v>8332</v>
      </c>
      <c r="C4140" t="s">
        <v>47</v>
      </c>
      <c r="D4140" t="s">
        <v>9259</v>
      </c>
      <c r="E4140" t="s">
        <v>9259</v>
      </c>
      <c r="F4140" t="s">
        <v>49</v>
      </c>
      <c r="G4140" t="s">
        <v>9260</v>
      </c>
      <c r="H4140" t="s">
        <v>9328</v>
      </c>
      <c r="J4140" t="str">
        <f>HYPERLINK("https://www.facebook.com/454965103328545/videos/3697954183759550?comment_id=356883270526858","https://www.facebook.com/454965103328545/videos/3697954183759550?comment_id=356883270526858")</f>
        <v>https://www.facebook.com/454965103328545/videos/3697954183759550?comment_id=356883270526858</v>
      </c>
      <c r="O4140">
        <v>0</v>
      </c>
      <c r="P4140">
        <v>0</v>
      </c>
      <c r="Q4140">
        <v>0</v>
      </c>
      <c r="S4140">
        <v>0</v>
      </c>
      <c r="T4140">
        <v>0</v>
      </c>
      <c r="U4140">
        <v>0</v>
      </c>
      <c r="W4140" t="s">
        <v>62</v>
      </c>
    </row>
    <row r="4141" spans="1:42" x14ac:dyDescent="0.35">
      <c r="A4141" t="s">
        <v>45</v>
      </c>
      <c r="B4141" t="s">
        <v>8332</v>
      </c>
      <c r="C4141" t="s">
        <v>47</v>
      </c>
      <c r="D4141" t="s">
        <v>9259</v>
      </c>
      <c r="E4141" t="s">
        <v>9259</v>
      </c>
      <c r="F4141" t="s">
        <v>49</v>
      </c>
      <c r="G4141" t="s">
        <v>9260</v>
      </c>
      <c r="H4141" t="s">
        <v>9329</v>
      </c>
      <c r="J4141" t="str">
        <f>HYPERLINK("https://www.facebook.com/454965103328545/videos/3697954183759550?comment_id=1726465371210714","https://www.facebook.com/454965103328545/videos/3697954183759550?comment_id=1726465371210714")</f>
        <v>https://www.facebook.com/454965103328545/videos/3697954183759550?comment_id=1726465371210714</v>
      </c>
      <c r="O4141">
        <v>0</v>
      </c>
      <c r="P4141">
        <v>0</v>
      </c>
      <c r="Q4141">
        <v>0</v>
      </c>
      <c r="S4141">
        <v>0</v>
      </c>
      <c r="T4141">
        <v>0</v>
      </c>
      <c r="U4141">
        <v>0</v>
      </c>
      <c r="W4141" t="s">
        <v>62</v>
      </c>
      <c r="AP4141" t="s">
        <v>101</v>
      </c>
    </row>
    <row r="4142" spans="1:42" x14ac:dyDescent="0.35">
      <c r="A4142" t="s">
        <v>45</v>
      </c>
      <c r="B4142" t="s">
        <v>8332</v>
      </c>
      <c r="C4142" t="s">
        <v>47</v>
      </c>
      <c r="D4142" t="s">
        <v>9330</v>
      </c>
      <c r="E4142" t="s">
        <v>9330</v>
      </c>
      <c r="F4142" t="s">
        <v>49</v>
      </c>
      <c r="G4142" t="s">
        <v>9331</v>
      </c>
      <c r="H4142" t="s">
        <v>9332</v>
      </c>
      <c r="J4142" t="str">
        <f>HYPERLINK("https://www.facebook.com/454965103328545/videos/3697954183759550?comment_id=358273730489035","https://www.facebook.com/454965103328545/videos/3697954183759550?comment_id=358273730489035")</f>
        <v>https://www.facebook.com/454965103328545/videos/3697954183759550?comment_id=358273730489035</v>
      </c>
      <c r="O4142">
        <v>0</v>
      </c>
      <c r="P4142">
        <v>0</v>
      </c>
      <c r="Q4142">
        <v>0</v>
      </c>
      <c r="S4142">
        <v>0</v>
      </c>
      <c r="T4142">
        <v>0</v>
      </c>
      <c r="U4142">
        <v>0</v>
      </c>
      <c r="W4142" t="s">
        <v>62</v>
      </c>
    </row>
    <row r="4143" spans="1:42" x14ac:dyDescent="0.35">
      <c r="A4143" t="s">
        <v>45</v>
      </c>
      <c r="B4143" t="s">
        <v>8332</v>
      </c>
      <c r="C4143" t="s">
        <v>47</v>
      </c>
      <c r="D4143" t="s">
        <v>9259</v>
      </c>
      <c r="E4143" t="s">
        <v>9259</v>
      </c>
      <c r="F4143" t="s">
        <v>49</v>
      </c>
      <c r="G4143" t="s">
        <v>9333</v>
      </c>
      <c r="H4143" t="s">
        <v>9334</v>
      </c>
      <c r="J4143" t="str">
        <f>HYPERLINK("https://www.facebook.com/454965103328545/videos/3697954183759550?comment_id=2351159138421079","https://www.facebook.com/454965103328545/videos/3697954183759550?comment_id=2351159138421079")</f>
        <v>https://www.facebook.com/454965103328545/videos/3697954183759550?comment_id=2351159138421079</v>
      </c>
      <c r="O4143">
        <v>0</v>
      </c>
      <c r="P4143">
        <v>0</v>
      </c>
      <c r="Q4143">
        <v>0</v>
      </c>
      <c r="S4143">
        <v>0</v>
      </c>
      <c r="T4143">
        <v>0</v>
      </c>
      <c r="U4143">
        <v>0</v>
      </c>
      <c r="W4143" t="s">
        <v>62</v>
      </c>
      <c r="AP4143" t="s">
        <v>101</v>
      </c>
    </row>
    <row r="4144" spans="1:42" x14ac:dyDescent="0.35">
      <c r="A4144" t="s">
        <v>45</v>
      </c>
      <c r="B4144" t="s">
        <v>8332</v>
      </c>
      <c r="C4144" t="s">
        <v>47</v>
      </c>
      <c r="D4144" t="s">
        <v>9259</v>
      </c>
      <c r="E4144" t="s">
        <v>9259</v>
      </c>
      <c r="F4144" t="s">
        <v>49</v>
      </c>
      <c r="G4144" t="s">
        <v>9333</v>
      </c>
      <c r="H4144" t="s">
        <v>9335</v>
      </c>
      <c r="J4144" t="str">
        <f>HYPERLINK("https://www.facebook.com/454965103328545/videos/3697954183759550?comment_id=902923974625674","https://www.facebook.com/454965103328545/videos/3697954183759550?comment_id=902923974625674")</f>
        <v>https://www.facebook.com/454965103328545/videos/3697954183759550?comment_id=902923974625674</v>
      </c>
      <c r="O4144">
        <v>0</v>
      </c>
      <c r="P4144">
        <v>0</v>
      </c>
      <c r="Q4144">
        <v>0</v>
      </c>
      <c r="S4144">
        <v>0</v>
      </c>
      <c r="T4144">
        <v>0</v>
      </c>
      <c r="U4144">
        <v>0</v>
      </c>
      <c r="W4144" t="s">
        <v>62</v>
      </c>
      <c r="AP4144" t="s">
        <v>101</v>
      </c>
    </row>
    <row r="4145" spans="1:42" x14ac:dyDescent="0.35">
      <c r="A4145" t="s">
        <v>45</v>
      </c>
      <c r="B4145" t="s">
        <v>8332</v>
      </c>
      <c r="C4145" t="s">
        <v>47</v>
      </c>
      <c r="D4145" t="s">
        <v>9259</v>
      </c>
      <c r="E4145" t="s">
        <v>9259</v>
      </c>
      <c r="F4145" t="s">
        <v>49</v>
      </c>
      <c r="G4145" t="s">
        <v>9333</v>
      </c>
      <c r="H4145" t="s">
        <v>9336</v>
      </c>
      <c r="J4145" t="str">
        <f>HYPERLINK("https://www.facebook.com/454965103328545/videos/3697954183759550?comment_id=2240834096124717","https://www.facebook.com/454965103328545/videos/3697954183759550?comment_id=2240834096124717")</f>
        <v>https://www.facebook.com/454965103328545/videos/3697954183759550?comment_id=2240834096124717</v>
      </c>
      <c r="O4145">
        <v>0</v>
      </c>
      <c r="P4145">
        <v>0</v>
      </c>
      <c r="Q4145">
        <v>0</v>
      </c>
      <c r="S4145">
        <v>0</v>
      </c>
      <c r="T4145">
        <v>0</v>
      </c>
      <c r="U4145">
        <v>0</v>
      </c>
      <c r="W4145" t="s">
        <v>62</v>
      </c>
      <c r="AP4145" t="s">
        <v>101</v>
      </c>
    </row>
    <row r="4146" spans="1:42" x14ac:dyDescent="0.35">
      <c r="A4146" t="s">
        <v>45</v>
      </c>
      <c r="B4146" t="s">
        <v>8332</v>
      </c>
      <c r="C4146" t="s">
        <v>47</v>
      </c>
      <c r="D4146" t="s">
        <v>9259</v>
      </c>
      <c r="E4146" t="s">
        <v>9259</v>
      </c>
      <c r="F4146" t="s">
        <v>49</v>
      </c>
      <c r="G4146" t="s">
        <v>9333</v>
      </c>
      <c r="H4146" t="s">
        <v>9337</v>
      </c>
      <c r="J4146" t="str">
        <f>HYPERLINK("https://www.facebook.com/454965103328545/videos/3697954183759550?comment_id=757009409673867","https://www.facebook.com/454965103328545/videos/3697954183759550?comment_id=757009409673867")</f>
        <v>https://www.facebook.com/454965103328545/videos/3697954183759550?comment_id=757009409673867</v>
      </c>
      <c r="O4146">
        <v>0</v>
      </c>
      <c r="P4146">
        <v>0</v>
      </c>
      <c r="Q4146">
        <v>0</v>
      </c>
      <c r="S4146">
        <v>0</v>
      </c>
      <c r="T4146">
        <v>0</v>
      </c>
      <c r="U4146">
        <v>0</v>
      </c>
      <c r="W4146" t="s">
        <v>62</v>
      </c>
      <c r="AP4146" t="s">
        <v>101</v>
      </c>
    </row>
    <row r="4147" spans="1:42" x14ac:dyDescent="0.35">
      <c r="A4147" t="s">
        <v>45</v>
      </c>
      <c r="B4147" t="s">
        <v>8332</v>
      </c>
      <c r="C4147" t="s">
        <v>47</v>
      </c>
      <c r="D4147" t="s">
        <v>9259</v>
      </c>
      <c r="E4147" t="s">
        <v>9259</v>
      </c>
      <c r="F4147" t="s">
        <v>49</v>
      </c>
      <c r="G4147" t="s">
        <v>9333</v>
      </c>
      <c r="H4147" t="s">
        <v>9338</v>
      </c>
      <c r="J4147" t="str">
        <f>HYPERLINK("https://www.facebook.com/454965103328545/videos/3697954183759550?comment_id=274755975428547","https://www.facebook.com/454965103328545/videos/3697954183759550?comment_id=274755975428547")</f>
        <v>https://www.facebook.com/454965103328545/videos/3697954183759550?comment_id=274755975428547</v>
      </c>
      <c r="O4147">
        <v>0</v>
      </c>
      <c r="P4147">
        <v>0</v>
      </c>
      <c r="Q4147">
        <v>0</v>
      </c>
      <c r="S4147">
        <v>0</v>
      </c>
      <c r="T4147">
        <v>0</v>
      </c>
      <c r="U4147">
        <v>0</v>
      </c>
      <c r="W4147" t="s">
        <v>62</v>
      </c>
      <c r="AP4147" t="s">
        <v>101</v>
      </c>
    </row>
    <row r="4148" spans="1:42" x14ac:dyDescent="0.35">
      <c r="A4148" t="s">
        <v>45</v>
      </c>
      <c r="B4148" t="s">
        <v>8332</v>
      </c>
      <c r="C4148" t="s">
        <v>47</v>
      </c>
      <c r="D4148" t="s">
        <v>9259</v>
      </c>
      <c r="E4148" t="s">
        <v>9259</v>
      </c>
      <c r="F4148" t="s">
        <v>49</v>
      </c>
      <c r="G4148" t="s">
        <v>9333</v>
      </c>
      <c r="H4148" t="s">
        <v>9339</v>
      </c>
      <c r="J4148" t="str">
        <f>HYPERLINK("https://www.facebook.com/454965103328545/videos/3697954183759550?comment_id=1115561739882163","https://www.facebook.com/454965103328545/videos/3697954183759550?comment_id=1115561739882163")</f>
        <v>https://www.facebook.com/454965103328545/videos/3697954183759550?comment_id=1115561739882163</v>
      </c>
      <c r="O4148">
        <v>0</v>
      </c>
      <c r="P4148">
        <v>0</v>
      </c>
      <c r="Q4148">
        <v>0</v>
      </c>
      <c r="S4148">
        <v>0</v>
      </c>
      <c r="T4148">
        <v>0</v>
      </c>
      <c r="U4148">
        <v>0</v>
      </c>
      <c r="W4148" t="s">
        <v>62</v>
      </c>
      <c r="AP4148" t="s">
        <v>101</v>
      </c>
    </row>
    <row r="4149" spans="1:42" x14ac:dyDescent="0.35">
      <c r="A4149" t="s">
        <v>45</v>
      </c>
      <c r="B4149" t="s">
        <v>8332</v>
      </c>
      <c r="C4149" t="s">
        <v>47</v>
      </c>
      <c r="D4149" t="s">
        <v>9311</v>
      </c>
      <c r="E4149" t="s">
        <v>9311</v>
      </c>
      <c r="F4149" t="s">
        <v>142</v>
      </c>
      <c r="G4149" t="s">
        <v>9312</v>
      </c>
      <c r="H4149" t="s">
        <v>9340</v>
      </c>
      <c r="J4149" t="str">
        <f>HYPERLINK("https://www.facebook.com/454965103328545/videos/3697954183759550?comment_id=920441809696683","https://www.facebook.com/454965103328545/videos/3697954183759550?comment_id=920441809696683")</f>
        <v>https://www.facebook.com/454965103328545/videos/3697954183759550?comment_id=920441809696683</v>
      </c>
      <c r="O4149">
        <v>0</v>
      </c>
      <c r="P4149">
        <v>0</v>
      </c>
      <c r="Q4149">
        <v>0</v>
      </c>
      <c r="S4149">
        <v>0</v>
      </c>
      <c r="T4149">
        <v>0</v>
      </c>
      <c r="U4149">
        <v>0</v>
      </c>
      <c r="W4149" t="s">
        <v>62</v>
      </c>
    </row>
    <row r="4150" spans="1:42" x14ac:dyDescent="0.35">
      <c r="A4150" t="s">
        <v>45</v>
      </c>
      <c r="B4150" t="s">
        <v>8332</v>
      </c>
      <c r="C4150" t="s">
        <v>47</v>
      </c>
      <c r="D4150" t="s">
        <v>9341</v>
      </c>
      <c r="E4150" t="s">
        <v>9341</v>
      </c>
      <c r="F4150" t="s">
        <v>49</v>
      </c>
      <c r="G4150" t="s">
        <v>459</v>
      </c>
      <c r="H4150" t="s">
        <v>9342</v>
      </c>
      <c r="J4150" t="str">
        <f>HYPERLINK("https://www.facebook.com/454965103328545/videos/3697954183759550?comment_id=910463047273329","https://www.facebook.com/454965103328545/videos/3697954183759550?comment_id=910463047273329")</f>
        <v>https://www.facebook.com/454965103328545/videos/3697954183759550?comment_id=910463047273329</v>
      </c>
      <c r="O4150">
        <v>0</v>
      </c>
      <c r="P4150">
        <v>0</v>
      </c>
      <c r="Q4150">
        <v>0</v>
      </c>
      <c r="S4150">
        <v>0</v>
      </c>
      <c r="T4150">
        <v>0</v>
      </c>
      <c r="U4150">
        <v>0</v>
      </c>
      <c r="W4150" t="s">
        <v>62</v>
      </c>
    </row>
    <row r="4151" spans="1:42" x14ac:dyDescent="0.35">
      <c r="A4151" t="s">
        <v>45</v>
      </c>
      <c r="B4151" t="s">
        <v>8332</v>
      </c>
      <c r="C4151" t="s">
        <v>47</v>
      </c>
      <c r="D4151" t="s">
        <v>9343</v>
      </c>
      <c r="E4151" t="s">
        <v>9343</v>
      </c>
      <c r="F4151" t="s">
        <v>49</v>
      </c>
      <c r="G4151" t="s">
        <v>9344</v>
      </c>
      <c r="H4151" t="s">
        <v>9345</v>
      </c>
      <c r="J4151" t="str">
        <f>HYPERLINK("https://www.facebook.com/454965103328545/videos/3697954183759550?comment_id=762988882552300","https://www.facebook.com/454965103328545/videos/3697954183759550?comment_id=762988882552300")</f>
        <v>https://www.facebook.com/454965103328545/videos/3697954183759550?comment_id=762988882552300</v>
      </c>
      <c r="O4151">
        <v>0</v>
      </c>
      <c r="P4151">
        <v>0</v>
      </c>
      <c r="Q4151">
        <v>0</v>
      </c>
      <c r="S4151">
        <v>0</v>
      </c>
      <c r="T4151">
        <v>0</v>
      </c>
      <c r="U4151">
        <v>0</v>
      </c>
      <c r="W4151" t="s">
        <v>62</v>
      </c>
    </row>
    <row r="4152" spans="1:42" x14ac:dyDescent="0.35">
      <c r="A4152" t="s">
        <v>45</v>
      </c>
      <c r="B4152" t="s">
        <v>8332</v>
      </c>
      <c r="C4152" t="s">
        <v>47</v>
      </c>
      <c r="D4152" t="s">
        <v>9311</v>
      </c>
      <c r="E4152" t="s">
        <v>9311</v>
      </c>
      <c r="F4152" t="s">
        <v>142</v>
      </c>
      <c r="G4152" t="s">
        <v>9312</v>
      </c>
      <c r="H4152" t="s">
        <v>9346</v>
      </c>
      <c r="J4152" t="str">
        <f>HYPERLINK("https://www.facebook.com/454965103328545/videos/3697954183759550?comment_id=2391259397877853","https://www.facebook.com/454965103328545/videos/3697954183759550?comment_id=2391259397877853")</f>
        <v>https://www.facebook.com/454965103328545/videos/3697954183759550?comment_id=2391259397877853</v>
      </c>
      <c r="O4152">
        <v>0</v>
      </c>
      <c r="P4152">
        <v>0</v>
      </c>
      <c r="Q4152">
        <v>0</v>
      </c>
      <c r="S4152">
        <v>0</v>
      </c>
      <c r="T4152">
        <v>0</v>
      </c>
      <c r="U4152">
        <v>0</v>
      </c>
      <c r="W4152" t="s">
        <v>62</v>
      </c>
    </row>
    <row r="4153" spans="1:42" x14ac:dyDescent="0.35">
      <c r="A4153" t="s">
        <v>45</v>
      </c>
      <c r="B4153" t="s">
        <v>8332</v>
      </c>
      <c r="C4153" t="s">
        <v>47</v>
      </c>
      <c r="D4153" t="s">
        <v>9050</v>
      </c>
      <c r="E4153" t="s">
        <v>9050</v>
      </c>
      <c r="F4153" t="s">
        <v>49</v>
      </c>
      <c r="G4153" t="s">
        <v>9347</v>
      </c>
      <c r="H4153" t="s">
        <v>9348</v>
      </c>
      <c r="J4153" t="str">
        <f>HYPERLINK("https://www.facebook.com/454965103328545/videos/3697954183759550?comment_id=406899965205779","https://www.facebook.com/454965103328545/videos/3697954183759550?comment_id=406899965205779")</f>
        <v>https://www.facebook.com/454965103328545/videos/3697954183759550?comment_id=406899965205779</v>
      </c>
      <c r="O4153">
        <v>0</v>
      </c>
      <c r="P4153">
        <v>0</v>
      </c>
      <c r="Q4153">
        <v>0</v>
      </c>
      <c r="S4153">
        <v>0</v>
      </c>
      <c r="T4153">
        <v>0</v>
      </c>
      <c r="U4153">
        <v>0</v>
      </c>
      <c r="W4153" t="s">
        <v>62</v>
      </c>
    </row>
    <row r="4154" spans="1:42" x14ac:dyDescent="0.35">
      <c r="A4154" t="s">
        <v>45</v>
      </c>
      <c r="B4154" t="s">
        <v>8332</v>
      </c>
      <c r="C4154" t="s">
        <v>47</v>
      </c>
      <c r="D4154" t="s">
        <v>9311</v>
      </c>
      <c r="E4154" t="s">
        <v>9311</v>
      </c>
      <c r="F4154" t="s">
        <v>142</v>
      </c>
      <c r="G4154" t="s">
        <v>9312</v>
      </c>
      <c r="H4154" t="s">
        <v>9349</v>
      </c>
      <c r="J4154" t="str">
        <f>HYPERLINK("https://www.facebook.com/454965103328545/videos/3697954183759550?comment_id=1835702743530396","https://www.facebook.com/454965103328545/videos/3697954183759550?comment_id=1835702743530396")</f>
        <v>https://www.facebook.com/454965103328545/videos/3697954183759550?comment_id=1835702743530396</v>
      </c>
      <c r="O4154">
        <v>0</v>
      </c>
      <c r="P4154">
        <v>0</v>
      </c>
      <c r="Q4154">
        <v>0</v>
      </c>
      <c r="S4154">
        <v>0</v>
      </c>
      <c r="T4154">
        <v>0</v>
      </c>
      <c r="U4154">
        <v>0</v>
      </c>
      <c r="W4154" t="s">
        <v>62</v>
      </c>
    </row>
    <row r="4155" spans="1:42" x14ac:dyDescent="0.35">
      <c r="A4155" t="s">
        <v>45</v>
      </c>
      <c r="B4155" t="s">
        <v>8332</v>
      </c>
      <c r="C4155" t="s">
        <v>47</v>
      </c>
      <c r="D4155" t="s">
        <v>9311</v>
      </c>
      <c r="E4155" t="s">
        <v>9311</v>
      </c>
      <c r="F4155" t="s">
        <v>142</v>
      </c>
      <c r="G4155" t="s">
        <v>9312</v>
      </c>
      <c r="H4155" t="s">
        <v>9350</v>
      </c>
      <c r="J4155" t="str">
        <f>HYPERLINK("https://www.facebook.com/454965103328545/videos/3697954183759550?comment_id=829442968941274","https://www.facebook.com/454965103328545/videos/3697954183759550?comment_id=829442968941274")</f>
        <v>https://www.facebook.com/454965103328545/videos/3697954183759550?comment_id=829442968941274</v>
      </c>
      <c r="O4155">
        <v>0</v>
      </c>
      <c r="P4155">
        <v>0</v>
      </c>
      <c r="Q4155">
        <v>0</v>
      </c>
      <c r="S4155">
        <v>0</v>
      </c>
      <c r="T4155">
        <v>0</v>
      </c>
      <c r="U4155">
        <v>0</v>
      </c>
      <c r="W4155" t="s">
        <v>62</v>
      </c>
    </row>
    <row r="4156" spans="1:42" x14ac:dyDescent="0.35">
      <c r="A4156" t="s">
        <v>45</v>
      </c>
      <c r="B4156" t="s">
        <v>8332</v>
      </c>
      <c r="C4156" t="s">
        <v>47</v>
      </c>
      <c r="D4156" t="s">
        <v>9050</v>
      </c>
      <c r="E4156" t="s">
        <v>9050</v>
      </c>
      <c r="F4156" t="s">
        <v>49</v>
      </c>
      <c r="G4156" t="s">
        <v>9351</v>
      </c>
      <c r="H4156" t="s">
        <v>9352</v>
      </c>
      <c r="J4156" t="str">
        <f>HYPERLINK("https://www.facebook.com/454965103328545/videos/3697954183759550?comment_id=1300628704078776","https://www.facebook.com/454965103328545/videos/3697954183759550?comment_id=1300628704078776")</f>
        <v>https://www.facebook.com/454965103328545/videos/3697954183759550?comment_id=1300628704078776</v>
      </c>
      <c r="O4156">
        <v>0</v>
      </c>
      <c r="P4156">
        <v>0</v>
      </c>
      <c r="Q4156">
        <v>0</v>
      </c>
      <c r="S4156">
        <v>0</v>
      </c>
      <c r="T4156">
        <v>0</v>
      </c>
      <c r="U4156">
        <v>0</v>
      </c>
      <c r="W4156" t="s">
        <v>62</v>
      </c>
    </row>
    <row r="4157" spans="1:42" x14ac:dyDescent="0.35">
      <c r="A4157" t="s">
        <v>45</v>
      </c>
      <c r="B4157" t="s">
        <v>8332</v>
      </c>
      <c r="C4157" t="s">
        <v>47</v>
      </c>
      <c r="D4157" t="s">
        <v>9353</v>
      </c>
      <c r="E4157" t="s">
        <v>9353</v>
      </c>
      <c r="F4157" t="s">
        <v>49</v>
      </c>
      <c r="G4157" t="s">
        <v>9354</v>
      </c>
      <c r="H4157" t="s">
        <v>9355</v>
      </c>
      <c r="J4157" t="str">
        <f>HYPERLINK("https://www.facebook.com/454965103328545/posts/763899692435083?comment_id=1868938026890629","https://www.facebook.com/454965103328545/posts/763899692435083?comment_id=1868938026890629")</f>
        <v>https://www.facebook.com/454965103328545/posts/763899692435083?comment_id=1868938026890629</v>
      </c>
      <c r="O4157">
        <v>0</v>
      </c>
      <c r="P4157">
        <v>0</v>
      </c>
      <c r="Q4157">
        <v>0</v>
      </c>
      <c r="S4157">
        <v>0</v>
      </c>
      <c r="T4157">
        <v>0</v>
      </c>
      <c r="U4157">
        <v>0</v>
      </c>
      <c r="W4157" t="s">
        <v>62</v>
      </c>
    </row>
    <row r="4158" spans="1:42" x14ac:dyDescent="0.35">
      <c r="A4158" t="s">
        <v>45</v>
      </c>
      <c r="B4158" t="s">
        <v>8332</v>
      </c>
      <c r="C4158" t="s">
        <v>47</v>
      </c>
      <c r="D4158" t="s">
        <v>4058</v>
      </c>
      <c r="E4158" t="s">
        <v>4058</v>
      </c>
      <c r="F4158" t="s">
        <v>49</v>
      </c>
      <c r="G4158" t="s">
        <v>9356</v>
      </c>
      <c r="H4158" t="s">
        <v>9357</v>
      </c>
      <c r="J4158" t="str">
        <f>HYPERLINK("https://www.facebook.com/454965103328545/videos/3697954183759550?comment_id=3485657808413825","https://www.facebook.com/454965103328545/videos/3697954183759550?comment_id=3485657808413825")</f>
        <v>https://www.facebook.com/454965103328545/videos/3697954183759550?comment_id=3485657808413825</v>
      </c>
      <c r="O4158">
        <v>0</v>
      </c>
      <c r="P4158">
        <v>0</v>
      </c>
      <c r="Q4158">
        <v>0</v>
      </c>
      <c r="S4158">
        <v>0</v>
      </c>
      <c r="T4158">
        <v>0</v>
      </c>
      <c r="U4158">
        <v>0</v>
      </c>
      <c r="W4158" t="s">
        <v>62</v>
      </c>
    </row>
    <row r="4159" spans="1:42" x14ac:dyDescent="0.35">
      <c r="A4159" t="s">
        <v>45</v>
      </c>
      <c r="B4159" t="s">
        <v>8332</v>
      </c>
      <c r="C4159" t="s">
        <v>47</v>
      </c>
      <c r="D4159" t="s">
        <v>9358</v>
      </c>
      <c r="E4159" t="s">
        <v>9358</v>
      </c>
      <c r="F4159" t="s">
        <v>49</v>
      </c>
      <c r="G4159" t="s">
        <v>9359</v>
      </c>
      <c r="H4159" t="s">
        <v>9360</v>
      </c>
      <c r="J4159" t="str">
        <f>HYPERLINK("https://www.facebook.com/454965103328545/videos/3697954183759550?comment_id=1759870501159213","https://www.facebook.com/454965103328545/videos/3697954183759550?comment_id=1759870501159213")</f>
        <v>https://www.facebook.com/454965103328545/videos/3697954183759550?comment_id=1759870501159213</v>
      </c>
      <c r="O4159">
        <v>0</v>
      </c>
      <c r="P4159">
        <v>0</v>
      </c>
      <c r="Q4159">
        <v>0</v>
      </c>
      <c r="S4159">
        <v>0</v>
      </c>
      <c r="T4159">
        <v>0</v>
      </c>
      <c r="U4159">
        <v>0</v>
      </c>
      <c r="W4159" t="s">
        <v>62</v>
      </c>
    </row>
    <row r="4160" spans="1:42" x14ac:dyDescent="0.35">
      <c r="A4160" t="s">
        <v>45</v>
      </c>
      <c r="B4160" t="s">
        <v>8332</v>
      </c>
      <c r="C4160" t="s">
        <v>47</v>
      </c>
      <c r="D4160" t="s">
        <v>9132</v>
      </c>
      <c r="E4160" t="s">
        <v>9132</v>
      </c>
      <c r="F4160" t="s">
        <v>49</v>
      </c>
      <c r="G4160" t="s">
        <v>9361</v>
      </c>
      <c r="H4160" t="s">
        <v>9362</v>
      </c>
      <c r="J4160" t="str">
        <f>HYPERLINK("https://www.facebook.com/454965103328545/videos/3697954183759550?comment_id=329950456695558","https://www.facebook.com/454965103328545/videos/3697954183759550?comment_id=329950456695558")</f>
        <v>https://www.facebook.com/454965103328545/videos/3697954183759550?comment_id=329950456695558</v>
      </c>
      <c r="O4160">
        <v>0</v>
      </c>
      <c r="P4160">
        <v>0</v>
      </c>
      <c r="Q4160">
        <v>0</v>
      </c>
      <c r="S4160">
        <v>0</v>
      </c>
      <c r="T4160">
        <v>0</v>
      </c>
      <c r="U4160">
        <v>0</v>
      </c>
      <c r="W4160" t="s">
        <v>62</v>
      </c>
    </row>
    <row r="4161" spans="1:23" x14ac:dyDescent="0.35">
      <c r="A4161" t="s">
        <v>45</v>
      </c>
      <c r="B4161" t="s">
        <v>8332</v>
      </c>
      <c r="C4161" t="s">
        <v>47</v>
      </c>
      <c r="D4161" t="s">
        <v>9363</v>
      </c>
      <c r="E4161" t="s">
        <v>9363</v>
      </c>
      <c r="F4161" t="s">
        <v>76</v>
      </c>
      <c r="G4161" t="s">
        <v>9364</v>
      </c>
      <c r="H4161" t="s">
        <v>9365</v>
      </c>
      <c r="J4161" t="str">
        <f>HYPERLINK("https://www.facebook.com/454965103328545/videos/3697954183759550?comment_id=247506631739425","https://www.facebook.com/454965103328545/videos/3697954183759550?comment_id=247506631739425")</f>
        <v>https://www.facebook.com/454965103328545/videos/3697954183759550?comment_id=247506631739425</v>
      </c>
      <c r="O4161">
        <v>0</v>
      </c>
      <c r="P4161">
        <v>0</v>
      </c>
      <c r="Q4161">
        <v>0</v>
      </c>
      <c r="S4161">
        <v>0</v>
      </c>
      <c r="T4161">
        <v>0</v>
      </c>
      <c r="U4161">
        <v>0</v>
      </c>
      <c r="W4161" t="s">
        <v>62</v>
      </c>
    </row>
    <row r="4162" spans="1:23" x14ac:dyDescent="0.35">
      <c r="A4162" t="s">
        <v>45</v>
      </c>
      <c r="B4162" t="s">
        <v>8332</v>
      </c>
      <c r="C4162" t="s">
        <v>47</v>
      </c>
      <c r="D4162" t="s">
        <v>9366</v>
      </c>
      <c r="E4162" t="s">
        <v>9366</v>
      </c>
      <c r="F4162" t="s">
        <v>76</v>
      </c>
      <c r="G4162" t="s">
        <v>8367</v>
      </c>
      <c r="H4162" t="s">
        <v>9367</v>
      </c>
      <c r="J4162" t="str">
        <f>HYPERLINK("https://www.facebook.com/454965103328545/videos/3697954183759550?comment_id=922059969475445","https://www.facebook.com/454965103328545/videos/3697954183759550?comment_id=922059969475445")</f>
        <v>https://www.facebook.com/454965103328545/videos/3697954183759550?comment_id=922059969475445</v>
      </c>
      <c r="O4162">
        <v>0</v>
      </c>
      <c r="P4162">
        <v>0</v>
      </c>
      <c r="Q4162">
        <v>0</v>
      </c>
      <c r="S4162">
        <v>0</v>
      </c>
      <c r="T4162">
        <v>0</v>
      </c>
      <c r="U4162">
        <v>0</v>
      </c>
      <c r="W4162" t="s">
        <v>62</v>
      </c>
    </row>
    <row r="4163" spans="1:23" x14ac:dyDescent="0.35">
      <c r="A4163" t="s">
        <v>45</v>
      </c>
      <c r="B4163" t="s">
        <v>8332</v>
      </c>
      <c r="C4163" t="s">
        <v>47</v>
      </c>
      <c r="D4163" t="s">
        <v>9368</v>
      </c>
      <c r="E4163" t="s">
        <v>9368</v>
      </c>
      <c r="F4163" t="s">
        <v>49</v>
      </c>
      <c r="G4163" t="s">
        <v>9369</v>
      </c>
      <c r="H4163" t="s">
        <v>9370</v>
      </c>
      <c r="J4163" t="str">
        <f>HYPERLINK("https://www.facebook.com/454965103328545/videos/3697954183759550?comment_id=685496500460189","https://www.facebook.com/454965103328545/videos/3697954183759550?comment_id=685496500460189")</f>
        <v>https://www.facebook.com/454965103328545/videos/3697954183759550?comment_id=685496500460189</v>
      </c>
      <c r="O4163">
        <v>0</v>
      </c>
      <c r="P4163">
        <v>0</v>
      </c>
      <c r="Q4163">
        <v>0</v>
      </c>
      <c r="S4163">
        <v>0</v>
      </c>
      <c r="T4163">
        <v>0</v>
      </c>
      <c r="U4163">
        <v>0</v>
      </c>
      <c r="W4163" t="s">
        <v>62</v>
      </c>
    </row>
    <row r="4164" spans="1:23" x14ac:dyDescent="0.35">
      <c r="A4164" t="s">
        <v>45</v>
      </c>
      <c r="B4164" t="s">
        <v>8332</v>
      </c>
      <c r="C4164" t="s">
        <v>47</v>
      </c>
      <c r="D4164" t="s">
        <v>1706</v>
      </c>
      <c r="E4164" t="s">
        <v>1706</v>
      </c>
      <c r="F4164" t="s">
        <v>142</v>
      </c>
      <c r="G4164" t="s">
        <v>9371</v>
      </c>
      <c r="H4164" t="s">
        <v>9372</v>
      </c>
      <c r="J4164" t="str">
        <f>HYPERLINK("https://www.facebook.com/454965103328545/videos/3697954183759550?comment_id=857832762758867","https://www.facebook.com/454965103328545/videos/3697954183759550?comment_id=857832762758867")</f>
        <v>https://www.facebook.com/454965103328545/videos/3697954183759550?comment_id=857832762758867</v>
      </c>
      <c r="O4164">
        <v>0</v>
      </c>
      <c r="P4164">
        <v>0</v>
      </c>
      <c r="Q4164">
        <v>0</v>
      </c>
      <c r="S4164">
        <v>0</v>
      </c>
      <c r="T4164">
        <v>0</v>
      </c>
      <c r="U4164">
        <v>0</v>
      </c>
      <c r="W4164" t="s">
        <v>62</v>
      </c>
    </row>
    <row r="4165" spans="1:23" x14ac:dyDescent="0.35">
      <c r="A4165" t="s">
        <v>45</v>
      </c>
      <c r="B4165" t="s">
        <v>8332</v>
      </c>
      <c r="C4165" t="s">
        <v>47</v>
      </c>
      <c r="D4165" t="s">
        <v>9147</v>
      </c>
      <c r="E4165" t="s">
        <v>9147</v>
      </c>
      <c r="F4165" t="s">
        <v>49</v>
      </c>
      <c r="G4165" t="s">
        <v>459</v>
      </c>
      <c r="H4165" t="s">
        <v>9373</v>
      </c>
      <c r="J4165" t="str">
        <f>HYPERLINK("https://www.facebook.com/454965103328545/videos/3697954183759550?comment_id=359920126888467","https://www.facebook.com/454965103328545/videos/3697954183759550?comment_id=359920126888467")</f>
        <v>https://www.facebook.com/454965103328545/videos/3697954183759550?comment_id=359920126888467</v>
      </c>
      <c r="O4165">
        <v>0</v>
      </c>
      <c r="P4165">
        <v>0</v>
      </c>
      <c r="Q4165">
        <v>0</v>
      </c>
      <c r="S4165">
        <v>0</v>
      </c>
      <c r="T4165">
        <v>0</v>
      </c>
      <c r="U4165">
        <v>0</v>
      </c>
      <c r="W4165" t="s">
        <v>62</v>
      </c>
    </row>
    <row r="4166" spans="1:23" x14ac:dyDescent="0.35">
      <c r="A4166" t="s">
        <v>45</v>
      </c>
      <c r="B4166" t="s">
        <v>8332</v>
      </c>
      <c r="C4166" t="s">
        <v>47</v>
      </c>
      <c r="D4166" t="s">
        <v>9368</v>
      </c>
      <c r="E4166" t="s">
        <v>9368</v>
      </c>
      <c r="F4166" t="s">
        <v>49</v>
      </c>
      <c r="G4166" t="s">
        <v>1235</v>
      </c>
      <c r="H4166" t="s">
        <v>9373</v>
      </c>
      <c r="J4166" t="str">
        <f>HYPERLINK("https://www.facebook.com/454965103328545/videos/3697954183759550?comment_id=369480035812856","https://www.facebook.com/454965103328545/videos/3697954183759550?comment_id=369480035812856")</f>
        <v>https://www.facebook.com/454965103328545/videos/3697954183759550?comment_id=369480035812856</v>
      </c>
      <c r="O4166">
        <v>0</v>
      </c>
      <c r="P4166">
        <v>0</v>
      </c>
      <c r="Q4166">
        <v>0</v>
      </c>
      <c r="S4166">
        <v>0</v>
      </c>
      <c r="T4166">
        <v>0</v>
      </c>
      <c r="U4166">
        <v>0</v>
      </c>
      <c r="W4166" t="s">
        <v>62</v>
      </c>
    </row>
    <row r="4167" spans="1:23" x14ac:dyDescent="0.35">
      <c r="A4167" t="s">
        <v>45</v>
      </c>
      <c r="B4167" t="s">
        <v>8332</v>
      </c>
      <c r="C4167" t="s">
        <v>47</v>
      </c>
      <c r="D4167" t="s">
        <v>1706</v>
      </c>
      <c r="E4167" t="s">
        <v>1706</v>
      </c>
      <c r="F4167" t="s">
        <v>49</v>
      </c>
      <c r="G4167">
        <v>8967675753</v>
      </c>
      <c r="H4167" t="s">
        <v>9374</v>
      </c>
      <c r="J4167" t="str">
        <f>HYPERLINK("https://www.facebook.com/454965103328545/videos/3697954183759550?comment_id=2071350953222135","https://www.facebook.com/454965103328545/videos/3697954183759550?comment_id=2071350953222135")</f>
        <v>https://www.facebook.com/454965103328545/videos/3697954183759550?comment_id=2071350953222135</v>
      </c>
      <c r="O4167">
        <v>0</v>
      </c>
      <c r="P4167">
        <v>0</v>
      </c>
      <c r="Q4167">
        <v>0</v>
      </c>
      <c r="S4167">
        <v>0</v>
      </c>
      <c r="T4167">
        <v>0</v>
      </c>
      <c r="U4167">
        <v>0</v>
      </c>
      <c r="W4167" t="s">
        <v>62</v>
      </c>
    </row>
    <row r="4168" spans="1:23" x14ac:dyDescent="0.35">
      <c r="A4168" t="s">
        <v>45</v>
      </c>
      <c r="B4168" t="s">
        <v>8332</v>
      </c>
      <c r="C4168" t="s">
        <v>47</v>
      </c>
      <c r="D4168" t="s">
        <v>9375</v>
      </c>
      <c r="E4168" t="s">
        <v>9375</v>
      </c>
      <c r="F4168" t="s">
        <v>76</v>
      </c>
      <c r="G4168" t="s">
        <v>9376</v>
      </c>
      <c r="H4168" t="s">
        <v>9377</v>
      </c>
      <c r="J4168" t="str">
        <f>HYPERLINK("https://www.facebook.com/454965103328545/videos/3697954183759550?comment_id=713818430538055","https://www.facebook.com/454965103328545/videos/3697954183759550?comment_id=713818430538055")</f>
        <v>https://www.facebook.com/454965103328545/videos/3697954183759550?comment_id=713818430538055</v>
      </c>
      <c r="O4168">
        <v>0</v>
      </c>
      <c r="P4168">
        <v>0</v>
      </c>
      <c r="Q4168">
        <v>0</v>
      </c>
      <c r="S4168">
        <v>0</v>
      </c>
      <c r="T4168">
        <v>0</v>
      </c>
      <c r="U4168">
        <v>0</v>
      </c>
      <c r="W4168" t="s">
        <v>62</v>
      </c>
    </row>
    <row r="4169" spans="1:23" x14ac:dyDescent="0.35">
      <c r="A4169" t="s">
        <v>45</v>
      </c>
      <c r="B4169" t="s">
        <v>8332</v>
      </c>
      <c r="C4169" t="s">
        <v>47</v>
      </c>
      <c r="D4169" t="s">
        <v>9378</v>
      </c>
      <c r="E4169" t="s">
        <v>9378</v>
      </c>
      <c r="F4169" t="s">
        <v>49</v>
      </c>
      <c r="G4169" t="s">
        <v>7743</v>
      </c>
      <c r="H4169" t="s">
        <v>9379</v>
      </c>
      <c r="J4169" t="str">
        <f>HYPERLINK("https://www.facebook.com/454965103328545/videos/3697954183759550?comment_id=1038831717182686","https://www.facebook.com/454965103328545/videos/3697954183759550?comment_id=1038831717182686")</f>
        <v>https://www.facebook.com/454965103328545/videos/3697954183759550?comment_id=1038831717182686</v>
      </c>
      <c r="O4169">
        <v>0</v>
      </c>
      <c r="P4169">
        <v>0</v>
      </c>
      <c r="Q4169">
        <v>0</v>
      </c>
      <c r="S4169">
        <v>0</v>
      </c>
      <c r="T4169">
        <v>0</v>
      </c>
      <c r="U4169">
        <v>0</v>
      </c>
      <c r="W4169" t="s">
        <v>62</v>
      </c>
    </row>
    <row r="4170" spans="1:23" x14ac:dyDescent="0.35">
      <c r="A4170" t="s">
        <v>45</v>
      </c>
      <c r="B4170" t="s">
        <v>8332</v>
      </c>
      <c r="C4170" t="s">
        <v>47</v>
      </c>
      <c r="D4170" t="s">
        <v>9259</v>
      </c>
      <c r="E4170" t="s">
        <v>9259</v>
      </c>
      <c r="F4170" t="s">
        <v>49</v>
      </c>
      <c r="G4170" t="s">
        <v>7743</v>
      </c>
      <c r="H4170" t="s">
        <v>9380</v>
      </c>
      <c r="J4170" t="str">
        <f>HYPERLINK("https://www.facebook.com/454965103328545/videos/3697954183759550?comment_id=348968988025419","https://www.facebook.com/454965103328545/videos/3697954183759550?comment_id=348968988025419")</f>
        <v>https://www.facebook.com/454965103328545/videos/3697954183759550?comment_id=348968988025419</v>
      </c>
      <c r="O4170">
        <v>0</v>
      </c>
      <c r="P4170">
        <v>0</v>
      </c>
      <c r="Q4170">
        <v>0</v>
      </c>
      <c r="S4170">
        <v>0</v>
      </c>
      <c r="T4170">
        <v>0</v>
      </c>
      <c r="U4170">
        <v>0</v>
      </c>
      <c r="W4170" t="s">
        <v>62</v>
      </c>
    </row>
    <row r="4171" spans="1:23" x14ac:dyDescent="0.35">
      <c r="A4171" t="s">
        <v>45</v>
      </c>
      <c r="B4171" t="s">
        <v>8332</v>
      </c>
      <c r="C4171" t="s">
        <v>47</v>
      </c>
      <c r="D4171" t="s">
        <v>1706</v>
      </c>
      <c r="E4171" t="s">
        <v>1706</v>
      </c>
      <c r="F4171" t="s">
        <v>142</v>
      </c>
      <c r="G4171" t="s">
        <v>9381</v>
      </c>
      <c r="H4171" t="s">
        <v>9382</v>
      </c>
      <c r="J4171" t="str">
        <f>HYPERLINK("https://www.facebook.com/454965103328545/videos/3697954183759550?comment_id=1053542495705930","https://www.facebook.com/454965103328545/videos/3697954183759550?comment_id=1053542495705930")</f>
        <v>https://www.facebook.com/454965103328545/videos/3697954183759550?comment_id=1053542495705930</v>
      </c>
      <c r="O4171">
        <v>0</v>
      </c>
      <c r="P4171">
        <v>0</v>
      </c>
      <c r="Q4171">
        <v>0</v>
      </c>
      <c r="S4171">
        <v>0</v>
      </c>
      <c r="T4171">
        <v>0</v>
      </c>
      <c r="U4171">
        <v>0</v>
      </c>
      <c r="W4171" t="s">
        <v>62</v>
      </c>
    </row>
    <row r="4172" spans="1:23" x14ac:dyDescent="0.35">
      <c r="A4172" t="s">
        <v>45</v>
      </c>
      <c r="B4172" t="s">
        <v>8332</v>
      </c>
      <c r="C4172" t="s">
        <v>47</v>
      </c>
      <c r="D4172" t="s">
        <v>6231</v>
      </c>
      <c r="E4172" t="s">
        <v>6231</v>
      </c>
      <c r="F4172" t="s">
        <v>49</v>
      </c>
      <c r="G4172" t="s">
        <v>1235</v>
      </c>
      <c r="H4172" t="s">
        <v>9383</v>
      </c>
      <c r="J4172" t="str">
        <f>HYPERLINK("https://www.facebook.com/454965103328545/posts/763233329168386?comment_id=1429344404667779","https://www.facebook.com/454965103328545/posts/763233329168386?comment_id=1429344404667779")</f>
        <v>https://www.facebook.com/454965103328545/posts/763233329168386?comment_id=1429344404667779</v>
      </c>
      <c r="O4172">
        <v>0</v>
      </c>
      <c r="P4172">
        <v>0</v>
      </c>
      <c r="Q4172">
        <v>0</v>
      </c>
      <c r="S4172">
        <v>0</v>
      </c>
      <c r="T4172">
        <v>0</v>
      </c>
      <c r="U4172">
        <v>0</v>
      </c>
      <c r="W4172" t="s">
        <v>62</v>
      </c>
    </row>
    <row r="4173" spans="1:23" x14ac:dyDescent="0.35">
      <c r="A4173" t="s">
        <v>45</v>
      </c>
      <c r="B4173" t="s">
        <v>8332</v>
      </c>
      <c r="C4173" t="s">
        <v>47</v>
      </c>
      <c r="D4173" t="s">
        <v>45</v>
      </c>
      <c r="E4173" t="s">
        <v>45</v>
      </c>
      <c r="F4173" t="s">
        <v>49</v>
      </c>
      <c r="G4173" t="s">
        <v>9384</v>
      </c>
      <c r="H4173" t="s">
        <v>9385</v>
      </c>
      <c r="J4173" t="str">
        <f>HYPERLINK("https://www.facebook.com/357267201017935_3697954183759550","https://www.facebook.com/357267201017935_3697954183759550")</f>
        <v>https://www.facebook.com/357267201017935_3697954183759550</v>
      </c>
      <c r="O4173">
        <v>0</v>
      </c>
      <c r="P4173">
        <v>0</v>
      </c>
      <c r="Q4173">
        <v>0</v>
      </c>
      <c r="S4173">
        <v>538</v>
      </c>
      <c r="T4173">
        <v>760</v>
      </c>
      <c r="U4173">
        <v>34</v>
      </c>
      <c r="W4173" t="s">
        <v>106</v>
      </c>
    </row>
    <row r="4174" spans="1:23" x14ac:dyDescent="0.35">
      <c r="A4174" t="s">
        <v>45</v>
      </c>
      <c r="B4174" t="s">
        <v>8332</v>
      </c>
      <c r="C4174" t="s">
        <v>47</v>
      </c>
      <c r="D4174" t="s">
        <v>1706</v>
      </c>
      <c r="E4174" t="s">
        <v>1706</v>
      </c>
      <c r="F4174" t="s">
        <v>142</v>
      </c>
      <c r="G4174" t="s">
        <v>9371</v>
      </c>
      <c r="H4174" t="s">
        <v>9386</v>
      </c>
      <c r="J4174" t="str">
        <f>HYPERLINK("https://www.facebook.com/454965103328545/posts/763871475771238?comment_id=1633382073862806","https://www.facebook.com/454965103328545/posts/763871475771238?comment_id=1633382073862806")</f>
        <v>https://www.facebook.com/454965103328545/posts/763871475771238?comment_id=1633382073862806</v>
      </c>
      <c r="O4174">
        <v>0</v>
      </c>
      <c r="P4174">
        <v>0</v>
      </c>
      <c r="Q4174">
        <v>0</v>
      </c>
      <c r="S4174">
        <v>0</v>
      </c>
      <c r="T4174">
        <v>0</v>
      </c>
      <c r="U4174">
        <v>0</v>
      </c>
      <c r="W4174" t="s">
        <v>62</v>
      </c>
    </row>
    <row r="4175" spans="1:23" x14ac:dyDescent="0.35">
      <c r="A4175" t="s">
        <v>45</v>
      </c>
      <c r="B4175" t="s">
        <v>8332</v>
      </c>
      <c r="C4175" t="s">
        <v>47</v>
      </c>
      <c r="D4175" t="s">
        <v>7187</v>
      </c>
      <c r="E4175" t="s">
        <v>7187</v>
      </c>
      <c r="F4175" t="s">
        <v>49</v>
      </c>
      <c r="G4175" t="s">
        <v>9387</v>
      </c>
      <c r="H4175" t="s">
        <v>9388</v>
      </c>
      <c r="J4175" t="str">
        <f>HYPERLINK("https://www.facebook.com/454965103328545/posts/763899692435083?comment_id=753263573026361&amp;reply_comment_id=666613695451032","https://www.facebook.com/454965103328545/posts/763899692435083?comment_id=753263573026361&amp;reply_comment_id=666613695451032")</f>
        <v>https://www.facebook.com/454965103328545/posts/763899692435083?comment_id=753263573026361&amp;reply_comment_id=666613695451032</v>
      </c>
      <c r="O4175">
        <v>0</v>
      </c>
      <c r="P4175">
        <v>0</v>
      </c>
      <c r="Q4175">
        <v>0</v>
      </c>
      <c r="S4175">
        <v>0</v>
      </c>
      <c r="T4175">
        <v>0</v>
      </c>
      <c r="U4175">
        <v>0</v>
      </c>
      <c r="W4175" t="s">
        <v>62</v>
      </c>
    </row>
    <row r="4176" spans="1:23" x14ac:dyDescent="0.35">
      <c r="A4176" t="s">
        <v>45</v>
      </c>
      <c r="B4176" t="s">
        <v>8332</v>
      </c>
      <c r="C4176" t="s">
        <v>47</v>
      </c>
      <c r="D4176" t="s">
        <v>7187</v>
      </c>
      <c r="E4176" t="s">
        <v>7187</v>
      </c>
      <c r="F4176" t="s">
        <v>49</v>
      </c>
      <c r="G4176" t="s">
        <v>9389</v>
      </c>
      <c r="H4176" t="s">
        <v>9390</v>
      </c>
      <c r="J4176" t="str">
        <f>HYPERLINK("https://www.facebook.com/357267201017935/inbox/6991848630893059/","https://www.facebook.com/357267201017935/inbox/6991848630893059/")</f>
        <v>https://www.facebook.com/357267201017935/inbox/6991848630893059/</v>
      </c>
      <c r="O4176">
        <v>0</v>
      </c>
      <c r="P4176">
        <v>0</v>
      </c>
      <c r="Q4176">
        <v>0</v>
      </c>
      <c r="S4176">
        <v>0</v>
      </c>
      <c r="T4176">
        <v>0</v>
      </c>
      <c r="U4176">
        <v>0</v>
      </c>
      <c r="W4176" t="s">
        <v>52</v>
      </c>
    </row>
    <row r="4177" spans="1:45" x14ac:dyDescent="0.35">
      <c r="A4177" t="s">
        <v>45</v>
      </c>
      <c r="B4177" t="s">
        <v>8332</v>
      </c>
      <c r="C4177" t="s">
        <v>47</v>
      </c>
      <c r="D4177" t="s">
        <v>9391</v>
      </c>
      <c r="E4177" t="s">
        <v>9391</v>
      </c>
      <c r="F4177" t="s">
        <v>49</v>
      </c>
      <c r="G4177" t="s">
        <v>9392</v>
      </c>
      <c r="H4177" t="s">
        <v>9393</v>
      </c>
      <c r="J4177" t="str">
        <f>HYPERLINK("https://www.facebook.com/454965103328545/posts/763285952496457?comment_id=7185008561565464","https://www.facebook.com/454965103328545/posts/763285952496457?comment_id=7185008561565464")</f>
        <v>https://www.facebook.com/454965103328545/posts/763285952496457?comment_id=7185008561565464</v>
      </c>
      <c r="O4177">
        <v>0</v>
      </c>
      <c r="P4177">
        <v>0</v>
      </c>
      <c r="Q4177">
        <v>0</v>
      </c>
      <c r="S4177">
        <v>0</v>
      </c>
      <c r="T4177">
        <v>0</v>
      </c>
      <c r="U4177">
        <v>0</v>
      </c>
      <c r="W4177" t="s">
        <v>62</v>
      </c>
    </row>
    <row r="4178" spans="1:45" x14ac:dyDescent="0.35">
      <c r="A4178" t="s">
        <v>45</v>
      </c>
      <c r="B4178" t="s">
        <v>8332</v>
      </c>
      <c r="C4178" t="s">
        <v>47</v>
      </c>
      <c r="D4178" t="s">
        <v>5524</v>
      </c>
      <c r="E4178" t="s">
        <v>5524</v>
      </c>
      <c r="F4178" t="s">
        <v>49</v>
      </c>
      <c r="G4178" t="s">
        <v>9394</v>
      </c>
      <c r="H4178" t="s">
        <v>9395</v>
      </c>
      <c r="J4178" t="str">
        <f>HYPERLINK("https://www.facebook.com/454965103328545/posts/763285952496457?comment_id=1044562649990627&amp;reply_comment_id=942555170916693","https://www.facebook.com/454965103328545/posts/763285952496457?comment_id=1044562649990627&amp;reply_comment_id=942555170916693")</f>
        <v>https://www.facebook.com/454965103328545/posts/763285952496457?comment_id=1044562649990627&amp;reply_comment_id=942555170916693</v>
      </c>
      <c r="O4178">
        <v>0</v>
      </c>
      <c r="P4178">
        <v>0</v>
      </c>
      <c r="Q4178">
        <v>0</v>
      </c>
      <c r="S4178">
        <v>0</v>
      </c>
      <c r="T4178">
        <v>0</v>
      </c>
      <c r="U4178">
        <v>0</v>
      </c>
      <c r="W4178" t="s">
        <v>62</v>
      </c>
    </row>
    <row r="4179" spans="1:45" x14ac:dyDescent="0.35">
      <c r="A4179" t="s">
        <v>45</v>
      </c>
      <c r="B4179" t="s">
        <v>8332</v>
      </c>
      <c r="C4179" t="s">
        <v>47</v>
      </c>
      <c r="D4179" t="s">
        <v>5524</v>
      </c>
      <c r="E4179" t="s">
        <v>5524</v>
      </c>
      <c r="F4179" t="s">
        <v>49</v>
      </c>
      <c r="G4179" t="s">
        <v>5527</v>
      </c>
      <c r="H4179" t="s">
        <v>9396</v>
      </c>
      <c r="J4179" t="str">
        <f>HYPERLINK("https://www.facebook.com/454965103328545/posts/763285952496457?comment_id=1044562649990627&amp;reply_comment_id=1040233050609832","https://www.facebook.com/454965103328545/posts/763285952496457?comment_id=1044562649990627&amp;reply_comment_id=1040233050609832")</f>
        <v>https://www.facebook.com/454965103328545/posts/763285952496457?comment_id=1044562649990627&amp;reply_comment_id=1040233050609832</v>
      </c>
      <c r="O4179">
        <v>0</v>
      </c>
      <c r="P4179">
        <v>0</v>
      </c>
      <c r="Q4179">
        <v>0</v>
      </c>
      <c r="S4179">
        <v>0</v>
      </c>
      <c r="T4179">
        <v>0</v>
      </c>
      <c r="U4179">
        <v>0</v>
      </c>
      <c r="W4179" t="s">
        <v>62</v>
      </c>
    </row>
    <row r="4180" spans="1:45" x14ac:dyDescent="0.35">
      <c r="A4180" t="s">
        <v>45</v>
      </c>
      <c r="B4180" t="s">
        <v>8332</v>
      </c>
      <c r="C4180" t="s">
        <v>47</v>
      </c>
      <c r="D4180" t="s">
        <v>45</v>
      </c>
      <c r="E4180" t="s">
        <v>45</v>
      </c>
      <c r="F4180" t="s">
        <v>49</v>
      </c>
      <c r="G4180" t="s">
        <v>9397</v>
      </c>
      <c r="H4180" t="s">
        <v>9398</v>
      </c>
      <c r="J4180" t="str">
        <f>HYPERLINK("https://www.facebook.com/454965103328545/posts/763871475771238?comment_id=406189905133478&amp;reply_comment_id=2056698291367587","https://www.facebook.com/454965103328545/posts/763871475771238?comment_id=406189905133478&amp;reply_comment_id=2056698291367587")</f>
        <v>https://www.facebook.com/454965103328545/posts/763871475771238?comment_id=406189905133478&amp;reply_comment_id=2056698291367587</v>
      </c>
      <c r="O4180">
        <v>0</v>
      </c>
      <c r="P4180">
        <v>0</v>
      </c>
      <c r="Q4180">
        <v>0</v>
      </c>
      <c r="S4180">
        <v>0</v>
      </c>
      <c r="T4180">
        <v>0</v>
      </c>
      <c r="U4180">
        <v>0</v>
      </c>
      <c r="W4180" t="s">
        <v>62</v>
      </c>
    </row>
    <row r="4181" spans="1:45" x14ac:dyDescent="0.35">
      <c r="A4181" t="s">
        <v>45</v>
      </c>
      <c r="B4181" t="s">
        <v>8332</v>
      </c>
      <c r="C4181" t="s">
        <v>47</v>
      </c>
      <c r="D4181" t="s">
        <v>9399</v>
      </c>
      <c r="E4181" t="s">
        <v>9399</v>
      </c>
      <c r="F4181" t="s">
        <v>49</v>
      </c>
      <c r="G4181" t="s">
        <v>9400</v>
      </c>
      <c r="H4181" t="s">
        <v>9401</v>
      </c>
      <c r="J4181" t="str">
        <f>HYPERLINK("https://www.facebook.com/454965103328545/posts/763871475771238?comment_id=406189905133478","https://www.facebook.com/454965103328545/posts/763871475771238?comment_id=406189905133478")</f>
        <v>https://www.facebook.com/454965103328545/posts/763871475771238?comment_id=406189905133478</v>
      </c>
      <c r="O4181">
        <v>0</v>
      </c>
      <c r="P4181">
        <v>0</v>
      </c>
      <c r="Q4181">
        <v>0</v>
      </c>
      <c r="S4181">
        <v>0</v>
      </c>
      <c r="T4181">
        <v>0</v>
      </c>
      <c r="U4181">
        <v>0</v>
      </c>
      <c r="W4181" t="s">
        <v>62</v>
      </c>
      <c r="AS4181" t="s">
        <v>375</v>
      </c>
    </row>
    <row r="4182" spans="1:45" x14ac:dyDescent="0.35">
      <c r="A4182" t="s">
        <v>45</v>
      </c>
      <c r="B4182" t="s">
        <v>8332</v>
      </c>
      <c r="C4182" t="s">
        <v>47</v>
      </c>
      <c r="D4182" t="s">
        <v>1954</v>
      </c>
      <c r="E4182" t="s">
        <v>1954</v>
      </c>
      <c r="F4182" t="s">
        <v>49</v>
      </c>
      <c r="G4182" t="s">
        <v>9402</v>
      </c>
      <c r="H4182" t="s">
        <v>9403</v>
      </c>
      <c r="J4182" t="str">
        <f>HYPERLINK("https://www.facebook.com/454965103328545/posts/762566475901738?comment_id=2009032549478573&amp;reply_comment_id=3648962795338558","https://www.facebook.com/454965103328545/posts/762566475901738?comment_id=2009032549478573&amp;reply_comment_id=3648962795338558")</f>
        <v>https://www.facebook.com/454965103328545/posts/762566475901738?comment_id=2009032549478573&amp;reply_comment_id=3648962795338558</v>
      </c>
      <c r="O4182">
        <v>0</v>
      </c>
      <c r="P4182">
        <v>0</v>
      </c>
      <c r="Q4182">
        <v>0</v>
      </c>
      <c r="S4182">
        <v>0</v>
      </c>
      <c r="T4182">
        <v>0</v>
      </c>
      <c r="U4182">
        <v>0</v>
      </c>
      <c r="W4182" t="s">
        <v>62</v>
      </c>
    </row>
    <row r="4183" spans="1:45" x14ac:dyDescent="0.35">
      <c r="A4183" t="s">
        <v>45</v>
      </c>
      <c r="B4183" t="s">
        <v>8332</v>
      </c>
      <c r="C4183" t="s">
        <v>47</v>
      </c>
      <c r="D4183" t="s">
        <v>8623</v>
      </c>
      <c r="E4183" t="s">
        <v>8623</v>
      </c>
      <c r="F4183" t="s">
        <v>49</v>
      </c>
      <c r="G4183" t="s">
        <v>9404</v>
      </c>
      <c r="H4183" t="s">
        <v>9405</v>
      </c>
      <c r="J4183" t="str">
        <f>HYPERLINK("https://www.facebook.com/454965103328545/posts/763871475771238?comment_id=5457360797721327&amp;reply_comment_id=1408915063057675","https://www.facebook.com/454965103328545/posts/763871475771238?comment_id=5457360797721327&amp;reply_comment_id=1408915063057675")</f>
        <v>https://www.facebook.com/454965103328545/posts/763871475771238?comment_id=5457360797721327&amp;reply_comment_id=1408915063057675</v>
      </c>
      <c r="O4183">
        <v>0</v>
      </c>
      <c r="P4183">
        <v>0</v>
      </c>
      <c r="Q4183">
        <v>0</v>
      </c>
      <c r="S4183">
        <v>0</v>
      </c>
      <c r="T4183">
        <v>0</v>
      </c>
      <c r="U4183">
        <v>0</v>
      </c>
      <c r="W4183" t="s">
        <v>62</v>
      </c>
    </row>
    <row r="4184" spans="1:45" x14ac:dyDescent="0.35">
      <c r="A4184" t="s">
        <v>45</v>
      </c>
      <c r="B4184" t="s">
        <v>8332</v>
      </c>
      <c r="C4184" t="s">
        <v>47</v>
      </c>
      <c r="D4184" t="s">
        <v>45</v>
      </c>
      <c r="E4184" t="s">
        <v>45</v>
      </c>
      <c r="F4184" t="s">
        <v>49</v>
      </c>
      <c r="G4184" t="s">
        <v>9406</v>
      </c>
      <c r="H4184" t="s">
        <v>9407</v>
      </c>
      <c r="J4184" t="str">
        <f>HYPERLINK("https://www.facebook.com/454965103328545/posts/763233329168386?comment_id=897674965239378&amp;reply_comment_id=715965523652310","https://www.facebook.com/454965103328545/posts/763233329168386?comment_id=897674965239378&amp;reply_comment_id=715965523652310")</f>
        <v>https://www.facebook.com/454965103328545/posts/763233329168386?comment_id=897674965239378&amp;reply_comment_id=715965523652310</v>
      </c>
      <c r="O4184">
        <v>0</v>
      </c>
      <c r="P4184">
        <v>0</v>
      </c>
      <c r="Q4184">
        <v>0</v>
      </c>
      <c r="S4184">
        <v>0</v>
      </c>
      <c r="T4184">
        <v>0</v>
      </c>
      <c r="U4184">
        <v>0</v>
      </c>
      <c r="W4184" t="s">
        <v>62</v>
      </c>
    </row>
    <row r="4185" spans="1:45" x14ac:dyDescent="0.35">
      <c r="A4185" t="s">
        <v>45</v>
      </c>
      <c r="B4185" t="s">
        <v>8332</v>
      </c>
      <c r="C4185" t="s">
        <v>139</v>
      </c>
      <c r="D4185" t="s">
        <v>190</v>
      </c>
      <c r="E4185" t="s">
        <v>45</v>
      </c>
      <c r="F4185" t="s">
        <v>49</v>
      </c>
      <c r="G4185" t="s">
        <v>9408</v>
      </c>
      <c r="H4185" t="s">
        <v>9409</v>
      </c>
      <c r="J4185" t="str">
        <f>HYPERLINK("https://twitter.com/FinoPaymntsBank/status/1753356626260885872","https://twitter.com/FinoPaymntsBank/status/1753356626260885872")</f>
        <v>https://twitter.com/FinoPaymntsBank/status/1753356626260885872</v>
      </c>
      <c r="K4185" t="s">
        <v>145</v>
      </c>
      <c r="O4185">
        <v>0</v>
      </c>
      <c r="P4185">
        <v>0</v>
      </c>
      <c r="Q4185">
        <v>8354</v>
      </c>
      <c r="R4185" t="s">
        <v>193</v>
      </c>
      <c r="S4185">
        <v>0</v>
      </c>
      <c r="T4185">
        <v>0</v>
      </c>
      <c r="U4185">
        <v>0</v>
      </c>
      <c r="W4185" t="s">
        <v>146</v>
      </c>
    </row>
    <row r="4186" spans="1:45" x14ac:dyDescent="0.35">
      <c r="A4186" t="s">
        <v>45</v>
      </c>
      <c r="B4186" t="s">
        <v>8332</v>
      </c>
      <c r="C4186" t="s">
        <v>47</v>
      </c>
      <c r="D4186" t="s">
        <v>45</v>
      </c>
      <c r="E4186" t="s">
        <v>45</v>
      </c>
      <c r="F4186" t="s">
        <v>49</v>
      </c>
      <c r="G4186" t="s">
        <v>9410</v>
      </c>
      <c r="H4186" t="s">
        <v>9411</v>
      </c>
      <c r="J4186" t="str">
        <f>HYPERLINK("https://www.facebook.com/454965103328545/posts/762566475901738?comment_id=296862189685062&amp;reply_comment_id=367365989421463","https://www.facebook.com/454965103328545/posts/762566475901738?comment_id=296862189685062&amp;reply_comment_id=367365989421463")</f>
        <v>https://www.facebook.com/454965103328545/posts/762566475901738?comment_id=296862189685062&amp;reply_comment_id=367365989421463</v>
      </c>
      <c r="O4186">
        <v>0</v>
      </c>
      <c r="P4186">
        <v>0</v>
      </c>
      <c r="Q4186">
        <v>0</v>
      </c>
      <c r="S4186">
        <v>0</v>
      </c>
      <c r="T4186">
        <v>0</v>
      </c>
      <c r="U4186">
        <v>0</v>
      </c>
      <c r="W4186" t="s">
        <v>62</v>
      </c>
    </row>
    <row r="4187" spans="1:45" x14ac:dyDescent="0.35">
      <c r="A4187" t="s">
        <v>45</v>
      </c>
      <c r="B4187" t="s">
        <v>8332</v>
      </c>
      <c r="C4187" t="s">
        <v>47</v>
      </c>
      <c r="D4187" t="s">
        <v>45</v>
      </c>
      <c r="E4187" t="s">
        <v>45</v>
      </c>
      <c r="F4187" t="s">
        <v>49</v>
      </c>
      <c r="G4187" t="s">
        <v>9412</v>
      </c>
      <c r="H4187" t="s">
        <v>9413</v>
      </c>
      <c r="J4187" t="str">
        <f>HYPERLINK("https://www.facebook.com/357267201017935/inbox/6988906087853980/","https://www.facebook.com/357267201017935/inbox/6988906087853980/")</f>
        <v>https://www.facebook.com/357267201017935/inbox/6988906087853980/</v>
      </c>
      <c r="O4187">
        <v>0</v>
      </c>
      <c r="P4187">
        <v>0</v>
      </c>
      <c r="Q4187">
        <v>0</v>
      </c>
      <c r="S4187">
        <v>0</v>
      </c>
      <c r="T4187">
        <v>0</v>
      </c>
      <c r="U4187">
        <v>0</v>
      </c>
      <c r="W4187" t="s">
        <v>52</v>
      </c>
    </row>
    <row r="4188" spans="1:45" x14ac:dyDescent="0.35">
      <c r="A4188" t="s">
        <v>45</v>
      </c>
      <c r="B4188" t="s">
        <v>8332</v>
      </c>
      <c r="C4188" t="s">
        <v>47</v>
      </c>
      <c r="D4188" t="s">
        <v>45</v>
      </c>
      <c r="E4188" t="s">
        <v>45</v>
      </c>
      <c r="F4188" t="s">
        <v>49</v>
      </c>
      <c r="G4188" t="s">
        <v>9414</v>
      </c>
      <c r="H4188" t="s">
        <v>9415</v>
      </c>
      <c r="J4188" t="str">
        <f>HYPERLINK("https://www.facebook.com/454965103328545/posts/763871475771238?comment_id=1624955584575952&amp;reply_comment_id=913958560265871","https://www.facebook.com/454965103328545/posts/763871475771238?comment_id=1624955584575952&amp;reply_comment_id=913958560265871")</f>
        <v>https://www.facebook.com/454965103328545/posts/763871475771238?comment_id=1624955584575952&amp;reply_comment_id=913958560265871</v>
      </c>
      <c r="O4188">
        <v>0</v>
      </c>
      <c r="P4188">
        <v>0</v>
      </c>
      <c r="Q4188">
        <v>0</v>
      </c>
      <c r="S4188">
        <v>0</v>
      </c>
      <c r="T4188">
        <v>0</v>
      </c>
      <c r="U4188">
        <v>0</v>
      </c>
      <c r="W4188" t="s">
        <v>62</v>
      </c>
    </row>
    <row r="4189" spans="1:45" x14ac:dyDescent="0.35">
      <c r="A4189" t="s">
        <v>45</v>
      </c>
      <c r="B4189" t="s">
        <v>8332</v>
      </c>
      <c r="C4189" t="s">
        <v>139</v>
      </c>
      <c r="D4189" t="s">
        <v>190</v>
      </c>
      <c r="E4189" t="s">
        <v>45</v>
      </c>
      <c r="F4189" t="s">
        <v>49</v>
      </c>
      <c r="G4189" t="s">
        <v>9416</v>
      </c>
      <c r="H4189" t="s">
        <v>9417</v>
      </c>
      <c r="J4189" t="str">
        <f>HYPERLINK("https://twitter.com/FinoPaymntsBank/status/1753355196724613203","https://twitter.com/FinoPaymntsBank/status/1753355196724613203")</f>
        <v>https://twitter.com/FinoPaymntsBank/status/1753355196724613203</v>
      </c>
      <c r="K4189" t="s">
        <v>1994</v>
      </c>
      <c r="O4189">
        <v>0</v>
      </c>
      <c r="P4189">
        <v>0</v>
      </c>
      <c r="Q4189">
        <v>8354</v>
      </c>
      <c r="R4189" t="s">
        <v>193</v>
      </c>
      <c r="S4189">
        <v>0</v>
      </c>
      <c r="T4189">
        <v>0</v>
      </c>
      <c r="U4189">
        <v>0</v>
      </c>
      <c r="W4189" t="s">
        <v>52</v>
      </c>
    </row>
    <row r="4190" spans="1:45" x14ac:dyDescent="0.35">
      <c r="A4190" t="s">
        <v>45</v>
      </c>
      <c r="B4190" t="s">
        <v>8332</v>
      </c>
      <c r="C4190" t="s">
        <v>47</v>
      </c>
      <c r="D4190" t="s">
        <v>45</v>
      </c>
      <c r="E4190" t="s">
        <v>45</v>
      </c>
      <c r="F4190" t="s">
        <v>49</v>
      </c>
      <c r="G4190" t="s">
        <v>9418</v>
      </c>
      <c r="H4190" t="s">
        <v>9419</v>
      </c>
      <c r="J4190" t="str">
        <f>HYPERLINK("https://www.facebook.com/454965103328545/posts/763871475771238?comment_id=422094643493039&amp;reply_comment_id=918936539459583","https://www.facebook.com/454965103328545/posts/763871475771238?comment_id=422094643493039&amp;reply_comment_id=918936539459583")</f>
        <v>https://www.facebook.com/454965103328545/posts/763871475771238?comment_id=422094643493039&amp;reply_comment_id=918936539459583</v>
      </c>
      <c r="O4190">
        <v>0</v>
      </c>
      <c r="P4190">
        <v>0</v>
      </c>
      <c r="Q4190">
        <v>0</v>
      </c>
      <c r="S4190">
        <v>0</v>
      </c>
      <c r="T4190">
        <v>0</v>
      </c>
      <c r="U4190">
        <v>0</v>
      </c>
      <c r="W4190" t="s">
        <v>62</v>
      </c>
    </row>
    <row r="4191" spans="1:45" x14ac:dyDescent="0.35">
      <c r="A4191" t="s">
        <v>45</v>
      </c>
      <c r="B4191" t="s">
        <v>8332</v>
      </c>
      <c r="C4191" t="s">
        <v>47</v>
      </c>
      <c r="D4191" t="s">
        <v>45</v>
      </c>
      <c r="E4191" t="s">
        <v>45</v>
      </c>
      <c r="F4191" t="s">
        <v>49</v>
      </c>
      <c r="G4191" t="s">
        <v>9420</v>
      </c>
      <c r="H4191" t="s">
        <v>9421</v>
      </c>
      <c r="J4191" t="str">
        <f>HYPERLINK("https://www.facebook.com/454965103328545/posts/763871475771238?comment_id=296937866726554&amp;reply_comment_id=1809851842798831","https://www.facebook.com/454965103328545/posts/763871475771238?comment_id=296937866726554&amp;reply_comment_id=1809851842798831")</f>
        <v>https://www.facebook.com/454965103328545/posts/763871475771238?comment_id=296937866726554&amp;reply_comment_id=1809851842798831</v>
      </c>
      <c r="O4191">
        <v>0</v>
      </c>
      <c r="P4191">
        <v>0</v>
      </c>
      <c r="Q4191">
        <v>0</v>
      </c>
      <c r="S4191">
        <v>0</v>
      </c>
      <c r="T4191">
        <v>0</v>
      </c>
      <c r="U4191">
        <v>0</v>
      </c>
      <c r="W4191" t="s">
        <v>62</v>
      </c>
    </row>
    <row r="4192" spans="1:45" x14ac:dyDescent="0.35">
      <c r="A4192" t="s">
        <v>45</v>
      </c>
      <c r="B4192" t="s">
        <v>8332</v>
      </c>
      <c r="C4192" t="s">
        <v>47</v>
      </c>
      <c r="D4192" t="s">
        <v>45</v>
      </c>
      <c r="E4192" t="s">
        <v>45</v>
      </c>
      <c r="F4192" t="s">
        <v>49</v>
      </c>
      <c r="G4192" t="s">
        <v>9422</v>
      </c>
      <c r="H4192" t="s">
        <v>9423</v>
      </c>
      <c r="J4192" t="str">
        <f>HYPERLINK("https://www.facebook.com/454965103328545/posts/763285952496457?comment_id=1044562649990627&amp;reply_comment_id=327131303656666","https://www.facebook.com/454965103328545/posts/763285952496457?comment_id=1044562649990627&amp;reply_comment_id=327131303656666")</f>
        <v>https://www.facebook.com/454965103328545/posts/763285952496457?comment_id=1044562649990627&amp;reply_comment_id=327131303656666</v>
      </c>
      <c r="O4192">
        <v>0</v>
      </c>
      <c r="P4192">
        <v>0</v>
      </c>
      <c r="Q4192">
        <v>0</v>
      </c>
      <c r="S4192">
        <v>0</v>
      </c>
      <c r="T4192">
        <v>0</v>
      </c>
      <c r="U4192">
        <v>0</v>
      </c>
      <c r="W4192" t="s">
        <v>62</v>
      </c>
    </row>
    <row r="4193" spans="1:45" x14ac:dyDescent="0.35">
      <c r="A4193" t="s">
        <v>45</v>
      </c>
      <c r="B4193" t="s">
        <v>8332</v>
      </c>
      <c r="C4193" t="s">
        <v>47</v>
      </c>
      <c r="D4193" t="s">
        <v>45</v>
      </c>
      <c r="E4193" t="s">
        <v>45</v>
      </c>
      <c r="F4193" t="s">
        <v>49</v>
      </c>
      <c r="G4193" t="s">
        <v>9424</v>
      </c>
      <c r="H4193" t="s">
        <v>9425</v>
      </c>
      <c r="J4193" t="str">
        <f>HYPERLINK("https://www.facebook.com/357267201017935/inbox/6743898455688079/","https://www.facebook.com/357267201017935/inbox/6743898455688079/")</f>
        <v>https://www.facebook.com/357267201017935/inbox/6743898455688079/</v>
      </c>
      <c r="O4193">
        <v>0</v>
      </c>
      <c r="P4193">
        <v>0</v>
      </c>
      <c r="Q4193">
        <v>0</v>
      </c>
      <c r="S4193">
        <v>0</v>
      </c>
      <c r="T4193">
        <v>0</v>
      </c>
      <c r="U4193">
        <v>0</v>
      </c>
      <c r="W4193" t="s">
        <v>52</v>
      </c>
    </row>
    <row r="4194" spans="1:45" x14ac:dyDescent="0.35">
      <c r="A4194" t="s">
        <v>45</v>
      </c>
      <c r="B4194" t="s">
        <v>8332</v>
      </c>
      <c r="C4194" t="s">
        <v>47</v>
      </c>
      <c r="D4194" t="s">
        <v>45</v>
      </c>
      <c r="E4194" t="s">
        <v>45</v>
      </c>
      <c r="F4194" t="s">
        <v>49</v>
      </c>
      <c r="G4194" t="s">
        <v>9426</v>
      </c>
      <c r="H4194" t="s">
        <v>9427</v>
      </c>
      <c r="J4194" t="str">
        <f>HYPERLINK("https://www.facebook.com/454965103328545/posts/763871475771238?comment_id=236130306217102&amp;reply_comment_id=1447810779499343","https://www.facebook.com/454965103328545/posts/763871475771238?comment_id=236130306217102&amp;reply_comment_id=1447810779499343")</f>
        <v>https://www.facebook.com/454965103328545/posts/763871475771238?comment_id=236130306217102&amp;reply_comment_id=1447810779499343</v>
      </c>
      <c r="O4194">
        <v>0</v>
      </c>
      <c r="P4194">
        <v>0</v>
      </c>
      <c r="Q4194">
        <v>0</v>
      </c>
      <c r="S4194">
        <v>0</v>
      </c>
      <c r="T4194">
        <v>0</v>
      </c>
      <c r="U4194">
        <v>0</v>
      </c>
      <c r="W4194" t="s">
        <v>62</v>
      </c>
    </row>
    <row r="4195" spans="1:45" x14ac:dyDescent="0.35">
      <c r="A4195" t="s">
        <v>45</v>
      </c>
      <c r="B4195" t="s">
        <v>8332</v>
      </c>
      <c r="C4195" t="s">
        <v>139</v>
      </c>
      <c r="D4195" t="s">
        <v>8268</v>
      </c>
      <c r="E4195" t="s">
        <v>8269</v>
      </c>
      <c r="F4195" t="s">
        <v>142</v>
      </c>
      <c r="G4195" t="s">
        <v>9428</v>
      </c>
      <c r="H4195" t="s">
        <v>9429</v>
      </c>
      <c r="J4195" t="str">
        <f>HYPERLINK("https://twitter.com/tushar_panda_/status/1753352095456219164","https://twitter.com/tushar_panda_/status/1753352095456219164")</f>
        <v>https://twitter.com/tushar_panda_/status/1753352095456219164</v>
      </c>
      <c r="K4195" t="s">
        <v>145</v>
      </c>
      <c r="O4195">
        <v>0</v>
      </c>
      <c r="P4195">
        <v>0</v>
      </c>
      <c r="Q4195">
        <v>5</v>
      </c>
      <c r="S4195">
        <v>0</v>
      </c>
      <c r="T4195">
        <v>0</v>
      </c>
      <c r="U4195">
        <v>0</v>
      </c>
      <c r="W4195" t="s">
        <v>146</v>
      </c>
      <c r="AP4195" t="s">
        <v>147</v>
      </c>
      <c r="AS4195" t="s">
        <v>375</v>
      </c>
    </row>
    <row r="4196" spans="1:45" x14ac:dyDescent="0.35">
      <c r="A4196" t="s">
        <v>45</v>
      </c>
      <c r="B4196" t="s">
        <v>8332</v>
      </c>
      <c r="C4196" t="s">
        <v>47</v>
      </c>
      <c r="D4196" t="s">
        <v>45</v>
      </c>
      <c r="E4196" t="s">
        <v>45</v>
      </c>
      <c r="F4196" t="s">
        <v>49</v>
      </c>
      <c r="G4196" t="s">
        <v>9430</v>
      </c>
      <c r="H4196" t="s">
        <v>9431</v>
      </c>
      <c r="J4196" t="str">
        <f>HYPERLINK("https://www.facebook.com/454965103328545/posts/762566475901738?comment_id=2009032549478573&amp;reply_comment_id=350432161164331","https://www.facebook.com/454965103328545/posts/762566475901738?comment_id=2009032549478573&amp;reply_comment_id=350432161164331")</f>
        <v>https://www.facebook.com/454965103328545/posts/762566475901738?comment_id=2009032549478573&amp;reply_comment_id=350432161164331</v>
      </c>
      <c r="O4196">
        <v>0</v>
      </c>
      <c r="P4196">
        <v>0</v>
      </c>
      <c r="Q4196">
        <v>0</v>
      </c>
      <c r="S4196">
        <v>0</v>
      </c>
      <c r="T4196">
        <v>0</v>
      </c>
      <c r="U4196">
        <v>0</v>
      </c>
      <c r="W4196" t="s">
        <v>62</v>
      </c>
    </row>
    <row r="4197" spans="1:45" x14ac:dyDescent="0.35">
      <c r="A4197" t="s">
        <v>45</v>
      </c>
      <c r="B4197" t="s">
        <v>8332</v>
      </c>
      <c r="C4197" t="s">
        <v>47</v>
      </c>
      <c r="D4197" t="s">
        <v>45</v>
      </c>
      <c r="E4197" t="s">
        <v>45</v>
      </c>
      <c r="F4197" t="s">
        <v>49</v>
      </c>
      <c r="G4197" t="s">
        <v>9432</v>
      </c>
      <c r="H4197" t="s">
        <v>9433</v>
      </c>
      <c r="J4197" t="str">
        <f>HYPERLINK("https://www.facebook.com/454965103328545/posts/763871475771238?comment_id=1079242576655769&amp;reply_comment_id=6773739006065898","https://www.facebook.com/454965103328545/posts/763871475771238?comment_id=1079242576655769&amp;reply_comment_id=6773739006065898")</f>
        <v>https://www.facebook.com/454965103328545/posts/763871475771238?comment_id=1079242576655769&amp;reply_comment_id=6773739006065898</v>
      </c>
      <c r="O4197">
        <v>0</v>
      </c>
      <c r="P4197">
        <v>0</v>
      </c>
      <c r="Q4197">
        <v>0</v>
      </c>
      <c r="S4197">
        <v>0</v>
      </c>
      <c r="T4197">
        <v>0</v>
      </c>
      <c r="U4197">
        <v>0</v>
      </c>
      <c r="W4197" t="s">
        <v>62</v>
      </c>
    </row>
    <row r="4198" spans="1:45" x14ac:dyDescent="0.35">
      <c r="A4198" t="s">
        <v>45</v>
      </c>
      <c r="B4198" t="s">
        <v>8332</v>
      </c>
      <c r="C4198" t="s">
        <v>47</v>
      </c>
      <c r="D4198" t="s">
        <v>45</v>
      </c>
      <c r="E4198" t="s">
        <v>45</v>
      </c>
      <c r="F4198" t="s">
        <v>49</v>
      </c>
      <c r="G4198" t="s">
        <v>9434</v>
      </c>
      <c r="H4198" t="s">
        <v>9435</v>
      </c>
      <c r="J4198" t="str">
        <f>HYPERLINK("https://www.facebook.com/454965103328545/posts/763871475771238?comment_id=419550193761389&amp;reply_comment_id=863811425428734","https://www.facebook.com/454965103328545/posts/763871475771238?comment_id=419550193761389&amp;reply_comment_id=863811425428734")</f>
        <v>https://www.facebook.com/454965103328545/posts/763871475771238?comment_id=419550193761389&amp;reply_comment_id=863811425428734</v>
      </c>
      <c r="O4198">
        <v>0</v>
      </c>
      <c r="P4198">
        <v>0</v>
      </c>
      <c r="Q4198">
        <v>0</v>
      </c>
      <c r="S4198">
        <v>0</v>
      </c>
      <c r="T4198">
        <v>0</v>
      </c>
      <c r="U4198">
        <v>0</v>
      </c>
      <c r="W4198" t="s">
        <v>62</v>
      </c>
    </row>
    <row r="4199" spans="1:45" x14ac:dyDescent="0.35">
      <c r="A4199" t="s">
        <v>45</v>
      </c>
      <c r="B4199" t="s">
        <v>8332</v>
      </c>
      <c r="C4199" t="s">
        <v>47</v>
      </c>
      <c r="D4199" t="s">
        <v>45</v>
      </c>
      <c r="E4199" t="s">
        <v>45</v>
      </c>
      <c r="F4199" t="s">
        <v>49</v>
      </c>
      <c r="G4199" t="s">
        <v>9436</v>
      </c>
      <c r="H4199" t="s">
        <v>9437</v>
      </c>
      <c r="J4199" t="str">
        <f>HYPERLINK("https://www.facebook.com/454965103328545/posts/763871475771238?comment_id=1377786633110583&amp;reply_comment_id=756609605970731","https://www.facebook.com/454965103328545/posts/763871475771238?comment_id=1377786633110583&amp;reply_comment_id=756609605970731")</f>
        <v>https://www.facebook.com/454965103328545/posts/763871475771238?comment_id=1377786633110583&amp;reply_comment_id=756609605970731</v>
      </c>
      <c r="O4199">
        <v>0</v>
      </c>
      <c r="P4199">
        <v>0</v>
      </c>
      <c r="Q4199">
        <v>0</v>
      </c>
      <c r="S4199">
        <v>0</v>
      </c>
      <c r="T4199">
        <v>0</v>
      </c>
      <c r="U4199">
        <v>0</v>
      </c>
      <c r="W4199" t="s">
        <v>62</v>
      </c>
    </row>
    <row r="4200" spans="1:45" x14ac:dyDescent="0.35">
      <c r="A4200" t="s">
        <v>45</v>
      </c>
      <c r="B4200" t="s">
        <v>8332</v>
      </c>
      <c r="C4200" t="s">
        <v>47</v>
      </c>
      <c r="D4200" t="s">
        <v>45</v>
      </c>
      <c r="E4200" t="s">
        <v>45</v>
      </c>
      <c r="F4200" t="s">
        <v>49</v>
      </c>
      <c r="G4200" t="s">
        <v>9438</v>
      </c>
      <c r="H4200" t="s">
        <v>9439</v>
      </c>
      <c r="J4200" t="str">
        <f>HYPERLINK("https://www.facebook.com/454965103328545/posts/763871475771238?comment_id=5457360797721327&amp;reply_comment_id=675448658134349","https://www.facebook.com/454965103328545/posts/763871475771238?comment_id=5457360797721327&amp;reply_comment_id=675448658134349")</f>
        <v>https://www.facebook.com/454965103328545/posts/763871475771238?comment_id=5457360797721327&amp;reply_comment_id=675448658134349</v>
      </c>
      <c r="O4200">
        <v>0</v>
      </c>
      <c r="P4200">
        <v>0</v>
      </c>
      <c r="Q4200">
        <v>0</v>
      </c>
      <c r="S4200">
        <v>0</v>
      </c>
      <c r="T4200">
        <v>0</v>
      </c>
      <c r="U4200">
        <v>0</v>
      </c>
      <c r="W4200" t="s">
        <v>62</v>
      </c>
    </row>
    <row r="4201" spans="1:45" x14ac:dyDescent="0.35">
      <c r="A4201" t="s">
        <v>45</v>
      </c>
      <c r="B4201" t="s">
        <v>8332</v>
      </c>
      <c r="C4201" t="s">
        <v>139</v>
      </c>
      <c r="D4201" t="s">
        <v>190</v>
      </c>
      <c r="E4201" t="s">
        <v>45</v>
      </c>
      <c r="F4201" t="s">
        <v>49</v>
      </c>
      <c r="G4201" t="s">
        <v>9440</v>
      </c>
      <c r="H4201" t="s">
        <v>9441</v>
      </c>
      <c r="J4201" t="str">
        <f>HYPERLINK("https://twitter.com/FinoPaymntsBank/status/1753347959708955013","https://twitter.com/FinoPaymntsBank/status/1753347959708955013")</f>
        <v>https://twitter.com/FinoPaymntsBank/status/1753347959708955013</v>
      </c>
      <c r="K4201" t="s">
        <v>145</v>
      </c>
      <c r="O4201">
        <v>0</v>
      </c>
      <c r="P4201">
        <v>0</v>
      </c>
      <c r="Q4201">
        <v>8353</v>
      </c>
      <c r="R4201" t="s">
        <v>193</v>
      </c>
      <c r="S4201">
        <v>0</v>
      </c>
      <c r="T4201">
        <v>0</v>
      </c>
      <c r="U4201">
        <v>0</v>
      </c>
      <c r="W4201" t="s">
        <v>146</v>
      </c>
    </row>
    <row r="4202" spans="1:45" x14ac:dyDescent="0.35">
      <c r="A4202" t="s">
        <v>45</v>
      </c>
      <c r="B4202" t="s">
        <v>8332</v>
      </c>
      <c r="C4202" t="s">
        <v>47</v>
      </c>
      <c r="D4202" t="s">
        <v>9391</v>
      </c>
      <c r="E4202" t="s">
        <v>9391</v>
      </c>
      <c r="F4202" t="s">
        <v>76</v>
      </c>
      <c r="G4202" t="s">
        <v>9442</v>
      </c>
      <c r="H4202" t="s">
        <v>9443</v>
      </c>
      <c r="J4202" t="str">
        <f>HYPERLINK("https://www.facebook.com/454965103328545/posts/763233329168386?comment_id=897674965239378","https://www.facebook.com/454965103328545/posts/763233329168386?comment_id=897674965239378")</f>
        <v>https://www.facebook.com/454965103328545/posts/763233329168386?comment_id=897674965239378</v>
      </c>
      <c r="O4202">
        <v>0</v>
      </c>
      <c r="P4202">
        <v>0</v>
      </c>
      <c r="Q4202">
        <v>0</v>
      </c>
      <c r="S4202">
        <v>0</v>
      </c>
      <c r="T4202">
        <v>0</v>
      </c>
      <c r="U4202">
        <v>0</v>
      </c>
      <c r="W4202" t="s">
        <v>62</v>
      </c>
      <c r="AP4202" t="s">
        <v>101</v>
      </c>
      <c r="AS4202" t="s">
        <v>375</v>
      </c>
    </row>
    <row r="4203" spans="1:45" x14ac:dyDescent="0.35">
      <c r="A4203" t="s">
        <v>45</v>
      </c>
      <c r="B4203" t="s">
        <v>8332</v>
      </c>
      <c r="C4203" t="s">
        <v>47</v>
      </c>
      <c r="D4203" t="s">
        <v>45</v>
      </c>
      <c r="E4203" t="s">
        <v>45</v>
      </c>
      <c r="F4203" t="s">
        <v>49</v>
      </c>
      <c r="G4203" t="s">
        <v>9444</v>
      </c>
      <c r="H4203" t="s">
        <v>9445</v>
      </c>
      <c r="J4203" t="str">
        <f>HYPERLINK("https://www.facebook.com/454965103328545/posts/763871475771238?comment_id=798492295440898&amp;reply_comment_id=407961071706121","https://www.facebook.com/454965103328545/posts/763871475771238?comment_id=798492295440898&amp;reply_comment_id=407961071706121")</f>
        <v>https://www.facebook.com/454965103328545/posts/763871475771238?comment_id=798492295440898&amp;reply_comment_id=407961071706121</v>
      </c>
      <c r="O4203">
        <v>0</v>
      </c>
      <c r="P4203">
        <v>0</v>
      </c>
      <c r="Q4203">
        <v>0</v>
      </c>
      <c r="S4203">
        <v>0</v>
      </c>
      <c r="T4203">
        <v>0</v>
      </c>
      <c r="U4203">
        <v>0</v>
      </c>
      <c r="W4203" t="s">
        <v>62</v>
      </c>
    </row>
    <row r="4204" spans="1:45" x14ac:dyDescent="0.35">
      <c r="A4204" t="s">
        <v>45</v>
      </c>
      <c r="B4204" t="s">
        <v>8332</v>
      </c>
      <c r="C4204" t="s">
        <v>47</v>
      </c>
      <c r="D4204" t="s">
        <v>45</v>
      </c>
      <c r="E4204" t="s">
        <v>45</v>
      </c>
      <c r="F4204" t="s">
        <v>49</v>
      </c>
      <c r="G4204" t="s">
        <v>9446</v>
      </c>
      <c r="H4204" t="s">
        <v>9447</v>
      </c>
      <c r="J4204" t="str">
        <f>HYPERLINK("https://www.facebook.com/454965103328545/posts/763871475771238?comment_id=288372097270619&amp;reply_comment_id=320109734334512","https://www.facebook.com/454965103328545/posts/763871475771238?comment_id=288372097270619&amp;reply_comment_id=320109734334512")</f>
        <v>https://www.facebook.com/454965103328545/posts/763871475771238?comment_id=288372097270619&amp;reply_comment_id=320109734334512</v>
      </c>
      <c r="O4204">
        <v>0</v>
      </c>
      <c r="P4204">
        <v>0</v>
      </c>
      <c r="Q4204">
        <v>0</v>
      </c>
      <c r="S4204">
        <v>0</v>
      </c>
      <c r="T4204">
        <v>0</v>
      </c>
      <c r="U4204">
        <v>0</v>
      </c>
      <c r="W4204" t="s">
        <v>62</v>
      </c>
    </row>
    <row r="4205" spans="1:45" x14ac:dyDescent="0.35">
      <c r="A4205" t="s">
        <v>45</v>
      </c>
      <c r="B4205" t="s">
        <v>8332</v>
      </c>
      <c r="C4205" t="s">
        <v>58</v>
      </c>
      <c r="D4205" t="s">
        <v>9448</v>
      </c>
      <c r="E4205" t="s">
        <v>9448</v>
      </c>
      <c r="F4205" t="s">
        <v>49</v>
      </c>
      <c r="G4205" t="s">
        <v>9449</v>
      </c>
      <c r="H4205" t="s">
        <v>9450</v>
      </c>
      <c r="J4205" t="str">
        <f>HYPERLINK("https://www.youtube.com/watch?v=xE-9p3tyV5g","https://www.youtube.com/watch?v=xE-9p3tyV5g")</f>
        <v>https://www.youtube.com/watch?v=xE-9p3tyV5g</v>
      </c>
      <c r="O4205">
        <v>0</v>
      </c>
      <c r="P4205">
        <v>0</v>
      </c>
      <c r="Q4205">
        <v>0</v>
      </c>
      <c r="S4205">
        <v>0</v>
      </c>
      <c r="T4205">
        <v>0</v>
      </c>
      <c r="U4205">
        <v>0</v>
      </c>
      <c r="W4205" t="s">
        <v>106</v>
      </c>
    </row>
    <row r="4206" spans="1:45" x14ac:dyDescent="0.35">
      <c r="A4206" t="s">
        <v>45</v>
      </c>
      <c r="B4206" t="s">
        <v>8332</v>
      </c>
      <c r="C4206" t="s">
        <v>47</v>
      </c>
      <c r="D4206" t="s">
        <v>6710</v>
      </c>
      <c r="E4206" t="s">
        <v>6710</v>
      </c>
      <c r="F4206" t="s">
        <v>49</v>
      </c>
      <c r="G4206" t="s">
        <v>6711</v>
      </c>
      <c r="H4206" t="s">
        <v>9451</v>
      </c>
      <c r="J4206" t="str">
        <f>HYPERLINK("https://www.facebook.com/357267201017935/inbox/6743898455688079/","https://www.facebook.com/357267201017935/inbox/6743898455688079/")</f>
        <v>https://www.facebook.com/357267201017935/inbox/6743898455688079/</v>
      </c>
      <c r="O4206">
        <v>0</v>
      </c>
      <c r="P4206">
        <v>0</v>
      </c>
      <c r="Q4206">
        <v>0</v>
      </c>
      <c r="S4206">
        <v>0</v>
      </c>
      <c r="T4206">
        <v>0</v>
      </c>
      <c r="U4206">
        <v>0</v>
      </c>
      <c r="W4206" t="s">
        <v>52</v>
      </c>
    </row>
    <row r="4207" spans="1:45" x14ac:dyDescent="0.35">
      <c r="A4207" t="s">
        <v>45</v>
      </c>
      <c r="B4207" t="s">
        <v>8332</v>
      </c>
      <c r="C4207" t="s">
        <v>47</v>
      </c>
      <c r="D4207" t="s">
        <v>6710</v>
      </c>
      <c r="E4207" t="s">
        <v>6710</v>
      </c>
      <c r="F4207" t="s">
        <v>49</v>
      </c>
      <c r="G4207" t="s">
        <v>8635</v>
      </c>
      <c r="H4207" t="s">
        <v>9452</v>
      </c>
      <c r="J4207" t="str">
        <f>HYPERLINK("https://www.facebook.com/357267201017935/inbox/6743898455688079/","https://www.facebook.com/357267201017935/inbox/6743898455688079/")</f>
        <v>https://www.facebook.com/357267201017935/inbox/6743898455688079/</v>
      </c>
      <c r="O4207">
        <v>0</v>
      </c>
      <c r="P4207">
        <v>0</v>
      </c>
      <c r="Q4207">
        <v>0</v>
      </c>
      <c r="S4207">
        <v>0</v>
      </c>
      <c r="T4207">
        <v>0</v>
      </c>
      <c r="U4207">
        <v>0</v>
      </c>
      <c r="W4207" t="s">
        <v>52</v>
      </c>
    </row>
    <row r="4208" spans="1:45" x14ac:dyDescent="0.35">
      <c r="A4208" t="s">
        <v>45</v>
      </c>
      <c r="B4208" t="s">
        <v>8332</v>
      </c>
      <c r="C4208" t="s">
        <v>47</v>
      </c>
      <c r="D4208" t="s">
        <v>6710</v>
      </c>
      <c r="E4208" t="s">
        <v>6710</v>
      </c>
      <c r="F4208" t="s">
        <v>49</v>
      </c>
      <c r="G4208" t="s">
        <v>2767</v>
      </c>
      <c r="H4208" t="s">
        <v>9453</v>
      </c>
      <c r="J4208" t="str">
        <f>HYPERLINK("https://www.facebook.com/357267201017935/inbox/6743898455688079/","https://www.facebook.com/357267201017935/inbox/6743898455688079/")</f>
        <v>https://www.facebook.com/357267201017935/inbox/6743898455688079/</v>
      </c>
      <c r="O4208">
        <v>0</v>
      </c>
      <c r="P4208">
        <v>0</v>
      </c>
      <c r="Q4208">
        <v>0</v>
      </c>
      <c r="S4208">
        <v>0</v>
      </c>
      <c r="T4208">
        <v>0</v>
      </c>
      <c r="U4208">
        <v>0</v>
      </c>
      <c r="W4208" t="s">
        <v>52</v>
      </c>
    </row>
    <row r="4209" spans="1:41" x14ac:dyDescent="0.35">
      <c r="A4209" t="s">
        <v>45</v>
      </c>
      <c r="B4209" t="s">
        <v>8332</v>
      </c>
      <c r="C4209" t="s">
        <v>47</v>
      </c>
      <c r="D4209" t="s">
        <v>6710</v>
      </c>
      <c r="E4209" t="s">
        <v>6710</v>
      </c>
      <c r="F4209" t="s">
        <v>49</v>
      </c>
      <c r="G4209" t="s">
        <v>7144</v>
      </c>
      <c r="H4209" t="s">
        <v>9454</v>
      </c>
      <c r="J4209" t="str">
        <f>HYPERLINK("https://www.facebook.com/357267201017935/inbox/6743898455688079/","https://www.facebook.com/357267201017935/inbox/6743898455688079/")</f>
        <v>https://www.facebook.com/357267201017935/inbox/6743898455688079/</v>
      </c>
      <c r="O4209">
        <v>0</v>
      </c>
      <c r="P4209">
        <v>0</v>
      </c>
      <c r="Q4209">
        <v>0</v>
      </c>
      <c r="S4209">
        <v>0</v>
      </c>
      <c r="T4209">
        <v>0</v>
      </c>
      <c r="U4209">
        <v>0</v>
      </c>
      <c r="W4209" t="s">
        <v>52</v>
      </c>
    </row>
    <row r="4210" spans="1:41" x14ac:dyDescent="0.35">
      <c r="A4210" t="s">
        <v>45</v>
      </c>
      <c r="B4210" t="s">
        <v>8332</v>
      </c>
      <c r="C4210" t="s">
        <v>47</v>
      </c>
      <c r="D4210" t="s">
        <v>9455</v>
      </c>
      <c r="E4210" t="s">
        <v>9455</v>
      </c>
      <c r="F4210" t="s">
        <v>142</v>
      </c>
      <c r="G4210" t="s">
        <v>9456</v>
      </c>
      <c r="H4210" t="s">
        <v>9457</v>
      </c>
      <c r="J4210" t="str">
        <f>HYPERLINK("https://www.facebook.com/357267201017935/inbox/6991628634248392/","https://www.facebook.com/357267201017935/inbox/6991628634248392/")</f>
        <v>https://www.facebook.com/357267201017935/inbox/6991628634248392/</v>
      </c>
      <c r="O4210">
        <v>0</v>
      </c>
      <c r="P4210">
        <v>0</v>
      </c>
      <c r="Q4210">
        <v>0</v>
      </c>
      <c r="S4210">
        <v>0</v>
      </c>
      <c r="T4210">
        <v>0</v>
      </c>
      <c r="U4210">
        <v>0</v>
      </c>
      <c r="W4210" t="s">
        <v>52</v>
      </c>
    </row>
    <row r="4211" spans="1:41" x14ac:dyDescent="0.35">
      <c r="A4211" t="s">
        <v>45</v>
      </c>
      <c r="B4211" t="s">
        <v>8332</v>
      </c>
      <c r="C4211" t="s">
        <v>47</v>
      </c>
      <c r="D4211" t="s">
        <v>9455</v>
      </c>
      <c r="E4211" t="s">
        <v>9455</v>
      </c>
      <c r="F4211" t="s">
        <v>49</v>
      </c>
      <c r="G4211" t="s">
        <v>9458</v>
      </c>
      <c r="H4211" t="s">
        <v>9459</v>
      </c>
      <c r="J4211" t="str">
        <f>HYPERLINK("https://www.facebook.com/357267201017935/inbox/6991628634248392/","https://www.facebook.com/357267201017935/inbox/6991628634248392/")</f>
        <v>https://www.facebook.com/357267201017935/inbox/6991628634248392/</v>
      </c>
      <c r="O4211">
        <v>0</v>
      </c>
      <c r="P4211">
        <v>0</v>
      </c>
      <c r="Q4211">
        <v>0</v>
      </c>
      <c r="S4211">
        <v>0</v>
      </c>
      <c r="T4211">
        <v>0</v>
      </c>
      <c r="U4211">
        <v>0</v>
      </c>
      <c r="W4211" t="s">
        <v>52</v>
      </c>
    </row>
    <row r="4212" spans="1:41" x14ac:dyDescent="0.35">
      <c r="A4212" t="s">
        <v>45</v>
      </c>
      <c r="B4212" t="s">
        <v>8332</v>
      </c>
      <c r="C4212" t="s">
        <v>47</v>
      </c>
      <c r="D4212" t="s">
        <v>9455</v>
      </c>
      <c r="E4212" t="s">
        <v>9455</v>
      </c>
      <c r="F4212" t="s">
        <v>49</v>
      </c>
      <c r="G4212" t="s">
        <v>9460</v>
      </c>
      <c r="H4212" t="s">
        <v>9461</v>
      </c>
      <c r="J4212" t="str">
        <f>HYPERLINK("https://www.facebook.com/357267201017935/inbox/6991628634248392/","https://www.facebook.com/357267201017935/inbox/6991628634248392/")</f>
        <v>https://www.facebook.com/357267201017935/inbox/6991628634248392/</v>
      </c>
      <c r="O4212">
        <v>0</v>
      </c>
      <c r="P4212">
        <v>0</v>
      </c>
      <c r="Q4212">
        <v>0</v>
      </c>
      <c r="S4212">
        <v>0</v>
      </c>
      <c r="T4212">
        <v>0</v>
      </c>
      <c r="U4212">
        <v>0</v>
      </c>
      <c r="W4212" t="s">
        <v>52</v>
      </c>
    </row>
    <row r="4213" spans="1:41" x14ac:dyDescent="0.35">
      <c r="A4213" t="s">
        <v>45</v>
      </c>
      <c r="B4213" t="s">
        <v>8332</v>
      </c>
      <c r="C4213" t="s">
        <v>47</v>
      </c>
      <c r="D4213" t="s">
        <v>9200</v>
      </c>
      <c r="E4213" t="s">
        <v>9200</v>
      </c>
      <c r="F4213" t="s">
        <v>49</v>
      </c>
      <c r="G4213" t="s">
        <v>3905</v>
      </c>
      <c r="H4213" t="s">
        <v>9462</v>
      </c>
      <c r="J4213" t="str">
        <f>HYPERLINK("https://www.facebook.com/454965103328545/posts/763307319160987?comment_id=293584396699106","https://www.facebook.com/454965103328545/posts/763307319160987?comment_id=293584396699106")</f>
        <v>https://www.facebook.com/454965103328545/posts/763307319160987?comment_id=293584396699106</v>
      </c>
      <c r="O4213">
        <v>0</v>
      </c>
      <c r="P4213">
        <v>0</v>
      </c>
      <c r="Q4213">
        <v>0</v>
      </c>
      <c r="S4213">
        <v>0</v>
      </c>
      <c r="T4213">
        <v>0</v>
      </c>
      <c r="U4213">
        <v>0</v>
      </c>
      <c r="W4213" t="s">
        <v>62</v>
      </c>
    </row>
    <row r="4214" spans="1:41" x14ac:dyDescent="0.35">
      <c r="A4214" t="s">
        <v>45</v>
      </c>
      <c r="B4214" t="s">
        <v>8332</v>
      </c>
      <c r="C4214" t="s">
        <v>58</v>
      </c>
      <c r="D4214" t="s">
        <v>1706</v>
      </c>
      <c r="E4214" t="s">
        <v>1706</v>
      </c>
      <c r="F4214" t="s">
        <v>76</v>
      </c>
      <c r="G4214" t="s">
        <v>9463</v>
      </c>
      <c r="H4214" t="s">
        <v>9464</v>
      </c>
      <c r="J4214" t="str">
        <f>HYPERLINK("https://www.youtube.com/watch?v=8kP-_SDNvAE","https://www.youtube.com/watch?v=8kP-_SDNvAE")</f>
        <v>https://www.youtube.com/watch?v=8kP-_SDNvAE</v>
      </c>
      <c r="O4214">
        <v>0</v>
      </c>
      <c r="P4214">
        <v>0</v>
      </c>
      <c r="Q4214">
        <v>0</v>
      </c>
      <c r="S4214">
        <v>0</v>
      </c>
      <c r="T4214">
        <v>0</v>
      </c>
      <c r="U4214">
        <v>0</v>
      </c>
      <c r="W4214" t="s">
        <v>106</v>
      </c>
    </row>
    <row r="4215" spans="1:41" x14ac:dyDescent="0.35">
      <c r="A4215" t="s">
        <v>45</v>
      </c>
      <c r="B4215" t="s">
        <v>8332</v>
      </c>
      <c r="C4215" t="s">
        <v>47</v>
      </c>
      <c r="D4215" t="s">
        <v>9465</v>
      </c>
      <c r="E4215" t="s">
        <v>9465</v>
      </c>
      <c r="F4215" t="s">
        <v>49</v>
      </c>
      <c r="G4215" t="s">
        <v>9466</v>
      </c>
      <c r="H4215" t="s">
        <v>9467</v>
      </c>
      <c r="J4215" t="str">
        <f>HYPERLINK("https://www.facebook.com/357267201017935/inbox/6991568357587753/","https://www.facebook.com/357267201017935/inbox/6991568357587753/")</f>
        <v>https://www.facebook.com/357267201017935/inbox/6991568357587753/</v>
      </c>
      <c r="O4215">
        <v>0</v>
      </c>
      <c r="P4215">
        <v>0</v>
      </c>
      <c r="Q4215">
        <v>0</v>
      </c>
      <c r="S4215">
        <v>0</v>
      </c>
      <c r="T4215">
        <v>0</v>
      </c>
      <c r="U4215">
        <v>0</v>
      </c>
      <c r="W4215" t="s">
        <v>52</v>
      </c>
    </row>
    <row r="4216" spans="1:41" x14ac:dyDescent="0.35">
      <c r="A4216" t="s">
        <v>45</v>
      </c>
      <c r="B4216" t="s">
        <v>8332</v>
      </c>
      <c r="C4216" t="s">
        <v>47</v>
      </c>
      <c r="D4216" t="s">
        <v>9468</v>
      </c>
      <c r="E4216" t="s">
        <v>9468</v>
      </c>
      <c r="F4216" t="s">
        <v>49</v>
      </c>
      <c r="G4216" t="s">
        <v>9469</v>
      </c>
      <c r="H4216" t="s">
        <v>9470</v>
      </c>
      <c r="J4216" t="str">
        <f>HYPERLINK("https://www.facebook.com/454965103328545/posts/763871475771238?comment_id=220196921169203","https://www.facebook.com/454965103328545/posts/763871475771238?comment_id=220196921169203")</f>
        <v>https://www.facebook.com/454965103328545/posts/763871475771238?comment_id=220196921169203</v>
      </c>
      <c r="O4216">
        <v>0</v>
      </c>
      <c r="P4216">
        <v>0</v>
      </c>
      <c r="Q4216">
        <v>0</v>
      </c>
      <c r="S4216">
        <v>0</v>
      </c>
      <c r="T4216">
        <v>0</v>
      </c>
      <c r="U4216">
        <v>0</v>
      </c>
      <c r="W4216" t="s">
        <v>62</v>
      </c>
    </row>
    <row r="4217" spans="1:41" x14ac:dyDescent="0.35">
      <c r="A4217" t="s">
        <v>45</v>
      </c>
      <c r="B4217" t="s">
        <v>8332</v>
      </c>
      <c r="C4217" t="s">
        <v>47</v>
      </c>
      <c r="D4217" t="s">
        <v>7381</v>
      </c>
      <c r="E4217" t="s">
        <v>7381</v>
      </c>
      <c r="F4217" t="s">
        <v>49</v>
      </c>
      <c r="G4217" t="s">
        <v>9471</v>
      </c>
      <c r="H4217" t="s">
        <v>9472</v>
      </c>
      <c r="J4217" t="str">
        <f>HYPERLINK("https://www.facebook.com/454965103328545/posts/763899692435083?comment_id=753263573026361","https://www.facebook.com/454965103328545/posts/763899692435083?comment_id=753263573026361")</f>
        <v>https://www.facebook.com/454965103328545/posts/763899692435083?comment_id=753263573026361</v>
      </c>
      <c r="O4217">
        <v>0</v>
      </c>
      <c r="P4217">
        <v>0</v>
      </c>
      <c r="Q4217">
        <v>0</v>
      </c>
      <c r="S4217">
        <v>0</v>
      </c>
      <c r="T4217">
        <v>0</v>
      </c>
      <c r="U4217">
        <v>0</v>
      </c>
      <c r="W4217" t="s">
        <v>62</v>
      </c>
    </row>
    <row r="4218" spans="1:41" x14ac:dyDescent="0.35">
      <c r="A4218" t="s">
        <v>45</v>
      </c>
      <c r="B4218" t="s">
        <v>8332</v>
      </c>
      <c r="C4218" t="s">
        <v>47</v>
      </c>
      <c r="D4218" t="s">
        <v>9468</v>
      </c>
      <c r="E4218" t="s">
        <v>9468</v>
      </c>
      <c r="F4218" t="s">
        <v>49</v>
      </c>
      <c r="G4218" t="s">
        <v>9473</v>
      </c>
      <c r="H4218" t="s">
        <v>9474</v>
      </c>
      <c r="J4218" t="str">
        <f>HYPERLINK("https://www.facebook.com/454965103328545/posts/763871475771238?comment_id=7933046080045970","https://www.facebook.com/454965103328545/posts/763871475771238?comment_id=7933046080045970")</f>
        <v>https://www.facebook.com/454965103328545/posts/763871475771238?comment_id=7933046080045970</v>
      </c>
      <c r="O4218">
        <v>0</v>
      </c>
      <c r="P4218">
        <v>0</v>
      </c>
      <c r="Q4218">
        <v>0</v>
      </c>
      <c r="S4218">
        <v>0</v>
      </c>
      <c r="T4218">
        <v>0</v>
      </c>
      <c r="U4218">
        <v>0</v>
      </c>
      <c r="W4218" t="s">
        <v>62</v>
      </c>
    </row>
    <row r="4219" spans="1:41" x14ac:dyDescent="0.35">
      <c r="A4219" t="s">
        <v>45</v>
      </c>
      <c r="B4219" t="s">
        <v>8332</v>
      </c>
      <c r="C4219" t="s">
        <v>47</v>
      </c>
      <c r="D4219" t="s">
        <v>8808</v>
      </c>
      <c r="E4219" t="s">
        <v>8808</v>
      </c>
      <c r="F4219" t="s">
        <v>49</v>
      </c>
      <c r="G4219" t="s">
        <v>9475</v>
      </c>
      <c r="H4219" t="s">
        <v>9476</v>
      </c>
      <c r="J4219" t="str">
        <f>HYPERLINK("https://www.facebook.com/454965103328545/posts/763871475771238?comment_id=237045752789772","https://www.facebook.com/454965103328545/posts/763871475771238?comment_id=237045752789772")</f>
        <v>https://www.facebook.com/454965103328545/posts/763871475771238?comment_id=237045752789772</v>
      </c>
      <c r="O4219">
        <v>0</v>
      </c>
      <c r="P4219">
        <v>0</v>
      </c>
      <c r="Q4219">
        <v>0</v>
      </c>
      <c r="S4219">
        <v>0</v>
      </c>
      <c r="T4219">
        <v>0</v>
      </c>
      <c r="U4219">
        <v>0</v>
      </c>
      <c r="W4219" t="s">
        <v>62</v>
      </c>
    </row>
    <row r="4220" spans="1:41" x14ac:dyDescent="0.35">
      <c r="A4220" t="s">
        <v>45</v>
      </c>
      <c r="B4220" t="s">
        <v>8332</v>
      </c>
      <c r="C4220" t="s">
        <v>47</v>
      </c>
      <c r="D4220" t="s">
        <v>9468</v>
      </c>
      <c r="E4220" t="s">
        <v>9468</v>
      </c>
      <c r="F4220" t="s">
        <v>49</v>
      </c>
      <c r="G4220" t="s">
        <v>9477</v>
      </c>
      <c r="H4220" t="s">
        <v>9478</v>
      </c>
      <c r="J4220" t="str">
        <f>HYPERLINK("https://www.facebook.com/357267201017935/inbox/6991492774261978/","https://www.facebook.com/357267201017935/inbox/6991492774261978/")</f>
        <v>https://www.facebook.com/357267201017935/inbox/6991492774261978/</v>
      </c>
      <c r="O4220">
        <v>0</v>
      </c>
      <c r="P4220">
        <v>0</v>
      </c>
      <c r="Q4220">
        <v>0</v>
      </c>
      <c r="S4220">
        <v>0</v>
      </c>
      <c r="T4220">
        <v>0</v>
      </c>
      <c r="U4220">
        <v>0</v>
      </c>
      <c r="W4220" t="s">
        <v>52</v>
      </c>
    </row>
    <row r="4221" spans="1:41" x14ac:dyDescent="0.35">
      <c r="A4221" t="s">
        <v>45</v>
      </c>
      <c r="B4221" t="s">
        <v>8332</v>
      </c>
      <c r="C4221" t="s">
        <v>47</v>
      </c>
      <c r="D4221" t="s">
        <v>9468</v>
      </c>
      <c r="E4221" t="s">
        <v>9468</v>
      </c>
      <c r="F4221" t="s">
        <v>142</v>
      </c>
      <c r="G4221" t="s">
        <v>9479</v>
      </c>
      <c r="H4221" t="s">
        <v>9480</v>
      </c>
      <c r="J4221" t="str">
        <f>HYPERLINK("https://www.facebook.com/357267201017935/inbox/6991492774261978/","https://www.facebook.com/357267201017935/inbox/6991492774261978/")</f>
        <v>https://www.facebook.com/357267201017935/inbox/6991492774261978/</v>
      </c>
      <c r="O4221">
        <v>0</v>
      </c>
      <c r="P4221">
        <v>0</v>
      </c>
      <c r="Q4221">
        <v>0</v>
      </c>
      <c r="S4221">
        <v>0</v>
      </c>
      <c r="T4221">
        <v>0</v>
      </c>
      <c r="U4221">
        <v>0</v>
      </c>
      <c r="W4221" t="s">
        <v>52</v>
      </c>
    </row>
    <row r="4222" spans="1:41" x14ac:dyDescent="0.35">
      <c r="A4222" t="s">
        <v>45</v>
      </c>
      <c r="B4222" t="s">
        <v>8332</v>
      </c>
      <c r="C4222" t="s">
        <v>47</v>
      </c>
      <c r="D4222" t="s">
        <v>9468</v>
      </c>
      <c r="E4222" t="s">
        <v>9468</v>
      </c>
      <c r="F4222" t="s">
        <v>142</v>
      </c>
      <c r="G4222" t="s">
        <v>9479</v>
      </c>
      <c r="H4222" t="s">
        <v>9481</v>
      </c>
      <c r="J4222" t="str">
        <f>HYPERLINK("https://www.facebook.com/357267201017935/inbox/6991492774261978/","https://www.facebook.com/357267201017935/inbox/6991492774261978/")</f>
        <v>https://www.facebook.com/357267201017935/inbox/6991492774261978/</v>
      </c>
      <c r="O4222">
        <v>0</v>
      </c>
      <c r="P4222">
        <v>0</v>
      </c>
      <c r="Q4222">
        <v>0</v>
      </c>
      <c r="S4222">
        <v>0</v>
      </c>
      <c r="T4222">
        <v>0</v>
      </c>
      <c r="U4222">
        <v>0</v>
      </c>
      <c r="W4222" t="s">
        <v>52</v>
      </c>
    </row>
    <row r="4223" spans="1:41" x14ac:dyDescent="0.35">
      <c r="A4223" t="s">
        <v>45</v>
      </c>
      <c r="B4223" t="s">
        <v>8332</v>
      </c>
      <c r="C4223" t="s">
        <v>47</v>
      </c>
      <c r="D4223" t="s">
        <v>8802</v>
      </c>
      <c r="E4223" t="s">
        <v>8802</v>
      </c>
      <c r="F4223" t="s">
        <v>49</v>
      </c>
      <c r="G4223" t="s">
        <v>9482</v>
      </c>
      <c r="H4223" t="s">
        <v>9483</v>
      </c>
      <c r="J4223" t="str">
        <f>HYPERLINK("https://www.facebook.com/454965103328545/posts/763871475771238?comment_id=1822963978138035","https://www.facebook.com/454965103328545/posts/763871475771238?comment_id=1822963978138035")</f>
        <v>https://www.facebook.com/454965103328545/posts/763871475771238?comment_id=1822963978138035</v>
      </c>
      <c r="O4223">
        <v>0</v>
      </c>
      <c r="P4223">
        <v>0</v>
      </c>
      <c r="Q4223">
        <v>0</v>
      </c>
      <c r="S4223">
        <v>0</v>
      </c>
      <c r="T4223">
        <v>0</v>
      </c>
      <c r="U4223">
        <v>0</v>
      </c>
      <c r="W4223" t="s">
        <v>62</v>
      </c>
      <c r="AO4223" t="s">
        <v>67</v>
      </c>
    </row>
    <row r="4224" spans="1:41" x14ac:dyDescent="0.35">
      <c r="A4224" t="s">
        <v>45</v>
      </c>
      <c r="B4224" t="s">
        <v>8332</v>
      </c>
      <c r="C4224" t="s">
        <v>47</v>
      </c>
      <c r="D4224" t="s">
        <v>8802</v>
      </c>
      <c r="E4224" t="s">
        <v>8802</v>
      </c>
      <c r="F4224" t="s">
        <v>76</v>
      </c>
      <c r="G4224" t="s">
        <v>501</v>
      </c>
      <c r="H4224" t="s">
        <v>9484</v>
      </c>
      <c r="J4224" t="str">
        <f>HYPERLINK("https://www.facebook.com/454965103328545/posts/763871475771238?comment_id=977346503988347","https://www.facebook.com/454965103328545/posts/763871475771238?comment_id=977346503988347")</f>
        <v>https://www.facebook.com/454965103328545/posts/763871475771238?comment_id=977346503988347</v>
      </c>
      <c r="O4224">
        <v>0</v>
      </c>
      <c r="P4224">
        <v>0</v>
      </c>
      <c r="Q4224">
        <v>0</v>
      </c>
      <c r="S4224">
        <v>0</v>
      </c>
      <c r="T4224">
        <v>0</v>
      </c>
      <c r="U4224">
        <v>0</v>
      </c>
      <c r="W4224" t="s">
        <v>62</v>
      </c>
    </row>
    <row r="4225" spans="1:45" x14ac:dyDescent="0.35">
      <c r="A4225" t="s">
        <v>45</v>
      </c>
      <c r="B4225" t="s">
        <v>8332</v>
      </c>
      <c r="C4225" t="s">
        <v>47</v>
      </c>
      <c r="D4225" t="s">
        <v>860</v>
      </c>
      <c r="E4225" t="s">
        <v>860</v>
      </c>
      <c r="F4225" t="s">
        <v>49</v>
      </c>
      <c r="G4225" t="s">
        <v>9485</v>
      </c>
      <c r="H4225" t="s">
        <v>9486</v>
      </c>
      <c r="J4225" t="str">
        <f>HYPERLINK("https://www.facebook.com/454965103328545/posts/763899692435083?comment_id=1118039926218362","https://www.facebook.com/454965103328545/posts/763899692435083?comment_id=1118039926218362")</f>
        <v>https://www.facebook.com/454965103328545/posts/763899692435083?comment_id=1118039926218362</v>
      </c>
      <c r="O4225">
        <v>0</v>
      </c>
      <c r="P4225">
        <v>0</v>
      </c>
      <c r="Q4225">
        <v>0</v>
      </c>
      <c r="S4225">
        <v>0</v>
      </c>
      <c r="T4225">
        <v>0</v>
      </c>
      <c r="U4225">
        <v>0</v>
      </c>
      <c r="W4225" t="s">
        <v>62</v>
      </c>
    </row>
    <row r="4226" spans="1:45" x14ac:dyDescent="0.35">
      <c r="A4226" t="s">
        <v>45</v>
      </c>
      <c r="B4226" t="s">
        <v>8332</v>
      </c>
      <c r="C4226" t="s">
        <v>47</v>
      </c>
      <c r="D4226" t="s">
        <v>9391</v>
      </c>
      <c r="E4226" t="s">
        <v>9391</v>
      </c>
      <c r="F4226" t="s">
        <v>49</v>
      </c>
      <c r="G4226" t="s">
        <v>9487</v>
      </c>
      <c r="H4226" t="s">
        <v>9488</v>
      </c>
      <c r="J4226" t="str">
        <f>HYPERLINK("https://www.facebook.com/454965103328545/posts/763871475771238?comment_id=798492295440898","https://www.facebook.com/454965103328545/posts/763871475771238?comment_id=798492295440898")</f>
        <v>https://www.facebook.com/454965103328545/posts/763871475771238?comment_id=798492295440898</v>
      </c>
      <c r="O4226">
        <v>0</v>
      </c>
      <c r="P4226">
        <v>0</v>
      </c>
      <c r="Q4226">
        <v>0</v>
      </c>
      <c r="S4226">
        <v>0</v>
      </c>
      <c r="T4226">
        <v>0</v>
      </c>
      <c r="U4226">
        <v>0</v>
      </c>
      <c r="W4226" t="s">
        <v>62</v>
      </c>
      <c r="AS4226" t="s">
        <v>375</v>
      </c>
    </row>
    <row r="4227" spans="1:45" x14ac:dyDescent="0.35">
      <c r="A4227" t="s">
        <v>45</v>
      </c>
      <c r="B4227" t="s">
        <v>8332</v>
      </c>
      <c r="C4227" t="s">
        <v>47</v>
      </c>
      <c r="D4227" t="s">
        <v>9489</v>
      </c>
      <c r="E4227" t="s">
        <v>9489</v>
      </c>
      <c r="F4227" t="s">
        <v>49</v>
      </c>
      <c r="G4227" t="s">
        <v>9490</v>
      </c>
      <c r="H4227" t="s">
        <v>9491</v>
      </c>
      <c r="J4227" t="str">
        <f>HYPERLINK("https://www.facebook.com/357267201017935/posts/3069910089753619/?comment_id=1103022987563420","https://www.facebook.com/357267201017935/posts/3069910089753619/?comment_id=1103022987563420")</f>
        <v>https://www.facebook.com/357267201017935/posts/3069910089753619/?comment_id=1103022987563420</v>
      </c>
      <c r="O4227">
        <v>0</v>
      </c>
      <c r="P4227">
        <v>0</v>
      </c>
      <c r="Q4227">
        <v>0</v>
      </c>
      <c r="S4227">
        <v>0</v>
      </c>
      <c r="T4227">
        <v>0</v>
      </c>
      <c r="U4227">
        <v>0</v>
      </c>
      <c r="W4227" t="s">
        <v>62</v>
      </c>
    </row>
    <row r="4228" spans="1:45" x14ac:dyDescent="0.35">
      <c r="A4228" t="s">
        <v>45</v>
      </c>
      <c r="B4228" t="s">
        <v>8332</v>
      </c>
      <c r="C4228" t="s">
        <v>47</v>
      </c>
      <c r="D4228" t="s">
        <v>9492</v>
      </c>
      <c r="E4228" t="s">
        <v>9492</v>
      </c>
      <c r="F4228" t="s">
        <v>142</v>
      </c>
      <c r="G4228" t="s">
        <v>9493</v>
      </c>
      <c r="H4228" t="s">
        <v>9494</v>
      </c>
      <c r="J4228" t="str">
        <f>HYPERLINK("https://www.facebook.com/122111564576193904","https://www.facebook.com/122111564576193904")</f>
        <v>https://www.facebook.com/122111564576193904</v>
      </c>
      <c r="O4228">
        <v>0</v>
      </c>
      <c r="P4228">
        <v>0</v>
      </c>
      <c r="Q4228">
        <v>0</v>
      </c>
      <c r="S4228">
        <v>0</v>
      </c>
      <c r="T4228">
        <v>0</v>
      </c>
      <c r="U4228">
        <v>0</v>
      </c>
      <c r="W4228" t="s">
        <v>106</v>
      </c>
      <c r="AS4228" t="s">
        <v>9495</v>
      </c>
    </row>
    <row r="4229" spans="1:45" x14ac:dyDescent="0.35">
      <c r="A4229" t="s">
        <v>45</v>
      </c>
      <c r="B4229" t="s">
        <v>8332</v>
      </c>
      <c r="C4229" t="s">
        <v>47</v>
      </c>
      <c r="D4229" t="s">
        <v>9496</v>
      </c>
      <c r="E4229" t="s">
        <v>9496</v>
      </c>
      <c r="F4229" t="s">
        <v>49</v>
      </c>
      <c r="G4229" t="s">
        <v>9497</v>
      </c>
      <c r="H4229" t="s">
        <v>9498</v>
      </c>
      <c r="J4229" t="str">
        <f>HYPERLINK("https://www.facebook.com/454965103328545/posts/763871475771238?comment_id=1346159362755684&amp;reply_comment_id=903543731239989","https://www.facebook.com/454965103328545/posts/763871475771238?comment_id=1346159362755684&amp;reply_comment_id=903543731239989")</f>
        <v>https://www.facebook.com/454965103328545/posts/763871475771238?comment_id=1346159362755684&amp;reply_comment_id=903543731239989</v>
      </c>
      <c r="O4229">
        <v>0</v>
      </c>
      <c r="P4229">
        <v>0</v>
      </c>
      <c r="Q4229">
        <v>0</v>
      </c>
      <c r="S4229">
        <v>0</v>
      </c>
      <c r="T4229">
        <v>0</v>
      </c>
      <c r="U4229">
        <v>0</v>
      </c>
      <c r="W4229" t="s">
        <v>62</v>
      </c>
    </row>
    <row r="4230" spans="1:45" x14ac:dyDescent="0.35">
      <c r="A4230" t="s">
        <v>45</v>
      </c>
      <c r="B4230" t="s">
        <v>8332</v>
      </c>
      <c r="C4230" t="s">
        <v>47</v>
      </c>
      <c r="D4230" t="s">
        <v>45</v>
      </c>
      <c r="E4230" t="s">
        <v>45</v>
      </c>
      <c r="F4230" t="s">
        <v>49</v>
      </c>
      <c r="G4230" t="s">
        <v>9499</v>
      </c>
      <c r="H4230" t="s">
        <v>9500</v>
      </c>
      <c r="J4230" t="str">
        <f>HYPERLINK("https://www.facebook.com/454965103328545/posts/763871475771238?comment_id=1346159362755684&amp;reply_comment_id=1522625748585976","https://www.facebook.com/454965103328545/posts/763871475771238?comment_id=1346159362755684&amp;reply_comment_id=1522625748585976")</f>
        <v>https://www.facebook.com/454965103328545/posts/763871475771238?comment_id=1346159362755684&amp;reply_comment_id=1522625748585976</v>
      </c>
      <c r="O4230">
        <v>0</v>
      </c>
      <c r="P4230">
        <v>0</v>
      </c>
      <c r="Q4230">
        <v>0</v>
      </c>
      <c r="S4230">
        <v>0</v>
      </c>
      <c r="T4230">
        <v>0</v>
      </c>
      <c r="U4230">
        <v>0</v>
      </c>
      <c r="W4230" t="s">
        <v>62</v>
      </c>
    </row>
    <row r="4231" spans="1:45" x14ac:dyDescent="0.35">
      <c r="A4231" t="s">
        <v>45</v>
      </c>
      <c r="B4231" t="s">
        <v>8332</v>
      </c>
      <c r="C4231" t="s">
        <v>47</v>
      </c>
      <c r="D4231" t="s">
        <v>45</v>
      </c>
      <c r="E4231" t="s">
        <v>45</v>
      </c>
      <c r="F4231" t="s">
        <v>49</v>
      </c>
      <c r="G4231" t="s">
        <v>9501</v>
      </c>
      <c r="H4231" t="s">
        <v>9502</v>
      </c>
      <c r="J4231" t="str">
        <f>HYPERLINK("https://www.facebook.com/454965103328545/posts/763871475771238?comment_id=1130274091311477&amp;reply_comment_id=914763076898588","https://www.facebook.com/454965103328545/posts/763871475771238?comment_id=1130274091311477&amp;reply_comment_id=914763076898588")</f>
        <v>https://www.facebook.com/454965103328545/posts/763871475771238?comment_id=1130274091311477&amp;reply_comment_id=914763076898588</v>
      </c>
      <c r="O4231">
        <v>0</v>
      </c>
      <c r="P4231">
        <v>0</v>
      </c>
      <c r="Q4231">
        <v>0</v>
      </c>
      <c r="S4231">
        <v>0</v>
      </c>
      <c r="T4231">
        <v>0</v>
      </c>
      <c r="U4231">
        <v>0</v>
      </c>
      <c r="W4231" t="s">
        <v>62</v>
      </c>
    </row>
    <row r="4232" spans="1:45" x14ac:dyDescent="0.35">
      <c r="A4232" t="s">
        <v>45</v>
      </c>
      <c r="B4232" t="s">
        <v>8332</v>
      </c>
      <c r="C4232" t="s">
        <v>139</v>
      </c>
      <c r="D4232" t="s">
        <v>7364</v>
      </c>
      <c r="E4232" t="s">
        <v>7365</v>
      </c>
      <c r="F4232" t="s">
        <v>49</v>
      </c>
      <c r="G4232" t="s">
        <v>9503</v>
      </c>
      <c r="H4232" t="s">
        <v>9504</v>
      </c>
      <c r="J4232" t="str">
        <f>HYPERLINK("https://twitter.com/mannarajam/status/1753307084698087527","https://twitter.com/mannarajam/status/1753307084698087527")</f>
        <v>https://twitter.com/mannarajam/status/1753307084698087527</v>
      </c>
      <c r="O4232">
        <v>0</v>
      </c>
      <c r="P4232">
        <v>0</v>
      </c>
      <c r="Q4232">
        <v>25</v>
      </c>
      <c r="S4232">
        <v>0</v>
      </c>
      <c r="T4232">
        <v>0</v>
      </c>
      <c r="U4232">
        <v>0</v>
      </c>
      <c r="W4232" t="s">
        <v>146</v>
      </c>
      <c r="AS4232" t="s">
        <v>375</v>
      </c>
    </row>
    <row r="4233" spans="1:45" x14ac:dyDescent="0.35">
      <c r="A4233" t="s">
        <v>45</v>
      </c>
      <c r="B4233" t="s">
        <v>8332</v>
      </c>
      <c r="C4233" t="s">
        <v>47</v>
      </c>
      <c r="D4233" t="s">
        <v>9505</v>
      </c>
      <c r="E4233" t="s">
        <v>9505</v>
      </c>
      <c r="F4233" t="s">
        <v>142</v>
      </c>
      <c r="G4233" t="s">
        <v>9506</v>
      </c>
      <c r="H4233" t="s">
        <v>9507</v>
      </c>
      <c r="J4233" t="str">
        <f>HYPERLINK("https://www.facebook.com/357267201017935/inbox/6273353092742620/","https://www.facebook.com/357267201017935/inbox/6273353092742620/")</f>
        <v>https://www.facebook.com/357267201017935/inbox/6273353092742620/</v>
      </c>
      <c r="O4233">
        <v>0</v>
      </c>
      <c r="P4233">
        <v>0</v>
      </c>
      <c r="Q4233">
        <v>0</v>
      </c>
      <c r="S4233">
        <v>0</v>
      </c>
      <c r="T4233">
        <v>0</v>
      </c>
      <c r="U4233">
        <v>0</v>
      </c>
      <c r="W4233" t="s">
        <v>52</v>
      </c>
      <c r="AP4233" t="s">
        <v>147</v>
      </c>
    </row>
    <row r="4234" spans="1:45" x14ac:dyDescent="0.35">
      <c r="A4234" t="s">
        <v>45</v>
      </c>
      <c r="B4234" t="s">
        <v>8332</v>
      </c>
      <c r="C4234" t="s">
        <v>47</v>
      </c>
      <c r="D4234" t="s">
        <v>8623</v>
      </c>
      <c r="E4234" t="s">
        <v>8623</v>
      </c>
      <c r="F4234" t="s">
        <v>49</v>
      </c>
      <c r="G4234" t="s">
        <v>9508</v>
      </c>
      <c r="H4234" t="s">
        <v>9509</v>
      </c>
      <c r="J4234" t="str">
        <f>HYPERLINK("https://www.facebook.com/454965103328545/posts/763871475771238?comment_id=5457360797721327","https://www.facebook.com/454965103328545/posts/763871475771238?comment_id=5457360797721327")</f>
        <v>https://www.facebook.com/454965103328545/posts/763871475771238?comment_id=5457360797721327</v>
      </c>
      <c r="O4234">
        <v>0</v>
      </c>
      <c r="P4234">
        <v>0</v>
      </c>
      <c r="Q4234">
        <v>0</v>
      </c>
      <c r="S4234">
        <v>0</v>
      </c>
      <c r="T4234">
        <v>0</v>
      </c>
      <c r="U4234">
        <v>0</v>
      </c>
      <c r="W4234" t="s">
        <v>62</v>
      </c>
      <c r="AS4234" t="s">
        <v>375</v>
      </c>
    </row>
    <row r="4235" spans="1:45" x14ac:dyDescent="0.35">
      <c r="A4235" t="s">
        <v>45</v>
      </c>
      <c r="B4235" t="s">
        <v>8332</v>
      </c>
      <c r="C4235" t="s">
        <v>58</v>
      </c>
      <c r="D4235" t="s">
        <v>9510</v>
      </c>
      <c r="E4235" t="s">
        <v>9510</v>
      </c>
      <c r="F4235" t="s">
        <v>49</v>
      </c>
      <c r="G4235" t="s">
        <v>9511</v>
      </c>
      <c r="H4235" t="s">
        <v>9512</v>
      </c>
      <c r="J4235" t="str">
        <f>HYPERLINK("https://www.youtube.com/watch?v=lVW0k6x1Rv4","https://www.youtube.com/watch?v=lVW0k6x1Rv4")</f>
        <v>https://www.youtube.com/watch?v=lVW0k6x1Rv4</v>
      </c>
      <c r="O4235">
        <v>0</v>
      </c>
      <c r="P4235">
        <v>0</v>
      </c>
      <c r="Q4235">
        <v>0</v>
      </c>
      <c r="S4235">
        <v>0</v>
      </c>
      <c r="T4235">
        <v>0</v>
      </c>
      <c r="U4235">
        <v>0</v>
      </c>
      <c r="W4235" t="s">
        <v>106</v>
      </c>
    </row>
    <row r="4236" spans="1:45" x14ac:dyDescent="0.35">
      <c r="A4236" t="s">
        <v>45</v>
      </c>
      <c r="B4236" t="s">
        <v>8332</v>
      </c>
      <c r="C4236" t="s">
        <v>47</v>
      </c>
      <c r="D4236" t="s">
        <v>7714</v>
      </c>
      <c r="E4236" t="s">
        <v>7714</v>
      </c>
      <c r="F4236" t="s">
        <v>49</v>
      </c>
      <c r="G4236" t="s">
        <v>9513</v>
      </c>
      <c r="H4236" t="s">
        <v>9514</v>
      </c>
      <c r="J4236" t="str">
        <f>HYPERLINK("https://www.facebook.com/454965103328545/posts/763307319160987?comment_id=349325721352000","https://www.facebook.com/454965103328545/posts/763307319160987?comment_id=349325721352000")</f>
        <v>https://www.facebook.com/454965103328545/posts/763307319160987?comment_id=349325721352000</v>
      </c>
      <c r="O4236">
        <v>0</v>
      </c>
      <c r="P4236">
        <v>0</v>
      </c>
      <c r="Q4236">
        <v>0</v>
      </c>
      <c r="S4236">
        <v>0</v>
      </c>
      <c r="T4236">
        <v>0</v>
      </c>
      <c r="U4236">
        <v>0</v>
      </c>
      <c r="W4236" t="s">
        <v>62</v>
      </c>
    </row>
    <row r="4237" spans="1:45" x14ac:dyDescent="0.35">
      <c r="A4237" t="s">
        <v>45</v>
      </c>
      <c r="B4237" t="s">
        <v>8332</v>
      </c>
      <c r="C4237" t="s">
        <v>102</v>
      </c>
      <c r="D4237" t="s">
        <v>9515</v>
      </c>
      <c r="E4237" t="s">
        <v>9515</v>
      </c>
      <c r="F4237" t="s">
        <v>142</v>
      </c>
      <c r="G4237" t="s">
        <v>9516</v>
      </c>
      <c r="H4237" t="s">
        <v>9517</v>
      </c>
      <c r="J4237" t="str">
        <f>HYPERLINK("https://www.linkedin.com/feed/update/urn:li:share:7158447824953655296/?commentUrn=urn:li:comment:(urn:li:activity:7158447826098610177,7159059838340157441)","https://www.linkedin.com/feed/update/urn:li:share:7158447824953655296/?commentUrn=urn:li:comment:(urn:li:activity:7158447826098610177,7159059838340157441)")</f>
        <v>https://www.linkedin.com/feed/update/urn:li:share:7158447824953655296/?commentUrn=urn:li:comment:(urn:li:activity:7158447826098610177,7159059838340157441)</v>
      </c>
      <c r="K4237" t="s">
        <v>145</v>
      </c>
      <c r="O4237">
        <v>0</v>
      </c>
      <c r="P4237">
        <v>0</v>
      </c>
      <c r="Q4237">
        <v>0</v>
      </c>
      <c r="S4237">
        <v>0</v>
      </c>
      <c r="T4237">
        <v>0</v>
      </c>
      <c r="U4237">
        <v>0</v>
      </c>
      <c r="W4237" t="s">
        <v>62</v>
      </c>
      <c r="AO4237" t="s">
        <v>119</v>
      </c>
      <c r="AP4237" t="s">
        <v>147</v>
      </c>
    </row>
    <row r="4238" spans="1:45" x14ac:dyDescent="0.35">
      <c r="A4238" t="s">
        <v>45</v>
      </c>
      <c r="B4238" t="s">
        <v>8332</v>
      </c>
      <c r="C4238" t="s">
        <v>139</v>
      </c>
      <c r="D4238" t="s">
        <v>1765</v>
      </c>
      <c r="E4238" t="s">
        <v>1766</v>
      </c>
      <c r="F4238" t="s">
        <v>49</v>
      </c>
      <c r="G4238" t="s">
        <v>9518</v>
      </c>
      <c r="H4238" t="s">
        <v>9519</v>
      </c>
      <c r="J4238" t="str">
        <f>HYPERLINK("https://twitter.com/PrincyG39657148/status/1753292759119839551","https://twitter.com/PrincyG39657148/status/1753292759119839551")</f>
        <v>https://twitter.com/PrincyG39657148/status/1753292759119839551</v>
      </c>
      <c r="K4238" t="s">
        <v>1769</v>
      </c>
      <c r="O4238">
        <v>0</v>
      </c>
      <c r="P4238">
        <v>0</v>
      </c>
      <c r="Q4238">
        <v>0</v>
      </c>
      <c r="S4238">
        <v>0</v>
      </c>
      <c r="T4238">
        <v>0</v>
      </c>
      <c r="U4238">
        <v>0</v>
      </c>
      <c r="W4238" t="s">
        <v>146</v>
      </c>
    </row>
    <row r="4239" spans="1:45" x14ac:dyDescent="0.35">
      <c r="A4239" t="s">
        <v>45</v>
      </c>
      <c r="B4239" t="s">
        <v>8332</v>
      </c>
      <c r="C4239" t="s">
        <v>47</v>
      </c>
      <c r="D4239" t="s">
        <v>9520</v>
      </c>
      <c r="E4239" t="s">
        <v>9520</v>
      </c>
      <c r="F4239" t="s">
        <v>49</v>
      </c>
      <c r="G4239" t="s">
        <v>9521</v>
      </c>
      <c r="H4239" t="s">
        <v>9522</v>
      </c>
      <c r="J4239" t="str">
        <f>HYPERLINK("https://www.facebook.com/357267201017935/posts/3069910089753619/?comment_id=347883784876525","https://www.facebook.com/357267201017935/posts/3069910089753619/?comment_id=347883784876525")</f>
        <v>https://www.facebook.com/357267201017935/posts/3069910089753619/?comment_id=347883784876525</v>
      </c>
      <c r="O4239">
        <v>0</v>
      </c>
      <c r="P4239">
        <v>0</v>
      </c>
      <c r="Q4239">
        <v>0</v>
      </c>
      <c r="S4239">
        <v>0</v>
      </c>
      <c r="T4239">
        <v>0</v>
      </c>
      <c r="U4239">
        <v>0</v>
      </c>
      <c r="W4239" t="s">
        <v>62</v>
      </c>
    </row>
    <row r="4240" spans="1:45" x14ac:dyDescent="0.35">
      <c r="A4240" t="s">
        <v>45</v>
      </c>
      <c r="B4240" t="s">
        <v>8332</v>
      </c>
      <c r="C4240" t="s">
        <v>47</v>
      </c>
      <c r="D4240" t="s">
        <v>9520</v>
      </c>
      <c r="E4240" t="s">
        <v>9520</v>
      </c>
      <c r="F4240" t="s">
        <v>49</v>
      </c>
      <c r="G4240" t="s">
        <v>459</v>
      </c>
      <c r="H4240" t="s">
        <v>9523</v>
      </c>
      <c r="J4240" t="str">
        <f>HYPERLINK("https://www.facebook.com/357267201017935/posts/3069910089753619/?comment_id=931118668457565","https://www.facebook.com/357267201017935/posts/3069910089753619/?comment_id=931118668457565")</f>
        <v>https://www.facebook.com/357267201017935/posts/3069910089753619/?comment_id=931118668457565</v>
      </c>
      <c r="O4240">
        <v>0</v>
      </c>
      <c r="P4240">
        <v>0</v>
      </c>
      <c r="Q4240">
        <v>0</v>
      </c>
      <c r="S4240">
        <v>0</v>
      </c>
      <c r="T4240">
        <v>0</v>
      </c>
      <c r="U4240">
        <v>0</v>
      </c>
      <c r="W4240" t="s">
        <v>62</v>
      </c>
    </row>
    <row r="4241" spans="1:45" x14ac:dyDescent="0.35">
      <c r="A4241" t="s">
        <v>45</v>
      </c>
      <c r="B4241" t="s">
        <v>8332</v>
      </c>
      <c r="C4241" t="s">
        <v>47</v>
      </c>
      <c r="D4241" t="s">
        <v>9524</v>
      </c>
      <c r="E4241" t="s">
        <v>9524</v>
      </c>
      <c r="F4241" t="s">
        <v>76</v>
      </c>
      <c r="G4241" t="s">
        <v>9525</v>
      </c>
      <c r="H4241" t="s">
        <v>9526</v>
      </c>
      <c r="J4241" t="str">
        <f>HYPERLINK("https://www.facebook.com/454965103328545/posts/763871475771238?comment_id=1083430312794765","https://www.facebook.com/454965103328545/posts/763871475771238?comment_id=1083430312794765")</f>
        <v>https://www.facebook.com/454965103328545/posts/763871475771238?comment_id=1083430312794765</v>
      </c>
      <c r="O4241">
        <v>0</v>
      </c>
      <c r="P4241">
        <v>0</v>
      </c>
      <c r="Q4241">
        <v>0</v>
      </c>
      <c r="S4241">
        <v>0</v>
      </c>
      <c r="T4241">
        <v>0</v>
      </c>
      <c r="U4241">
        <v>0</v>
      </c>
      <c r="W4241" t="s">
        <v>62</v>
      </c>
    </row>
    <row r="4242" spans="1:45" x14ac:dyDescent="0.35">
      <c r="A4242" t="s">
        <v>45</v>
      </c>
      <c r="B4242" t="s">
        <v>8332</v>
      </c>
      <c r="C4242" t="s">
        <v>47</v>
      </c>
      <c r="D4242" t="s">
        <v>9520</v>
      </c>
      <c r="E4242" t="s">
        <v>9520</v>
      </c>
      <c r="F4242" t="s">
        <v>49</v>
      </c>
      <c r="G4242" t="s">
        <v>459</v>
      </c>
      <c r="H4242" t="s">
        <v>9527</v>
      </c>
      <c r="J4242" t="str">
        <f>HYPERLINK("https://www.facebook.com/357267201017935/posts/3069910089753619/?comment_id=760991185488022","https://www.facebook.com/357267201017935/posts/3069910089753619/?comment_id=760991185488022")</f>
        <v>https://www.facebook.com/357267201017935/posts/3069910089753619/?comment_id=760991185488022</v>
      </c>
      <c r="O4242">
        <v>0</v>
      </c>
      <c r="P4242">
        <v>0</v>
      </c>
      <c r="Q4242">
        <v>0</v>
      </c>
      <c r="S4242">
        <v>0</v>
      </c>
      <c r="T4242">
        <v>0</v>
      </c>
      <c r="U4242">
        <v>0</v>
      </c>
      <c r="W4242" t="s">
        <v>62</v>
      </c>
    </row>
    <row r="4243" spans="1:45" x14ac:dyDescent="0.35">
      <c r="A4243" t="s">
        <v>45</v>
      </c>
      <c r="B4243" t="s">
        <v>8332</v>
      </c>
      <c r="C4243" t="s">
        <v>139</v>
      </c>
      <c r="D4243" t="s">
        <v>1765</v>
      </c>
      <c r="E4243" t="s">
        <v>1766</v>
      </c>
      <c r="F4243" t="s">
        <v>142</v>
      </c>
      <c r="G4243" t="s">
        <v>9528</v>
      </c>
      <c r="H4243" t="s">
        <v>9529</v>
      </c>
      <c r="J4243" t="str">
        <f>HYPERLINK("https://twitter.com/PrincyG39657148/status/1753290905644384723","https://twitter.com/PrincyG39657148/status/1753290905644384723")</f>
        <v>https://twitter.com/PrincyG39657148/status/1753290905644384723</v>
      </c>
      <c r="K4243" t="s">
        <v>1769</v>
      </c>
      <c r="O4243">
        <v>0</v>
      </c>
      <c r="P4243">
        <v>0</v>
      </c>
      <c r="Q4243">
        <v>0</v>
      </c>
      <c r="S4243">
        <v>0</v>
      </c>
      <c r="T4243">
        <v>0</v>
      </c>
      <c r="U4243">
        <v>0</v>
      </c>
      <c r="W4243" t="s">
        <v>146</v>
      </c>
      <c r="AP4243" t="s">
        <v>101</v>
      </c>
    </row>
    <row r="4244" spans="1:45" x14ac:dyDescent="0.35">
      <c r="A4244" t="s">
        <v>45</v>
      </c>
      <c r="B4244" t="s">
        <v>8332</v>
      </c>
      <c r="C4244" t="s">
        <v>47</v>
      </c>
      <c r="D4244" t="s">
        <v>9530</v>
      </c>
      <c r="E4244" t="s">
        <v>9530</v>
      </c>
      <c r="F4244" t="s">
        <v>142</v>
      </c>
      <c r="G4244" t="s">
        <v>9531</v>
      </c>
      <c r="H4244" t="s">
        <v>9532</v>
      </c>
      <c r="J4244" t="str">
        <f>HYPERLINK("https://www.facebook.com/454965103328545/posts/763871475771238?comment_id=1377786633110583","https://www.facebook.com/454965103328545/posts/763871475771238?comment_id=1377786633110583")</f>
        <v>https://www.facebook.com/454965103328545/posts/763871475771238?comment_id=1377786633110583</v>
      </c>
      <c r="O4244">
        <v>0</v>
      </c>
      <c r="P4244">
        <v>0</v>
      </c>
      <c r="Q4244">
        <v>0</v>
      </c>
      <c r="S4244">
        <v>0</v>
      </c>
      <c r="T4244">
        <v>0</v>
      </c>
      <c r="U4244">
        <v>0</v>
      </c>
      <c r="W4244" t="s">
        <v>62</v>
      </c>
      <c r="AS4244" t="s">
        <v>375</v>
      </c>
    </row>
    <row r="4245" spans="1:45" x14ac:dyDescent="0.35">
      <c r="A4245" t="s">
        <v>45</v>
      </c>
      <c r="B4245" t="s">
        <v>8332</v>
      </c>
      <c r="C4245" t="s">
        <v>47</v>
      </c>
      <c r="D4245" t="s">
        <v>8583</v>
      </c>
      <c r="E4245" t="s">
        <v>8583</v>
      </c>
      <c r="F4245" t="s">
        <v>49</v>
      </c>
      <c r="G4245" t="s">
        <v>9533</v>
      </c>
      <c r="H4245" t="s">
        <v>9534</v>
      </c>
      <c r="J4245" t="str">
        <f>HYPERLINK("https://www.facebook.com/454965103328545/posts/763871475771238?comment_id=288372097270619","https://www.facebook.com/454965103328545/posts/763871475771238?comment_id=288372097270619")</f>
        <v>https://www.facebook.com/454965103328545/posts/763871475771238?comment_id=288372097270619</v>
      </c>
      <c r="O4245">
        <v>0</v>
      </c>
      <c r="P4245">
        <v>0</v>
      </c>
      <c r="Q4245">
        <v>0</v>
      </c>
      <c r="S4245">
        <v>0</v>
      </c>
      <c r="T4245">
        <v>0</v>
      </c>
      <c r="U4245">
        <v>0</v>
      </c>
      <c r="W4245" t="s">
        <v>62</v>
      </c>
      <c r="AS4245" t="s">
        <v>375</v>
      </c>
    </row>
    <row r="4246" spans="1:45" x14ac:dyDescent="0.35">
      <c r="A4246" t="s">
        <v>45</v>
      </c>
      <c r="B4246" t="s">
        <v>8332</v>
      </c>
      <c r="C4246" t="s">
        <v>47</v>
      </c>
      <c r="D4246" t="s">
        <v>45</v>
      </c>
      <c r="E4246" t="s">
        <v>45</v>
      </c>
      <c r="F4246" t="s">
        <v>49</v>
      </c>
      <c r="G4246" t="s">
        <v>9535</v>
      </c>
      <c r="H4246" t="s">
        <v>9536</v>
      </c>
      <c r="J4246" t="str">
        <f>HYPERLINK("https://www.facebook.com/357267201017935/posts/3069910089753619/?comment_id=1439250890334504&amp;reply_comment_id=2134425930226473","https://www.facebook.com/357267201017935/posts/3069910089753619/?comment_id=1439250890334504&amp;reply_comment_id=2134425930226473")</f>
        <v>https://www.facebook.com/357267201017935/posts/3069910089753619/?comment_id=1439250890334504&amp;reply_comment_id=2134425930226473</v>
      </c>
      <c r="O4246">
        <v>0</v>
      </c>
      <c r="P4246">
        <v>0</v>
      </c>
      <c r="Q4246">
        <v>0</v>
      </c>
      <c r="S4246">
        <v>0</v>
      </c>
      <c r="T4246">
        <v>0</v>
      </c>
      <c r="U4246">
        <v>0</v>
      </c>
      <c r="W4246" t="s">
        <v>62</v>
      </c>
    </row>
    <row r="4247" spans="1:45" x14ac:dyDescent="0.35">
      <c r="A4247" t="s">
        <v>45</v>
      </c>
      <c r="B4247" t="s">
        <v>8332</v>
      </c>
      <c r="C4247" t="s">
        <v>47</v>
      </c>
      <c r="D4247" t="s">
        <v>45</v>
      </c>
      <c r="E4247" t="s">
        <v>45</v>
      </c>
      <c r="F4247" t="s">
        <v>49</v>
      </c>
      <c r="G4247" t="s">
        <v>9537</v>
      </c>
      <c r="H4247" t="s">
        <v>9538</v>
      </c>
      <c r="J4247" t="str">
        <f>HYPERLINK("https://www.facebook.com/357267201017935/inbox/6990938304317425/","https://www.facebook.com/357267201017935/inbox/6990938304317425/")</f>
        <v>https://www.facebook.com/357267201017935/inbox/6990938304317425/</v>
      </c>
      <c r="O4247">
        <v>0</v>
      </c>
      <c r="P4247">
        <v>0</v>
      </c>
      <c r="Q4247">
        <v>0</v>
      </c>
      <c r="S4247">
        <v>0</v>
      </c>
      <c r="T4247">
        <v>0</v>
      </c>
      <c r="U4247">
        <v>0</v>
      </c>
      <c r="W4247" t="s">
        <v>52</v>
      </c>
    </row>
    <row r="4248" spans="1:45" x14ac:dyDescent="0.35">
      <c r="A4248" t="s">
        <v>45</v>
      </c>
      <c r="B4248" t="s">
        <v>8332</v>
      </c>
      <c r="C4248" t="s">
        <v>47</v>
      </c>
      <c r="D4248" t="s">
        <v>45</v>
      </c>
      <c r="E4248" t="s">
        <v>45</v>
      </c>
      <c r="F4248" t="s">
        <v>49</v>
      </c>
      <c r="G4248" t="s">
        <v>9539</v>
      </c>
      <c r="H4248" t="s">
        <v>9540</v>
      </c>
      <c r="J4248" t="str">
        <f>HYPERLINK("https://www.facebook.com/357267201017935/inbox/6990982147646374/","https://www.facebook.com/357267201017935/inbox/6990982147646374/")</f>
        <v>https://www.facebook.com/357267201017935/inbox/6990982147646374/</v>
      </c>
      <c r="O4248">
        <v>0</v>
      </c>
      <c r="P4248">
        <v>0</v>
      </c>
      <c r="Q4248">
        <v>0</v>
      </c>
      <c r="S4248">
        <v>0</v>
      </c>
      <c r="T4248">
        <v>0</v>
      </c>
      <c r="U4248">
        <v>0</v>
      </c>
      <c r="W4248" t="s">
        <v>52</v>
      </c>
    </row>
    <row r="4249" spans="1:45" x14ac:dyDescent="0.35">
      <c r="A4249" t="s">
        <v>45</v>
      </c>
      <c r="B4249" t="s">
        <v>8332</v>
      </c>
      <c r="C4249" t="s">
        <v>47</v>
      </c>
      <c r="D4249" t="s">
        <v>4327</v>
      </c>
      <c r="E4249" t="s">
        <v>4327</v>
      </c>
      <c r="F4249" t="s">
        <v>49</v>
      </c>
      <c r="G4249" t="s">
        <v>9541</v>
      </c>
      <c r="H4249" t="s">
        <v>9542</v>
      </c>
      <c r="J4249" t="str">
        <f>HYPERLINK("https://www.facebook.com/357267201017935/inbox/6990982147646374/","https://www.facebook.com/357267201017935/inbox/6990982147646374/")</f>
        <v>https://www.facebook.com/357267201017935/inbox/6990982147646374/</v>
      </c>
      <c r="O4249">
        <v>0</v>
      </c>
      <c r="P4249">
        <v>0</v>
      </c>
      <c r="Q4249">
        <v>0</v>
      </c>
      <c r="S4249">
        <v>0</v>
      </c>
      <c r="T4249">
        <v>0</v>
      </c>
      <c r="U4249">
        <v>0</v>
      </c>
      <c r="W4249" t="s">
        <v>52</v>
      </c>
      <c r="AS4249" t="s">
        <v>375</v>
      </c>
    </row>
    <row r="4250" spans="1:45" x14ac:dyDescent="0.35">
      <c r="A4250" t="s">
        <v>45</v>
      </c>
      <c r="B4250" t="s">
        <v>8332</v>
      </c>
      <c r="C4250" t="s">
        <v>47</v>
      </c>
      <c r="D4250" t="s">
        <v>888</v>
      </c>
      <c r="E4250" t="s">
        <v>888</v>
      </c>
      <c r="F4250" t="s">
        <v>49</v>
      </c>
      <c r="G4250" t="s">
        <v>9543</v>
      </c>
      <c r="H4250" t="s">
        <v>9544</v>
      </c>
      <c r="J4250" t="str">
        <f>HYPERLINK("https://www.facebook.com/454965103328545/posts/763871475771238?comment_id=1765314937281234","https://www.facebook.com/454965103328545/posts/763871475771238?comment_id=1765314937281234")</f>
        <v>https://www.facebook.com/454965103328545/posts/763871475771238?comment_id=1765314937281234</v>
      </c>
      <c r="O4250">
        <v>0</v>
      </c>
      <c r="P4250">
        <v>0</v>
      </c>
      <c r="Q4250">
        <v>0</v>
      </c>
      <c r="S4250">
        <v>0</v>
      </c>
      <c r="T4250">
        <v>0</v>
      </c>
      <c r="U4250">
        <v>0</v>
      </c>
      <c r="W4250" t="s">
        <v>62</v>
      </c>
    </row>
    <row r="4251" spans="1:45" x14ac:dyDescent="0.35">
      <c r="A4251" t="s">
        <v>45</v>
      </c>
      <c r="B4251" t="s">
        <v>8332</v>
      </c>
      <c r="C4251" t="s">
        <v>47</v>
      </c>
      <c r="D4251" t="s">
        <v>8789</v>
      </c>
      <c r="E4251" t="s">
        <v>8789</v>
      </c>
      <c r="F4251" t="s">
        <v>49</v>
      </c>
      <c r="G4251" t="s">
        <v>9545</v>
      </c>
      <c r="H4251" t="s">
        <v>9546</v>
      </c>
      <c r="J4251" t="str">
        <f>HYPERLINK("https://www.facebook.com/357267201017935/inbox/6990938304317425/","https://www.facebook.com/357267201017935/inbox/6990938304317425/")</f>
        <v>https://www.facebook.com/357267201017935/inbox/6990938304317425/</v>
      </c>
      <c r="O4251">
        <v>0</v>
      </c>
      <c r="P4251">
        <v>0</v>
      </c>
      <c r="Q4251">
        <v>0</v>
      </c>
      <c r="S4251">
        <v>0</v>
      </c>
      <c r="T4251">
        <v>0</v>
      </c>
      <c r="U4251">
        <v>0</v>
      </c>
      <c r="W4251" t="s">
        <v>52</v>
      </c>
    </row>
    <row r="4252" spans="1:45" x14ac:dyDescent="0.35">
      <c r="A4252" t="s">
        <v>45</v>
      </c>
      <c r="B4252" t="s">
        <v>8332</v>
      </c>
      <c r="C4252" t="s">
        <v>47</v>
      </c>
      <c r="D4252" t="s">
        <v>8789</v>
      </c>
      <c r="E4252" t="s">
        <v>8789</v>
      </c>
      <c r="F4252" t="s">
        <v>49</v>
      </c>
      <c r="G4252" t="s">
        <v>9547</v>
      </c>
      <c r="H4252" t="s">
        <v>9548</v>
      </c>
      <c r="J4252" t="str">
        <f>HYPERLINK("https://www.facebook.com/357267201017935/inbox/6990938304317425/","https://www.facebook.com/357267201017935/inbox/6990938304317425/")</f>
        <v>https://www.facebook.com/357267201017935/inbox/6990938304317425/</v>
      </c>
      <c r="O4252">
        <v>0</v>
      </c>
      <c r="P4252">
        <v>0</v>
      </c>
      <c r="Q4252">
        <v>0</v>
      </c>
      <c r="S4252">
        <v>0</v>
      </c>
      <c r="T4252">
        <v>0</v>
      </c>
      <c r="U4252">
        <v>0</v>
      </c>
      <c r="W4252" t="s">
        <v>52</v>
      </c>
      <c r="AS4252" t="s">
        <v>375</v>
      </c>
    </row>
    <row r="4253" spans="1:45" x14ac:dyDescent="0.35">
      <c r="A4253" t="s">
        <v>45</v>
      </c>
      <c r="B4253" t="s">
        <v>8332</v>
      </c>
      <c r="C4253" t="s">
        <v>47</v>
      </c>
      <c r="D4253" t="s">
        <v>9549</v>
      </c>
      <c r="E4253" t="s">
        <v>9549</v>
      </c>
      <c r="F4253" t="s">
        <v>49</v>
      </c>
      <c r="G4253" t="s">
        <v>9550</v>
      </c>
      <c r="H4253" t="s">
        <v>9551</v>
      </c>
      <c r="J4253" t="str">
        <f>HYPERLINK("https://www.facebook.com/454965103328545/posts/763899692435083?comment_id=404598465561092&amp;reply_comment_id=330438852644021","https://www.facebook.com/454965103328545/posts/763899692435083?comment_id=404598465561092&amp;reply_comment_id=330438852644021")</f>
        <v>https://www.facebook.com/454965103328545/posts/763899692435083?comment_id=404598465561092&amp;reply_comment_id=330438852644021</v>
      </c>
      <c r="O4253">
        <v>0</v>
      </c>
      <c r="P4253">
        <v>0</v>
      </c>
      <c r="Q4253">
        <v>0</v>
      </c>
      <c r="S4253">
        <v>0</v>
      </c>
      <c r="T4253">
        <v>0</v>
      </c>
      <c r="U4253">
        <v>0</v>
      </c>
      <c r="W4253" t="s">
        <v>62</v>
      </c>
    </row>
    <row r="4254" spans="1:45" x14ac:dyDescent="0.35">
      <c r="A4254" t="s">
        <v>45</v>
      </c>
      <c r="B4254" t="s">
        <v>8332</v>
      </c>
      <c r="C4254" t="s">
        <v>47</v>
      </c>
      <c r="D4254" t="s">
        <v>9552</v>
      </c>
      <c r="E4254" t="s">
        <v>9552</v>
      </c>
      <c r="F4254" t="s">
        <v>49</v>
      </c>
      <c r="G4254" t="s">
        <v>9553</v>
      </c>
      <c r="H4254" t="s">
        <v>9554</v>
      </c>
      <c r="J4254" t="str">
        <f>HYPERLINK("https://www.facebook.com/357267201017935/posts/3069910089753619/?comment_id=1439250890334504","https://www.facebook.com/357267201017935/posts/3069910089753619/?comment_id=1439250890334504")</f>
        <v>https://www.facebook.com/357267201017935/posts/3069910089753619/?comment_id=1439250890334504</v>
      </c>
      <c r="O4254">
        <v>0</v>
      </c>
      <c r="P4254">
        <v>0</v>
      </c>
      <c r="Q4254">
        <v>0</v>
      </c>
      <c r="S4254">
        <v>0</v>
      </c>
      <c r="T4254">
        <v>0</v>
      </c>
      <c r="U4254">
        <v>0</v>
      </c>
      <c r="W4254" t="s">
        <v>62</v>
      </c>
      <c r="AS4254" t="s">
        <v>375</v>
      </c>
    </row>
    <row r="4255" spans="1:45" x14ac:dyDescent="0.35">
      <c r="A4255" t="s">
        <v>45</v>
      </c>
      <c r="B4255" t="s">
        <v>8332</v>
      </c>
      <c r="C4255" t="s">
        <v>47</v>
      </c>
      <c r="D4255" t="s">
        <v>9555</v>
      </c>
      <c r="E4255" t="s">
        <v>9555</v>
      </c>
      <c r="F4255" t="s">
        <v>49</v>
      </c>
      <c r="G4255" t="s">
        <v>9556</v>
      </c>
      <c r="H4255" t="s">
        <v>9557</v>
      </c>
      <c r="J4255" t="str">
        <f>HYPERLINK("https://www.facebook.com/454965103328545/posts/763871475771238?comment_id=1157000232339860","https://www.facebook.com/454965103328545/posts/763871475771238?comment_id=1157000232339860")</f>
        <v>https://www.facebook.com/454965103328545/posts/763871475771238?comment_id=1157000232339860</v>
      </c>
      <c r="O4255">
        <v>0</v>
      </c>
      <c r="P4255">
        <v>0</v>
      </c>
      <c r="Q4255">
        <v>0</v>
      </c>
      <c r="S4255">
        <v>0</v>
      </c>
      <c r="T4255">
        <v>0</v>
      </c>
      <c r="U4255">
        <v>0</v>
      </c>
      <c r="W4255" t="s">
        <v>62</v>
      </c>
    </row>
    <row r="4256" spans="1:45" x14ac:dyDescent="0.35">
      <c r="A4256" t="s">
        <v>45</v>
      </c>
      <c r="B4256" t="s">
        <v>8332</v>
      </c>
      <c r="C4256" t="s">
        <v>47</v>
      </c>
      <c r="D4256" t="s">
        <v>860</v>
      </c>
      <c r="E4256" t="s">
        <v>860</v>
      </c>
      <c r="F4256" t="s">
        <v>49</v>
      </c>
      <c r="G4256" t="s">
        <v>9558</v>
      </c>
      <c r="H4256" t="s">
        <v>9559</v>
      </c>
      <c r="J4256" t="str">
        <f>HYPERLINK("https://www.facebook.com/454965103328545/posts/763871475771238?comment_id=1130274091311477","https://www.facebook.com/454965103328545/posts/763871475771238?comment_id=1130274091311477")</f>
        <v>https://www.facebook.com/454965103328545/posts/763871475771238?comment_id=1130274091311477</v>
      </c>
      <c r="O4256">
        <v>0</v>
      </c>
      <c r="P4256">
        <v>0</v>
      </c>
      <c r="Q4256">
        <v>0</v>
      </c>
      <c r="S4256">
        <v>0</v>
      </c>
      <c r="T4256">
        <v>0</v>
      </c>
      <c r="U4256">
        <v>0</v>
      </c>
      <c r="W4256" t="s">
        <v>62</v>
      </c>
      <c r="AS4256" t="s">
        <v>375</v>
      </c>
    </row>
    <row r="4257" spans="1:45" x14ac:dyDescent="0.35">
      <c r="A4257" t="s">
        <v>45</v>
      </c>
      <c r="B4257" t="s">
        <v>8332</v>
      </c>
      <c r="C4257" t="s">
        <v>47</v>
      </c>
      <c r="D4257" t="s">
        <v>9560</v>
      </c>
      <c r="E4257" t="s">
        <v>9560</v>
      </c>
      <c r="F4257" t="s">
        <v>49</v>
      </c>
      <c r="G4257" t="s">
        <v>9561</v>
      </c>
      <c r="H4257" t="s">
        <v>9562</v>
      </c>
      <c r="J4257" t="str">
        <f>HYPERLINK("https://www.facebook.com/454965103328545/posts/754206683404384?comment_id=1479572642589032","https://www.facebook.com/454965103328545/posts/754206683404384?comment_id=1479572642589032")</f>
        <v>https://www.facebook.com/454965103328545/posts/754206683404384?comment_id=1479572642589032</v>
      </c>
      <c r="O4257">
        <v>0</v>
      </c>
      <c r="P4257">
        <v>0</v>
      </c>
      <c r="Q4257">
        <v>0</v>
      </c>
      <c r="S4257">
        <v>0</v>
      </c>
      <c r="T4257">
        <v>0</v>
      </c>
      <c r="U4257">
        <v>0</v>
      </c>
      <c r="W4257" t="s">
        <v>62</v>
      </c>
    </row>
    <row r="4258" spans="1:45" x14ac:dyDescent="0.35">
      <c r="A4258" t="s">
        <v>45</v>
      </c>
      <c r="B4258" t="s">
        <v>8332</v>
      </c>
      <c r="C4258" t="s">
        <v>47</v>
      </c>
      <c r="D4258" t="s">
        <v>9496</v>
      </c>
      <c r="E4258" t="s">
        <v>9496</v>
      </c>
      <c r="F4258" t="s">
        <v>142</v>
      </c>
      <c r="G4258" t="s">
        <v>9563</v>
      </c>
      <c r="H4258" t="s">
        <v>9564</v>
      </c>
      <c r="J4258" t="str">
        <f>HYPERLINK("https://www.facebook.com/454965103328545/posts/763871475771238?comment_id=1346159362755684","https://www.facebook.com/454965103328545/posts/763871475771238?comment_id=1346159362755684")</f>
        <v>https://www.facebook.com/454965103328545/posts/763871475771238?comment_id=1346159362755684</v>
      </c>
      <c r="O4258">
        <v>0</v>
      </c>
      <c r="P4258">
        <v>0</v>
      </c>
      <c r="Q4258">
        <v>0</v>
      </c>
      <c r="S4258">
        <v>0</v>
      </c>
      <c r="T4258">
        <v>0</v>
      </c>
      <c r="U4258">
        <v>0</v>
      </c>
      <c r="W4258" t="s">
        <v>62</v>
      </c>
      <c r="AS4258" t="s">
        <v>375</v>
      </c>
    </row>
    <row r="4259" spans="1:45" x14ac:dyDescent="0.35">
      <c r="A4259" t="s">
        <v>45</v>
      </c>
      <c r="B4259" t="s">
        <v>8332</v>
      </c>
      <c r="C4259" t="s">
        <v>47</v>
      </c>
      <c r="D4259" t="s">
        <v>9391</v>
      </c>
      <c r="E4259" t="s">
        <v>9391</v>
      </c>
      <c r="F4259" t="s">
        <v>49</v>
      </c>
      <c r="G4259" t="s">
        <v>761</v>
      </c>
      <c r="H4259" t="s">
        <v>9565</v>
      </c>
      <c r="J4259" t="str">
        <f>HYPERLINK("https://www.facebook.com/454965103328545/posts/763307319160987?comment_id=256851150777006","https://www.facebook.com/454965103328545/posts/763307319160987?comment_id=256851150777006")</f>
        <v>https://www.facebook.com/454965103328545/posts/763307319160987?comment_id=256851150777006</v>
      </c>
      <c r="O4259">
        <v>0</v>
      </c>
      <c r="P4259">
        <v>0</v>
      </c>
      <c r="Q4259">
        <v>0</v>
      </c>
      <c r="S4259">
        <v>0</v>
      </c>
      <c r="T4259">
        <v>0</v>
      </c>
      <c r="U4259">
        <v>0</v>
      </c>
      <c r="W4259" t="s">
        <v>62</v>
      </c>
    </row>
    <row r="4260" spans="1:45" x14ac:dyDescent="0.35">
      <c r="A4260" t="s">
        <v>45</v>
      </c>
      <c r="B4260" t="s">
        <v>8332</v>
      </c>
      <c r="C4260" t="s">
        <v>102</v>
      </c>
      <c r="D4260" t="s">
        <v>9566</v>
      </c>
      <c r="E4260" t="s">
        <v>9566</v>
      </c>
      <c r="F4260" t="s">
        <v>49</v>
      </c>
      <c r="G4260" t="s">
        <v>9567</v>
      </c>
      <c r="H4260" t="s">
        <v>9568</v>
      </c>
      <c r="J4260" t="str">
        <f>HYPERLINK("https://www.linkedin.com/feed/update/urn:li:share:7158447824953655296/?commentUrn=urn:li:comment:(urn:li:activity:7158447826098610177,7159021950529376256)","https://www.linkedin.com/feed/update/urn:li:share:7158447824953655296/?commentUrn=urn:li:comment:(urn:li:activity:7158447826098610177,7159021950529376256)")</f>
        <v>https://www.linkedin.com/feed/update/urn:li:share:7158447824953655296/?commentUrn=urn:li:comment:(urn:li:activity:7158447826098610177,7159021950529376256)</v>
      </c>
      <c r="K4260" t="s">
        <v>145</v>
      </c>
      <c r="O4260">
        <v>0</v>
      </c>
      <c r="P4260">
        <v>0</v>
      </c>
      <c r="Q4260">
        <v>0</v>
      </c>
      <c r="S4260">
        <v>0</v>
      </c>
      <c r="T4260">
        <v>0</v>
      </c>
      <c r="U4260">
        <v>0</v>
      </c>
      <c r="W4260" t="s">
        <v>62</v>
      </c>
    </row>
    <row r="4261" spans="1:45" x14ac:dyDescent="0.35">
      <c r="A4261" t="s">
        <v>45</v>
      </c>
      <c r="B4261" t="s">
        <v>8332</v>
      </c>
      <c r="C4261" t="s">
        <v>47</v>
      </c>
      <c r="D4261" t="s">
        <v>8096</v>
      </c>
      <c r="E4261" t="s">
        <v>8096</v>
      </c>
      <c r="F4261" t="s">
        <v>49</v>
      </c>
      <c r="G4261" t="s">
        <v>9569</v>
      </c>
      <c r="H4261" t="s">
        <v>9570</v>
      </c>
      <c r="J4261" t="str">
        <f>HYPERLINK("https://www.facebook.com/454965103328545/posts/763871475771238?comment_id=694006802814702","https://www.facebook.com/454965103328545/posts/763871475771238?comment_id=694006802814702")</f>
        <v>https://www.facebook.com/454965103328545/posts/763871475771238?comment_id=694006802814702</v>
      </c>
      <c r="O4261">
        <v>0</v>
      </c>
      <c r="P4261">
        <v>0</v>
      </c>
      <c r="Q4261">
        <v>0</v>
      </c>
      <c r="S4261">
        <v>0</v>
      </c>
      <c r="T4261">
        <v>0</v>
      </c>
      <c r="U4261">
        <v>0</v>
      </c>
      <c r="W4261" t="s">
        <v>62</v>
      </c>
    </row>
    <row r="4262" spans="1:45" x14ac:dyDescent="0.35">
      <c r="A4262" t="s">
        <v>45</v>
      </c>
      <c r="B4262" t="s">
        <v>8332</v>
      </c>
      <c r="C4262" t="s">
        <v>47</v>
      </c>
      <c r="D4262" t="s">
        <v>7125</v>
      </c>
      <c r="E4262" t="s">
        <v>7125</v>
      </c>
      <c r="F4262" t="s">
        <v>49</v>
      </c>
      <c r="G4262" t="s">
        <v>9571</v>
      </c>
      <c r="H4262" t="s">
        <v>9572</v>
      </c>
      <c r="J4262" t="str">
        <f>HYPERLINK("https://www.facebook.com/454965103328545/posts/763871475771238?comment_id=1333279217414342&amp;reply_comment_id=779514197418718","https://www.facebook.com/454965103328545/posts/763871475771238?comment_id=1333279217414342&amp;reply_comment_id=779514197418718")</f>
        <v>https://www.facebook.com/454965103328545/posts/763871475771238?comment_id=1333279217414342&amp;reply_comment_id=779514197418718</v>
      </c>
      <c r="O4262">
        <v>0</v>
      </c>
      <c r="P4262">
        <v>0</v>
      </c>
      <c r="Q4262">
        <v>0</v>
      </c>
      <c r="S4262">
        <v>0</v>
      </c>
      <c r="T4262">
        <v>0</v>
      </c>
      <c r="U4262">
        <v>0</v>
      </c>
      <c r="W4262" t="s">
        <v>62</v>
      </c>
    </row>
    <row r="4263" spans="1:45" x14ac:dyDescent="0.35">
      <c r="A4263" t="s">
        <v>45</v>
      </c>
      <c r="B4263" t="s">
        <v>8332</v>
      </c>
      <c r="C4263" t="s">
        <v>47</v>
      </c>
      <c r="D4263" t="s">
        <v>7125</v>
      </c>
      <c r="E4263" t="s">
        <v>7125</v>
      </c>
      <c r="F4263" t="s">
        <v>49</v>
      </c>
      <c r="G4263" t="s">
        <v>9571</v>
      </c>
      <c r="H4263" t="s">
        <v>9573</v>
      </c>
      <c r="J4263" t="str">
        <f>HYPERLINK("https://www.facebook.com/454965103328545/posts/763871475771238?comment_id=1333279217414342&amp;reply_comment_id=749742190089296","https://www.facebook.com/454965103328545/posts/763871475771238?comment_id=1333279217414342&amp;reply_comment_id=749742190089296")</f>
        <v>https://www.facebook.com/454965103328545/posts/763871475771238?comment_id=1333279217414342&amp;reply_comment_id=749742190089296</v>
      </c>
      <c r="O4263">
        <v>0</v>
      </c>
      <c r="P4263">
        <v>0</v>
      </c>
      <c r="Q4263">
        <v>0</v>
      </c>
      <c r="S4263">
        <v>0</v>
      </c>
      <c r="T4263">
        <v>0</v>
      </c>
      <c r="U4263">
        <v>0</v>
      </c>
      <c r="W4263" t="s">
        <v>62</v>
      </c>
    </row>
    <row r="4264" spans="1:45" x14ac:dyDescent="0.35">
      <c r="A4264" t="s">
        <v>45</v>
      </c>
      <c r="B4264" t="s">
        <v>8332</v>
      </c>
      <c r="C4264" t="s">
        <v>47</v>
      </c>
      <c r="D4264" t="s">
        <v>7125</v>
      </c>
      <c r="E4264" t="s">
        <v>7125</v>
      </c>
      <c r="F4264" t="s">
        <v>49</v>
      </c>
      <c r="G4264" t="s">
        <v>9571</v>
      </c>
      <c r="H4264" t="s">
        <v>9574</v>
      </c>
      <c r="J4264" t="str">
        <f>HYPERLINK("https://www.facebook.com/454965103328545/posts/763871475771238?comment_id=1333279217414342&amp;reply_comment_id=328150760220575","https://www.facebook.com/454965103328545/posts/763871475771238?comment_id=1333279217414342&amp;reply_comment_id=328150760220575")</f>
        <v>https://www.facebook.com/454965103328545/posts/763871475771238?comment_id=1333279217414342&amp;reply_comment_id=328150760220575</v>
      </c>
      <c r="O4264">
        <v>0</v>
      </c>
      <c r="P4264">
        <v>0</v>
      </c>
      <c r="Q4264">
        <v>0</v>
      </c>
      <c r="S4264">
        <v>0</v>
      </c>
      <c r="T4264">
        <v>0</v>
      </c>
      <c r="U4264">
        <v>0</v>
      </c>
      <c r="W4264" t="s">
        <v>62</v>
      </c>
    </row>
    <row r="4265" spans="1:45" x14ac:dyDescent="0.35">
      <c r="A4265" t="s">
        <v>45</v>
      </c>
      <c r="B4265" t="s">
        <v>8332</v>
      </c>
      <c r="C4265" t="s">
        <v>47</v>
      </c>
      <c r="D4265" t="s">
        <v>7125</v>
      </c>
      <c r="E4265" t="s">
        <v>7125</v>
      </c>
      <c r="F4265" t="s">
        <v>49</v>
      </c>
      <c r="G4265" t="s">
        <v>9571</v>
      </c>
      <c r="H4265" t="s">
        <v>9575</v>
      </c>
      <c r="J4265" t="str">
        <f>HYPERLINK("https://www.facebook.com/454965103328545/posts/763871475771238?comment_id=1333279217414342&amp;reply_comment_id=746978507084283","https://www.facebook.com/454965103328545/posts/763871475771238?comment_id=1333279217414342&amp;reply_comment_id=746978507084283")</f>
        <v>https://www.facebook.com/454965103328545/posts/763871475771238?comment_id=1333279217414342&amp;reply_comment_id=746978507084283</v>
      </c>
      <c r="O4265">
        <v>0</v>
      </c>
      <c r="P4265">
        <v>0</v>
      </c>
      <c r="Q4265">
        <v>0</v>
      </c>
      <c r="S4265">
        <v>0</v>
      </c>
      <c r="T4265">
        <v>0</v>
      </c>
      <c r="U4265">
        <v>0</v>
      </c>
      <c r="W4265" t="s">
        <v>62</v>
      </c>
    </row>
    <row r="4266" spans="1:45" x14ac:dyDescent="0.35">
      <c r="A4266" t="s">
        <v>45</v>
      </c>
      <c r="B4266" t="s">
        <v>8332</v>
      </c>
      <c r="C4266" t="s">
        <v>47</v>
      </c>
      <c r="D4266" t="s">
        <v>7125</v>
      </c>
      <c r="E4266" t="s">
        <v>7125</v>
      </c>
      <c r="F4266" t="s">
        <v>49</v>
      </c>
      <c r="G4266" t="s">
        <v>9571</v>
      </c>
      <c r="H4266" t="s">
        <v>9576</v>
      </c>
      <c r="J4266" t="str">
        <f>HYPERLINK("https://www.facebook.com/454965103328545/posts/763871475771238?comment_id=1333279217414342&amp;reply_comment_id=302755686121177","https://www.facebook.com/454965103328545/posts/763871475771238?comment_id=1333279217414342&amp;reply_comment_id=302755686121177")</f>
        <v>https://www.facebook.com/454965103328545/posts/763871475771238?comment_id=1333279217414342&amp;reply_comment_id=302755686121177</v>
      </c>
      <c r="O4266">
        <v>0</v>
      </c>
      <c r="P4266">
        <v>0</v>
      </c>
      <c r="Q4266">
        <v>0</v>
      </c>
      <c r="S4266">
        <v>0</v>
      </c>
      <c r="T4266">
        <v>0</v>
      </c>
      <c r="U4266">
        <v>0</v>
      </c>
      <c r="W4266" t="s">
        <v>62</v>
      </c>
    </row>
    <row r="4267" spans="1:45" x14ac:dyDescent="0.35">
      <c r="A4267" t="s">
        <v>45</v>
      </c>
      <c r="B4267" t="s">
        <v>8332</v>
      </c>
      <c r="C4267" t="s">
        <v>47</v>
      </c>
      <c r="D4267" t="s">
        <v>9577</v>
      </c>
      <c r="E4267" t="s">
        <v>9577</v>
      </c>
      <c r="F4267" t="s">
        <v>49</v>
      </c>
      <c r="G4267" t="s">
        <v>9578</v>
      </c>
      <c r="H4267" t="s">
        <v>9579</v>
      </c>
      <c r="J4267" t="str">
        <f>HYPERLINK("https://www.facebook.com/454965103328545/posts/763899692435083?comment_id=404598465561092","https://www.facebook.com/454965103328545/posts/763899692435083?comment_id=404598465561092")</f>
        <v>https://www.facebook.com/454965103328545/posts/763899692435083?comment_id=404598465561092</v>
      </c>
      <c r="O4267">
        <v>0</v>
      </c>
      <c r="P4267">
        <v>0</v>
      </c>
      <c r="Q4267">
        <v>0</v>
      </c>
      <c r="S4267">
        <v>0</v>
      </c>
      <c r="T4267">
        <v>0</v>
      </c>
      <c r="U4267">
        <v>0</v>
      </c>
      <c r="W4267" t="s">
        <v>62</v>
      </c>
      <c r="AP4267" t="s">
        <v>101</v>
      </c>
    </row>
    <row r="4268" spans="1:45" x14ac:dyDescent="0.35">
      <c r="A4268" t="s">
        <v>45</v>
      </c>
      <c r="B4268" t="s">
        <v>8332</v>
      </c>
      <c r="C4268" t="s">
        <v>47</v>
      </c>
      <c r="D4268" t="s">
        <v>9580</v>
      </c>
      <c r="E4268" t="s">
        <v>9580</v>
      </c>
      <c r="F4268" t="s">
        <v>49</v>
      </c>
      <c r="G4268" t="s">
        <v>9581</v>
      </c>
      <c r="H4268" t="s">
        <v>9582</v>
      </c>
      <c r="J4268" t="str">
        <f>HYPERLINK("https://www.facebook.com/454965103328545/posts/763871475771238?comment_id=419550193761389","https://www.facebook.com/454965103328545/posts/763871475771238?comment_id=419550193761389")</f>
        <v>https://www.facebook.com/454965103328545/posts/763871475771238?comment_id=419550193761389</v>
      </c>
      <c r="O4268">
        <v>0</v>
      </c>
      <c r="P4268">
        <v>0</v>
      </c>
      <c r="Q4268">
        <v>0</v>
      </c>
      <c r="S4268">
        <v>0</v>
      </c>
      <c r="T4268">
        <v>0</v>
      </c>
      <c r="U4268">
        <v>0</v>
      </c>
      <c r="W4268" t="s">
        <v>62</v>
      </c>
      <c r="AS4268" t="s">
        <v>375</v>
      </c>
    </row>
    <row r="4269" spans="1:45" x14ac:dyDescent="0.35">
      <c r="A4269" t="s">
        <v>45</v>
      </c>
      <c r="B4269" t="s">
        <v>8332</v>
      </c>
      <c r="C4269" t="s">
        <v>47</v>
      </c>
      <c r="D4269" t="s">
        <v>2413</v>
      </c>
      <c r="E4269" t="s">
        <v>2413</v>
      </c>
      <c r="F4269" t="s">
        <v>49</v>
      </c>
      <c r="G4269" t="s">
        <v>9583</v>
      </c>
      <c r="H4269" t="s">
        <v>9584</v>
      </c>
      <c r="J4269" t="str">
        <f>HYPERLINK("https://www.facebook.com/454965103328545/posts/763899692435083?comment_id=770219088288128","https://www.facebook.com/454965103328545/posts/763899692435083?comment_id=770219088288128")</f>
        <v>https://www.facebook.com/454965103328545/posts/763899692435083?comment_id=770219088288128</v>
      </c>
      <c r="O4269">
        <v>0</v>
      </c>
      <c r="P4269">
        <v>0</v>
      </c>
      <c r="Q4269">
        <v>0</v>
      </c>
      <c r="S4269">
        <v>0</v>
      </c>
      <c r="T4269">
        <v>0</v>
      </c>
      <c r="U4269">
        <v>0</v>
      </c>
      <c r="W4269" t="s">
        <v>62</v>
      </c>
    </row>
    <row r="4270" spans="1:45" x14ac:dyDescent="0.35">
      <c r="A4270" t="s">
        <v>45</v>
      </c>
      <c r="B4270" t="s">
        <v>8332</v>
      </c>
      <c r="C4270" t="s">
        <v>47</v>
      </c>
      <c r="D4270" t="s">
        <v>7742</v>
      </c>
      <c r="E4270" t="s">
        <v>7742</v>
      </c>
      <c r="F4270" t="s">
        <v>49</v>
      </c>
      <c r="G4270" t="s">
        <v>9585</v>
      </c>
      <c r="H4270" t="s">
        <v>9586</v>
      </c>
      <c r="J4270" t="str">
        <f>HYPERLINK("https://www.facebook.com/454965103328545/posts/763871475771238?comment_id=1079242576655769","https://www.facebook.com/454965103328545/posts/763871475771238?comment_id=1079242576655769")</f>
        <v>https://www.facebook.com/454965103328545/posts/763871475771238?comment_id=1079242576655769</v>
      </c>
      <c r="O4270">
        <v>0</v>
      </c>
      <c r="P4270">
        <v>0</v>
      </c>
      <c r="Q4270">
        <v>0</v>
      </c>
      <c r="S4270">
        <v>0</v>
      </c>
      <c r="T4270">
        <v>0</v>
      </c>
      <c r="U4270">
        <v>0</v>
      </c>
      <c r="W4270" t="s">
        <v>62</v>
      </c>
      <c r="AS4270" t="s">
        <v>375</v>
      </c>
    </row>
    <row r="4271" spans="1:45" x14ac:dyDescent="0.35">
      <c r="A4271" t="s">
        <v>45</v>
      </c>
      <c r="B4271" t="s">
        <v>8332</v>
      </c>
      <c r="C4271" t="s">
        <v>47</v>
      </c>
      <c r="D4271" t="s">
        <v>9587</v>
      </c>
      <c r="E4271" t="s">
        <v>9587</v>
      </c>
      <c r="F4271" t="s">
        <v>76</v>
      </c>
      <c r="G4271" t="s">
        <v>9588</v>
      </c>
      <c r="H4271" t="s">
        <v>9589</v>
      </c>
      <c r="J4271" t="str">
        <f>HYPERLINK("https://www.facebook.com/454965103328545/posts/763871475771238?comment_id=1430696261175497","https://www.facebook.com/454965103328545/posts/763871475771238?comment_id=1430696261175497")</f>
        <v>https://www.facebook.com/454965103328545/posts/763871475771238?comment_id=1430696261175497</v>
      </c>
      <c r="O4271">
        <v>0</v>
      </c>
      <c r="P4271">
        <v>0</v>
      </c>
      <c r="Q4271">
        <v>0</v>
      </c>
      <c r="S4271">
        <v>0</v>
      </c>
      <c r="T4271">
        <v>0</v>
      </c>
      <c r="U4271">
        <v>0</v>
      </c>
      <c r="W4271" t="s">
        <v>62</v>
      </c>
    </row>
    <row r="4272" spans="1:45" x14ac:dyDescent="0.35">
      <c r="A4272" t="s">
        <v>45</v>
      </c>
      <c r="B4272" t="s">
        <v>8332</v>
      </c>
      <c r="C4272" t="s">
        <v>47</v>
      </c>
      <c r="D4272" t="s">
        <v>9590</v>
      </c>
      <c r="E4272" t="s">
        <v>9590</v>
      </c>
      <c r="F4272" t="s">
        <v>49</v>
      </c>
      <c r="G4272" t="s">
        <v>9591</v>
      </c>
      <c r="H4272" t="s">
        <v>9592</v>
      </c>
      <c r="J4272" t="str">
        <f>HYPERLINK("https://www.facebook.com/357267201017935/inbox/6990528107691778/","https://www.facebook.com/357267201017935/inbox/6990528107691778/")</f>
        <v>https://www.facebook.com/357267201017935/inbox/6990528107691778/</v>
      </c>
      <c r="O4272">
        <v>0</v>
      </c>
      <c r="P4272">
        <v>0</v>
      </c>
      <c r="Q4272">
        <v>0</v>
      </c>
      <c r="S4272">
        <v>0</v>
      </c>
      <c r="T4272">
        <v>0</v>
      </c>
      <c r="U4272">
        <v>0</v>
      </c>
      <c r="W4272" t="s">
        <v>52</v>
      </c>
    </row>
    <row r="4273" spans="1:45" x14ac:dyDescent="0.35">
      <c r="A4273" t="s">
        <v>45</v>
      </c>
      <c r="B4273" t="s">
        <v>8332</v>
      </c>
      <c r="C4273" t="s">
        <v>47</v>
      </c>
      <c r="D4273" t="s">
        <v>9587</v>
      </c>
      <c r="E4273" t="s">
        <v>9587</v>
      </c>
      <c r="F4273" t="s">
        <v>49</v>
      </c>
      <c r="G4273" t="s">
        <v>9593</v>
      </c>
      <c r="H4273" t="s">
        <v>9594</v>
      </c>
      <c r="J4273" t="str">
        <f>HYPERLINK("https://www.facebook.com/454965103328545/posts/763871475771238?comment_id=950920013270531","https://www.facebook.com/454965103328545/posts/763871475771238?comment_id=950920013270531")</f>
        <v>https://www.facebook.com/454965103328545/posts/763871475771238?comment_id=950920013270531</v>
      </c>
      <c r="O4273">
        <v>0</v>
      </c>
      <c r="P4273">
        <v>0</v>
      </c>
      <c r="Q4273">
        <v>0</v>
      </c>
      <c r="S4273">
        <v>0</v>
      </c>
      <c r="T4273">
        <v>0</v>
      </c>
      <c r="U4273">
        <v>0</v>
      </c>
      <c r="W4273" t="s">
        <v>62</v>
      </c>
    </row>
    <row r="4274" spans="1:45" x14ac:dyDescent="0.35">
      <c r="A4274" t="s">
        <v>45</v>
      </c>
      <c r="B4274" t="s">
        <v>8332</v>
      </c>
      <c r="C4274" t="s">
        <v>47</v>
      </c>
      <c r="D4274" t="s">
        <v>1954</v>
      </c>
      <c r="E4274" t="s">
        <v>1954</v>
      </c>
      <c r="F4274" t="s">
        <v>142</v>
      </c>
      <c r="G4274" t="s">
        <v>9595</v>
      </c>
      <c r="H4274" t="s">
        <v>9596</v>
      </c>
      <c r="J4274" t="str">
        <f>HYPERLINK("https://www.facebook.com/454965103328545/posts/762566475901738?comment_id=2009032549478573","https://www.facebook.com/454965103328545/posts/762566475901738?comment_id=2009032549478573")</f>
        <v>https://www.facebook.com/454965103328545/posts/762566475901738?comment_id=2009032549478573</v>
      </c>
      <c r="O4274">
        <v>0</v>
      </c>
      <c r="P4274">
        <v>0</v>
      </c>
      <c r="Q4274">
        <v>0</v>
      </c>
      <c r="S4274">
        <v>0</v>
      </c>
      <c r="T4274">
        <v>0</v>
      </c>
      <c r="U4274">
        <v>0</v>
      </c>
      <c r="W4274" t="s">
        <v>62</v>
      </c>
      <c r="AS4274" t="s">
        <v>375</v>
      </c>
    </row>
    <row r="4275" spans="1:45" x14ac:dyDescent="0.35">
      <c r="A4275" t="s">
        <v>45</v>
      </c>
      <c r="B4275" t="s">
        <v>8332</v>
      </c>
      <c r="C4275" t="s">
        <v>47</v>
      </c>
      <c r="D4275" t="s">
        <v>8857</v>
      </c>
      <c r="E4275" t="s">
        <v>8857</v>
      </c>
      <c r="F4275" t="s">
        <v>49</v>
      </c>
      <c r="G4275" t="s">
        <v>131</v>
      </c>
      <c r="H4275" t="s">
        <v>9597</v>
      </c>
      <c r="J4275" t="str">
        <f>HYPERLINK("https://www.facebook.com/454965103328545/posts/763871475771238?comment_id=1553180792110927","https://www.facebook.com/454965103328545/posts/763871475771238?comment_id=1553180792110927")</f>
        <v>https://www.facebook.com/454965103328545/posts/763871475771238?comment_id=1553180792110927</v>
      </c>
      <c r="O4275">
        <v>0</v>
      </c>
      <c r="P4275">
        <v>0</v>
      </c>
      <c r="Q4275">
        <v>0</v>
      </c>
      <c r="S4275">
        <v>0</v>
      </c>
      <c r="T4275">
        <v>0</v>
      </c>
      <c r="U4275">
        <v>0</v>
      </c>
      <c r="W4275" t="s">
        <v>62</v>
      </c>
    </row>
    <row r="4276" spans="1:45" x14ac:dyDescent="0.35">
      <c r="A4276" t="s">
        <v>45</v>
      </c>
      <c r="B4276" t="s">
        <v>8332</v>
      </c>
      <c r="C4276" t="s">
        <v>47</v>
      </c>
      <c r="D4276" t="s">
        <v>4119</v>
      </c>
      <c r="E4276" t="s">
        <v>4119</v>
      </c>
      <c r="F4276" t="s">
        <v>142</v>
      </c>
      <c r="G4276" t="s">
        <v>9598</v>
      </c>
      <c r="H4276" t="s">
        <v>9599</v>
      </c>
      <c r="J4276" t="str">
        <f>HYPERLINK("https://www.facebook.com/454965103328545/posts/763871475771238?comment_id=236130306217102","https://www.facebook.com/454965103328545/posts/763871475771238?comment_id=236130306217102")</f>
        <v>https://www.facebook.com/454965103328545/posts/763871475771238?comment_id=236130306217102</v>
      </c>
      <c r="O4276">
        <v>0</v>
      </c>
      <c r="P4276">
        <v>0</v>
      </c>
      <c r="Q4276">
        <v>0</v>
      </c>
      <c r="S4276">
        <v>0</v>
      </c>
      <c r="T4276">
        <v>0</v>
      </c>
      <c r="U4276">
        <v>0</v>
      </c>
      <c r="W4276" t="s">
        <v>62</v>
      </c>
      <c r="AS4276" t="s">
        <v>375</v>
      </c>
    </row>
    <row r="4277" spans="1:45" x14ac:dyDescent="0.35">
      <c r="A4277" t="s">
        <v>45</v>
      </c>
      <c r="B4277" t="s">
        <v>8332</v>
      </c>
      <c r="C4277" t="s">
        <v>47</v>
      </c>
      <c r="D4277" t="s">
        <v>9600</v>
      </c>
      <c r="E4277" t="s">
        <v>9600</v>
      </c>
      <c r="F4277" t="s">
        <v>49</v>
      </c>
      <c r="G4277" t="s">
        <v>50</v>
      </c>
      <c r="H4277" t="s">
        <v>9601</v>
      </c>
      <c r="J4277" t="str">
        <f>HYPERLINK("https://www.facebook.com/357267201017935/inbox/6990396421038280/","https://www.facebook.com/357267201017935/inbox/6990396421038280/")</f>
        <v>https://www.facebook.com/357267201017935/inbox/6990396421038280/</v>
      </c>
      <c r="O4277">
        <v>0</v>
      </c>
      <c r="P4277">
        <v>0</v>
      </c>
      <c r="Q4277">
        <v>0</v>
      </c>
      <c r="S4277">
        <v>0</v>
      </c>
      <c r="T4277">
        <v>0</v>
      </c>
      <c r="U4277">
        <v>0</v>
      </c>
      <c r="W4277" t="s">
        <v>52</v>
      </c>
    </row>
    <row r="4278" spans="1:45" x14ac:dyDescent="0.35">
      <c r="A4278" t="s">
        <v>45</v>
      </c>
      <c r="B4278" t="s">
        <v>8332</v>
      </c>
      <c r="C4278" t="s">
        <v>47</v>
      </c>
      <c r="D4278" t="s">
        <v>1512</v>
      </c>
      <c r="E4278" t="s">
        <v>1512</v>
      </c>
      <c r="F4278" t="s">
        <v>49</v>
      </c>
      <c r="G4278" t="s">
        <v>1513</v>
      </c>
      <c r="H4278" t="s">
        <v>9602</v>
      </c>
      <c r="J4278" t="str">
        <f>HYPERLINK("https://www.facebook.com/454965103328545/posts/763233329168386?comment_id=1222118851907798","https://www.facebook.com/454965103328545/posts/763233329168386?comment_id=1222118851907798")</f>
        <v>https://www.facebook.com/454965103328545/posts/763233329168386?comment_id=1222118851907798</v>
      </c>
      <c r="O4278">
        <v>0</v>
      </c>
      <c r="P4278">
        <v>0</v>
      </c>
      <c r="Q4278">
        <v>0</v>
      </c>
      <c r="S4278">
        <v>0</v>
      </c>
      <c r="T4278">
        <v>0</v>
      </c>
      <c r="U4278">
        <v>0</v>
      </c>
      <c r="W4278" t="s">
        <v>62</v>
      </c>
    </row>
    <row r="4279" spans="1:45" x14ac:dyDescent="0.35">
      <c r="A4279" t="s">
        <v>45</v>
      </c>
      <c r="B4279" t="s">
        <v>8332</v>
      </c>
      <c r="C4279" t="s">
        <v>47</v>
      </c>
      <c r="D4279" t="s">
        <v>7827</v>
      </c>
      <c r="E4279" t="s">
        <v>7827</v>
      </c>
      <c r="F4279" t="s">
        <v>76</v>
      </c>
      <c r="G4279" t="s">
        <v>9603</v>
      </c>
      <c r="H4279" t="s">
        <v>9604</v>
      </c>
      <c r="J4279" t="str">
        <f>HYPERLINK("https://www.facebook.com/454965103328545/posts/763871475771238?comment_id=702209825327248","https://www.facebook.com/454965103328545/posts/763871475771238?comment_id=702209825327248")</f>
        <v>https://www.facebook.com/454965103328545/posts/763871475771238?comment_id=702209825327248</v>
      </c>
      <c r="O4279">
        <v>0</v>
      </c>
      <c r="P4279">
        <v>0</v>
      </c>
      <c r="Q4279">
        <v>0</v>
      </c>
      <c r="S4279">
        <v>0</v>
      </c>
      <c r="T4279">
        <v>0</v>
      </c>
      <c r="U4279">
        <v>0</v>
      </c>
      <c r="W4279" t="s">
        <v>62</v>
      </c>
    </row>
    <row r="4280" spans="1:45" x14ac:dyDescent="0.35">
      <c r="A4280" t="s">
        <v>45</v>
      </c>
      <c r="B4280" t="s">
        <v>8332</v>
      </c>
      <c r="C4280" t="s">
        <v>58</v>
      </c>
      <c r="D4280" t="s">
        <v>9605</v>
      </c>
      <c r="E4280" t="s">
        <v>9605</v>
      </c>
      <c r="F4280" t="s">
        <v>49</v>
      </c>
      <c r="G4280" t="s">
        <v>9606</v>
      </c>
      <c r="H4280" t="s">
        <v>9607</v>
      </c>
      <c r="J4280" t="str">
        <f>HYPERLINK("https://www.youtube.com/watch?v=uIKLPIGHaTc&amp;lc=UgyHKtx6xOFDCa1lEEh4AaABAg","https://www.youtube.com/watch?v=uIKLPIGHaTc&amp;lc=UgyHKtx6xOFDCa1lEEh4AaABAg")</f>
        <v>https://www.youtube.com/watch?v=uIKLPIGHaTc&amp;lc=UgyHKtx6xOFDCa1lEEh4AaABAg</v>
      </c>
      <c r="O4280">
        <v>0</v>
      </c>
      <c r="P4280">
        <v>0</v>
      </c>
      <c r="Q4280">
        <v>0</v>
      </c>
      <c r="S4280">
        <v>0</v>
      </c>
      <c r="T4280">
        <v>0</v>
      </c>
      <c r="U4280">
        <v>0</v>
      </c>
      <c r="W4280" t="s">
        <v>62</v>
      </c>
      <c r="AP4280" t="s">
        <v>94</v>
      </c>
    </row>
    <row r="4281" spans="1:45" x14ac:dyDescent="0.35">
      <c r="A4281" t="s">
        <v>45</v>
      </c>
      <c r="B4281" t="s">
        <v>8332</v>
      </c>
      <c r="C4281" t="s">
        <v>47</v>
      </c>
      <c r="D4281" t="s">
        <v>6710</v>
      </c>
      <c r="E4281" t="s">
        <v>6710</v>
      </c>
      <c r="F4281" t="s">
        <v>142</v>
      </c>
      <c r="G4281" t="s">
        <v>9608</v>
      </c>
      <c r="H4281" t="s">
        <v>9609</v>
      </c>
      <c r="J4281" t="str">
        <f>HYPERLINK("https://www.facebook.com/357267201017935/inbox/6743898455688079/","https://www.facebook.com/357267201017935/inbox/6743898455688079/")</f>
        <v>https://www.facebook.com/357267201017935/inbox/6743898455688079/</v>
      </c>
      <c r="O4281">
        <v>0</v>
      </c>
      <c r="P4281">
        <v>0</v>
      </c>
      <c r="Q4281">
        <v>0</v>
      </c>
      <c r="S4281">
        <v>0</v>
      </c>
      <c r="T4281">
        <v>0</v>
      </c>
      <c r="U4281">
        <v>0</v>
      </c>
      <c r="W4281" t="s">
        <v>52</v>
      </c>
      <c r="AO4281" t="s">
        <v>119</v>
      </c>
      <c r="AP4281" t="s">
        <v>101</v>
      </c>
    </row>
    <row r="4282" spans="1:45" x14ac:dyDescent="0.35">
      <c r="A4282" t="s">
        <v>45</v>
      </c>
      <c r="B4282" t="s">
        <v>8332</v>
      </c>
      <c r="C4282" t="s">
        <v>47</v>
      </c>
      <c r="D4282" t="s">
        <v>6710</v>
      </c>
      <c r="E4282" t="s">
        <v>6710</v>
      </c>
      <c r="F4282" t="s">
        <v>49</v>
      </c>
      <c r="G4282" t="s">
        <v>9610</v>
      </c>
      <c r="H4282" t="s">
        <v>9611</v>
      </c>
      <c r="J4282" t="str">
        <f>HYPERLINK("https://www.facebook.com/357267201017935/inbox/6743898455688079/","https://www.facebook.com/357267201017935/inbox/6743898455688079/")</f>
        <v>https://www.facebook.com/357267201017935/inbox/6743898455688079/</v>
      </c>
      <c r="O4282">
        <v>0</v>
      </c>
      <c r="P4282">
        <v>0</v>
      </c>
      <c r="Q4282">
        <v>0</v>
      </c>
      <c r="S4282">
        <v>0</v>
      </c>
      <c r="T4282">
        <v>0</v>
      </c>
      <c r="U4282">
        <v>0</v>
      </c>
      <c r="W4282" t="s">
        <v>52</v>
      </c>
      <c r="AS4282" t="s">
        <v>375</v>
      </c>
    </row>
    <row r="4283" spans="1:45" x14ac:dyDescent="0.35">
      <c r="A4283" t="s">
        <v>45</v>
      </c>
      <c r="B4283" t="s">
        <v>8332</v>
      </c>
      <c r="C4283" t="s">
        <v>47</v>
      </c>
      <c r="D4283" t="s">
        <v>6710</v>
      </c>
      <c r="E4283" t="s">
        <v>6710</v>
      </c>
      <c r="F4283" t="s">
        <v>49</v>
      </c>
      <c r="G4283" t="s">
        <v>9612</v>
      </c>
      <c r="H4283" t="s">
        <v>9613</v>
      </c>
      <c r="J4283" t="str">
        <f>HYPERLINK("https://www.facebook.com/357267201017935/inbox/6743898455688079/","https://www.facebook.com/357267201017935/inbox/6743898455688079/")</f>
        <v>https://www.facebook.com/357267201017935/inbox/6743898455688079/</v>
      </c>
      <c r="O4283">
        <v>0</v>
      </c>
      <c r="P4283">
        <v>0</v>
      </c>
      <c r="Q4283">
        <v>0</v>
      </c>
      <c r="S4283">
        <v>0</v>
      </c>
      <c r="T4283">
        <v>0</v>
      </c>
      <c r="U4283">
        <v>0</v>
      </c>
      <c r="W4283" t="s">
        <v>52</v>
      </c>
    </row>
    <row r="4284" spans="1:45" x14ac:dyDescent="0.35">
      <c r="A4284" t="s">
        <v>45</v>
      </c>
      <c r="B4284" t="s">
        <v>8332</v>
      </c>
      <c r="C4284" t="s">
        <v>47</v>
      </c>
      <c r="D4284" t="s">
        <v>6710</v>
      </c>
      <c r="E4284" t="s">
        <v>6710</v>
      </c>
      <c r="F4284" t="s">
        <v>49</v>
      </c>
      <c r="G4284" t="s">
        <v>2767</v>
      </c>
      <c r="H4284" t="s">
        <v>9614</v>
      </c>
      <c r="J4284" t="str">
        <f>HYPERLINK("https://www.facebook.com/357267201017935/inbox/6743898455688079/","https://www.facebook.com/357267201017935/inbox/6743898455688079/")</f>
        <v>https://www.facebook.com/357267201017935/inbox/6743898455688079/</v>
      </c>
      <c r="O4284">
        <v>0</v>
      </c>
      <c r="P4284">
        <v>0</v>
      </c>
      <c r="Q4284">
        <v>0</v>
      </c>
      <c r="S4284">
        <v>0</v>
      </c>
      <c r="T4284">
        <v>0</v>
      </c>
      <c r="U4284">
        <v>0</v>
      </c>
      <c r="W4284" t="s">
        <v>52</v>
      </c>
    </row>
    <row r="4285" spans="1:45" x14ac:dyDescent="0.35">
      <c r="A4285" t="s">
        <v>45</v>
      </c>
      <c r="B4285" t="s">
        <v>8332</v>
      </c>
      <c r="C4285" t="s">
        <v>47</v>
      </c>
      <c r="D4285" t="s">
        <v>6710</v>
      </c>
      <c r="E4285" t="s">
        <v>6710</v>
      </c>
      <c r="F4285" t="s">
        <v>49</v>
      </c>
      <c r="G4285" t="s">
        <v>7144</v>
      </c>
      <c r="H4285" t="s">
        <v>9615</v>
      </c>
      <c r="J4285" t="str">
        <f>HYPERLINK("https://www.facebook.com/357267201017935/inbox/6743898455688079/","https://www.facebook.com/357267201017935/inbox/6743898455688079/")</f>
        <v>https://www.facebook.com/357267201017935/inbox/6743898455688079/</v>
      </c>
      <c r="O4285">
        <v>0</v>
      </c>
      <c r="P4285">
        <v>0</v>
      </c>
      <c r="Q4285">
        <v>0</v>
      </c>
      <c r="S4285">
        <v>0</v>
      </c>
      <c r="T4285">
        <v>0</v>
      </c>
      <c r="U4285">
        <v>0</v>
      </c>
      <c r="W4285" t="s">
        <v>52</v>
      </c>
    </row>
    <row r="4286" spans="1:45" x14ac:dyDescent="0.35">
      <c r="A4286" t="s">
        <v>45</v>
      </c>
      <c r="B4286" t="s">
        <v>8332</v>
      </c>
      <c r="C4286" t="s">
        <v>47</v>
      </c>
      <c r="D4286" t="s">
        <v>6710</v>
      </c>
      <c r="E4286" t="s">
        <v>6710</v>
      </c>
      <c r="F4286" t="s">
        <v>142</v>
      </c>
      <c r="G4286" t="s">
        <v>9616</v>
      </c>
      <c r="H4286" t="s">
        <v>9617</v>
      </c>
      <c r="J4286" t="str">
        <f>HYPERLINK("https://www.facebook.com/454965103328545/posts/763871475771238?comment_id=412484014487796","https://www.facebook.com/454965103328545/posts/763871475771238?comment_id=412484014487796")</f>
        <v>https://www.facebook.com/454965103328545/posts/763871475771238?comment_id=412484014487796</v>
      </c>
      <c r="O4286">
        <v>0</v>
      </c>
      <c r="P4286">
        <v>0</v>
      </c>
      <c r="Q4286">
        <v>0</v>
      </c>
      <c r="S4286">
        <v>0</v>
      </c>
      <c r="T4286">
        <v>0</v>
      </c>
      <c r="U4286">
        <v>0</v>
      </c>
      <c r="W4286" t="s">
        <v>62</v>
      </c>
      <c r="AP4286" t="s">
        <v>147</v>
      </c>
    </row>
    <row r="4287" spans="1:45" x14ac:dyDescent="0.35">
      <c r="A4287" t="s">
        <v>45</v>
      </c>
      <c r="B4287" t="s">
        <v>9618</v>
      </c>
      <c r="C4287" t="s">
        <v>139</v>
      </c>
      <c r="D4287" t="s">
        <v>9619</v>
      </c>
      <c r="E4287" t="s">
        <v>9620</v>
      </c>
      <c r="F4287" t="s">
        <v>49</v>
      </c>
      <c r="G4287" t="s">
        <v>9621</v>
      </c>
      <c r="H4287" t="s">
        <v>9622</v>
      </c>
      <c r="J4287" t="str">
        <f>HYPERLINK("https://twitter.com/FincareBank/status/1753122812141682691","https://twitter.com/FincareBank/status/1753122812141682691")</f>
        <v>https://twitter.com/FincareBank/status/1753122812141682691</v>
      </c>
      <c r="O4287">
        <v>0</v>
      </c>
      <c r="P4287">
        <v>0</v>
      </c>
      <c r="Q4287">
        <v>14195</v>
      </c>
      <c r="R4287" t="s">
        <v>582</v>
      </c>
      <c r="S4287">
        <v>0</v>
      </c>
      <c r="T4287">
        <v>0</v>
      </c>
      <c r="U4287">
        <v>0</v>
      </c>
      <c r="V4287" t="s">
        <v>642</v>
      </c>
      <c r="W4287" t="s">
        <v>146</v>
      </c>
    </row>
    <row r="4288" spans="1:45" x14ac:dyDescent="0.35">
      <c r="A4288" t="s">
        <v>45</v>
      </c>
      <c r="B4288" t="s">
        <v>9618</v>
      </c>
      <c r="C4288" t="s">
        <v>139</v>
      </c>
      <c r="D4288" t="s">
        <v>4103</v>
      </c>
      <c r="E4288" t="s">
        <v>4104</v>
      </c>
      <c r="F4288" t="s">
        <v>49</v>
      </c>
      <c r="G4288" t="s">
        <v>9623</v>
      </c>
      <c r="H4288" t="s">
        <v>9624</v>
      </c>
      <c r="J4288" t="str">
        <f>HYPERLINK("https://twitter.com/fiaks4knowledge/status/1753122548336971969","https://twitter.com/fiaks4knowledge/status/1753122548336971969")</f>
        <v>https://twitter.com/fiaks4knowledge/status/1753122548336971969</v>
      </c>
      <c r="O4288">
        <v>0</v>
      </c>
      <c r="P4288">
        <v>0</v>
      </c>
      <c r="Q4288">
        <v>155</v>
      </c>
      <c r="R4288" t="s">
        <v>1247</v>
      </c>
      <c r="S4288">
        <v>0</v>
      </c>
      <c r="T4288">
        <v>0</v>
      </c>
      <c r="U4288">
        <v>0</v>
      </c>
      <c r="W4288" t="s">
        <v>146</v>
      </c>
    </row>
    <row r="4289" spans="1:45" x14ac:dyDescent="0.35">
      <c r="A4289" t="s">
        <v>45</v>
      </c>
      <c r="B4289" t="s">
        <v>9618</v>
      </c>
      <c r="C4289" t="s">
        <v>47</v>
      </c>
      <c r="D4289" t="s">
        <v>9625</v>
      </c>
      <c r="E4289" t="s">
        <v>9625</v>
      </c>
      <c r="F4289" t="s">
        <v>142</v>
      </c>
      <c r="G4289" t="s">
        <v>9626</v>
      </c>
      <c r="H4289" t="s">
        <v>9627</v>
      </c>
      <c r="J4289" t="str">
        <f>HYPERLINK("https://www.facebook.com/454965103328545/posts/763871475771238?comment_id=934373514714092","https://www.facebook.com/454965103328545/posts/763871475771238?comment_id=934373514714092")</f>
        <v>https://www.facebook.com/454965103328545/posts/763871475771238?comment_id=934373514714092</v>
      </c>
      <c r="O4289">
        <v>0</v>
      </c>
      <c r="P4289">
        <v>0</v>
      </c>
      <c r="Q4289">
        <v>0</v>
      </c>
      <c r="S4289">
        <v>0</v>
      </c>
      <c r="T4289">
        <v>0</v>
      </c>
      <c r="U4289">
        <v>0</v>
      </c>
      <c r="W4289" t="s">
        <v>62</v>
      </c>
    </row>
    <row r="4290" spans="1:45" x14ac:dyDescent="0.35">
      <c r="A4290" t="s">
        <v>45</v>
      </c>
      <c r="B4290" t="s">
        <v>9618</v>
      </c>
      <c r="C4290" t="s">
        <v>47</v>
      </c>
      <c r="D4290" t="s">
        <v>5524</v>
      </c>
      <c r="E4290" t="s">
        <v>5524</v>
      </c>
      <c r="F4290" t="s">
        <v>142</v>
      </c>
      <c r="G4290" t="s">
        <v>9628</v>
      </c>
      <c r="H4290" t="s">
        <v>9629</v>
      </c>
      <c r="J4290" t="str">
        <f>HYPERLINK("https://www.facebook.com/454965103328545/posts/763285952496457?comment_id=1044562649990627","https://www.facebook.com/454965103328545/posts/763285952496457?comment_id=1044562649990627")</f>
        <v>https://www.facebook.com/454965103328545/posts/763285952496457?comment_id=1044562649990627</v>
      </c>
      <c r="O4290">
        <v>0</v>
      </c>
      <c r="P4290">
        <v>0</v>
      </c>
      <c r="Q4290">
        <v>0</v>
      </c>
      <c r="S4290">
        <v>0</v>
      </c>
      <c r="T4290">
        <v>0</v>
      </c>
      <c r="U4290">
        <v>0</v>
      </c>
      <c r="W4290" t="s">
        <v>62</v>
      </c>
      <c r="AO4290" t="s">
        <v>119</v>
      </c>
      <c r="AP4290" t="s">
        <v>101</v>
      </c>
      <c r="AS4290" t="s">
        <v>375</v>
      </c>
    </row>
    <row r="4291" spans="1:45" x14ac:dyDescent="0.35">
      <c r="A4291" t="s">
        <v>45</v>
      </c>
      <c r="B4291" t="s">
        <v>9618</v>
      </c>
      <c r="C4291" t="s">
        <v>102</v>
      </c>
      <c r="D4291" t="s">
        <v>9630</v>
      </c>
      <c r="E4291" t="s">
        <v>9630</v>
      </c>
      <c r="F4291" t="s">
        <v>49</v>
      </c>
      <c r="G4291" t="s">
        <v>9631</v>
      </c>
      <c r="H4291" t="s">
        <v>9632</v>
      </c>
      <c r="J4291" t="str">
        <f>HYPERLINK("https://www.linkedin.com/feed/update/urn:li:activity:7158447826098610177?commentUrn=urn:li:comment:(activity:7158447826098610177,7158670666215391234)&amp;replyUrn=urn:li:comment:(activity:7158447826098610177,7158871504946925569)","https://www.linkedin.com/feed/update/urn:li:activity:7158447826098610177?commentUrn=urn:li:comment:(activity:7158447826098610177,7158670666215391234)&amp;replyUrn=urn:li:comment:(activity:7158447826098610177,7158871504946925569)")</f>
        <v>https://www.linkedin.com/feed/update/urn:li:activity:7158447826098610177?commentUrn=urn:li:comment:(activity:7158447826098610177,7158670666215391234)&amp;replyUrn=urn:li:comment:(activity:7158447826098610177,7158871504946925569)</v>
      </c>
      <c r="K4291" t="s">
        <v>145</v>
      </c>
      <c r="O4291">
        <v>0</v>
      </c>
      <c r="P4291">
        <v>0</v>
      </c>
      <c r="Q4291">
        <v>0</v>
      </c>
      <c r="S4291">
        <v>0</v>
      </c>
      <c r="T4291">
        <v>0</v>
      </c>
      <c r="U4291">
        <v>0</v>
      </c>
      <c r="W4291" t="s">
        <v>62</v>
      </c>
    </row>
    <row r="4292" spans="1:45" x14ac:dyDescent="0.35">
      <c r="A4292" t="s">
        <v>45</v>
      </c>
      <c r="B4292" t="s">
        <v>9618</v>
      </c>
      <c r="C4292" t="s">
        <v>139</v>
      </c>
      <c r="D4292" t="s">
        <v>9633</v>
      </c>
      <c r="E4292" t="s">
        <v>9634</v>
      </c>
      <c r="F4292" t="s">
        <v>49</v>
      </c>
      <c r="G4292" t="s">
        <v>9635</v>
      </c>
      <c r="H4292" t="s">
        <v>9636</v>
      </c>
      <c r="J4292" t="str">
        <f>HYPERLINK("https://twitter.com/BishalHelapaytm/status/1753105517474660366","https://twitter.com/BishalHelapaytm/status/1753105517474660366")</f>
        <v>https://twitter.com/BishalHelapaytm/status/1753105517474660366</v>
      </c>
      <c r="K4292" t="s">
        <v>145</v>
      </c>
      <c r="O4292">
        <v>0</v>
      </c>
      <c r="P4292">
        <v>0</v>
      </c>
      <c r="Q4292">
        <v>2</v>
      </c>
      <c r="S4292">
        <v>0</v>
      </c>
      <c r="T4292">
        <v>0</v>
      </c>
      <c r="U4292">
        <v>0</v>
      </c>
      <c r="W4292" t="s">
        <v>146</v>
      </c>
    </row>
    <row r="4293" spans="1:45" x14ac:dyDescent="0.35">
      <c r="A4293" t="s">
        <v>45</v>
      </c>
      <c r="B4293" t="s">
        <v>9618</v>
      </c>
      <c r="C4293" t="s">
        <v>47</v>
      </c>
      <c r="D4293" t="s">
        <v>9637</v>
      </c>
      <c r="E4293" t="s">
        <v>9637</v>
      </c>
      <c r="F4293" t="s">
        <v>49</v>
      </c>
      <c r="G4293" t="s">
        <v>9638</v>
      </c>
      <c r="H4293" t="s">
        <v>9639</v>
      </c>
      <c r="J4293" t="str">
        <f>HYPERLINK("https://www.facebook.com/454965103328545/posts/763285952496457?comment_id=371945935721697","https://www.facebook.com/454965103328545/posts/763285952496457?comment_id=371945935721697")</f>
        <v>https://www.facebook.com/454965103328545/posts/763285952496457?comment_id=371945935721697</v>
      </c>
      <c r="O4293">
        <v>0</v>
      </c>
      <c r="P4293">
        <v>0</v>
      </c>
      <c r="Q4293">
        <v>0</v>
      </c>
      <c r="S4293">
        <v>0</v>
      </c>
      <c r="T4293">
        <v>0</v>
      </c>
      <c r="U4293">
        <v>0</v>
      </c>
      <c r="W4293" t="s">
        <v>62</v>
      </c>
    </row>
    <row r="4294" spans="1:45" x14ac:dyDescent="0.35">
      <c r="A4294" t="s">
        <v>45</v>
      </c>
      <c r="B4294" t="s">
        <v>9618</v>
      </c>
      <c r="C4294" t="s">
        <v>47</v>
      </c>
      <c r="D4294" t="s">
        <v>9640</v>
      </c>
      <c r="E4294" t="s">
        <v>9640</v>
      </c>
      <c r="F4294" t="s">
        <v>49</v>
      </c>
      <c r="G4294" t="s">
        <v>9641</v>
      </c>
      <c r="H4294" t="s">
        <v>9642</v>
      </c>
      <c r="J4294" t="str">
        <f>HYPERLINK("https://www.facebook.com/454965103328545/posts/763871475771238?comment_id=1028176528255038","https://www.facebook.com/454965103328545/posts/763871475771238?comment_id=1028176528255038")</f>
        <v>https://www.facebook.com/454965103328545/posts/763871475771238?comment_id=1028176528255038</v>
      </c>
      <c r="O4294">
        <v>0</v>
      </c>
      <c r="P4294">
        <v>0</v>
      </c>
      <c r="Q4294">
        <v>0</v>
      </c>
      <c r="S4294">
        <v>0</v>
      </c>
      <c r="T4294">
        <v>0</v>
      </c>
      <c r="U4294">
        <v>0</v>
      </c>
      <c r="W4294" t="s">
        <v>62</v>
      </c>
    </row>
    <row r="4295" spans="1:45" x14ac:dyDescent="0.35">
      <c r="A4295" t="s">
        <v>45</v>
      </c>
      <c r="B4295" t="s">
        <v>9618</v>
      </c>
      <c r="C4295" t="s">
        <v>47</v>
      </c>
      <c r="D4295" t="s">
        <v>6252</v>
      </c>
      <c r="E4295" t="s">
        <v>6252</v>
      </c>
      <c r="F4295" t="s">
        <v>142</v>
      </c>
      <c r="G4295" t="s">
        <v>9643</v>
      </c>
      <c r="H4295" t="s">
        <v>9644</v>
      </c>
      <c r="J4295" t="str">
        <f>HYPERLINK("https://www.facebook.com/454965103328545/posts/763871475771238?comment_id=296937866726554","https://www.facebook.com/454965103328545/posts/763871475771238?comment_id=296937866726554")</f>
        <v>https://www.facebook.com/454965103328545/posts/763871475771238?comment_id=296937866726554</v>
      </c>
      <c r="O4295">
        <v>0</v>
      </c>
      <c r="P4295">
        <v>0</v>
      </c>
      <c r="Q4295">
        <v>0</v>
      </c>
      <c r="S4295">
        <v>0</v>
      </c>
      <c r="T4295">
        <v>0</v>
      </c>
      <c r="U4295">
        <v>0</v>
      </c>
      <c r="W4295" t="s">
        <v>62</v>
      </c>
      <c r="AS4295" t="s">
        <v>375</v>
      </c>
    </row>
    <row r="4296" spans="1:45" x14ac:dyDescent="0.35">
      <c r="A4296" t="s">
        <v>45</v>
      </c>
      <c r="B4296" t="s">
        <v>9618</v>
      </c>
      <c r="C4296" t="s">
        <v>47</v>
      </c>
      <c r="D4296" t="s">
        <v>9645</v>
      </c>
      <c r="E4296" t="s">
        <v>9645</v>
      </c>
      <c r="F4296" t="s">
        <v>49</v>
      </c>
      <c r="G4296" t="s">
        <v>9646</v>
      </c>
      <c r="H4296" t="s">
        <v>9647</v>
      </c>
      <c r="J4296" t="str">
        <f>HYPERLINK("https://www.facebook.com/454965103328545/posts/763871475771238?comment_id=366233036120964","https://www.facebook.com/454965103328545/posts/763871475771238?comment_id=366233036120964")</f>
        <v>https://www.facebook.com/454965103328545/posts/763871475771238?comment_id=366233036120964</v>
      </c>
      <c r="O4296">
        <v>0</v>
      </c>
      <c r="P4296">
        <v>0</v>
      </c>
      <c r="Q4296">
        <v>0</v>
      </c>
      <c r="S4296">
        <v>0</v>
      </c>
      <c r="T4296">
        <v>0</v>
      </c>
      <c r="U4296">
        <v>0</v>
      </c>
      <c r="W4296" t="s">
        <v>62</v>
      </c>
    </row>
    <row r="4297" spans="1:45" x14ac:dyDescent="0.35">
      <c r="A4297" t="s">
        <v>45</v>
      </c>
      <c r="B4297" t="s">
        <v>9618</v>
      </c>
      <c r="C4297" t="s">
        <v>47</v>
      </c>
      <c r="D4297" t="s">
        <v>5936</v>
      </c>
      <c r="E4297" t="s">
        <v>5936</v>
      </c>
      <c r="F4297" t="s">
        <v>49</v>
      </c>
      <c r="G4297" t="s">
        <v>9648</v>
      </c>
      <c r="H4297" t="s">
        <v>9649</v>
      </c>
      <c r="J4297" t="str">
        <f>HYPERLINK("https://www.facebook.com/454965103328545/posts/763871475771238?comment_id=422094643493039","https://www.facebook.com/454965103328545/posts/763871475771238?comment_id=422094643493039")</f>
        <v>https://www.facebook.com/454965103328545/posts/763871475771238?comment_id=422094643493039</v>
      </c>
      <c r="O4297">
        <v>0</v>
      </c>
      <c r="P4297">
        <v>0</v>
      </c>
      <c r="Q4297">
        <v>0</v>
      </c>
      <c r="S4297">
        <v>0</v>
      </c>
      <c r="T4297">
        <v>0</v>
      </c>
      <c r="U4297">
        <v>0</v>
      </c>
      <c r="W4297" t="s">
        <v>62</v>
      </c>
      <c r="AS4297" t="s">
        <v>375</v>
      </c>
    </row>
    <row r="4298" spans="1:45" x14ac:dyDescent="0.35">
      <c r="A4298" t="s">
        <v>45</v>
      </c>
      <c r="B4298" t="s">
        <v>9618</v>
      </c>
      <c r="C4298" t="s">
        <v>47</v>
      </c>
      <c r="D4298" t="s">
        <v>5936</v>
      </c>
      <c r="E4298" t="s">
        <v>5936</v>
      </c>
      <c r="F4298" t="s">
        <v>49</v>
      </c>
      <c r="G4298" t="s">
        <v>131</v>
      </c>
      <c r="H4298" t="s">
        <v>9650</v>
      </c>
      <c r="J4298" t="str">
        <f>HYPERLINK("https://www.facebook.com/454965103328545/posts/763871475771238?comment_id=956800909146976","https://www.facebook.com/454965103328545/posts/763871475771238?comment_id=956800909146976")</f>
        <v>https://www.facebook.com/454965103328545/posts/763871475771238?comment_id=956800909146976</v>
      </c>
      <c r="O4298">
        <v>0</v>
      </c>
      <c r="P4298">
        <v>0</v>
      </c>
      <c r="Q4298">
        <v>0</v>
      </c>
      <c r="S4298">
        <v>0</v>
      </c>
      <c r="T4298">
        <v>0</v>
      </c>
      <c r="U4298">
        <v>0</v>
      </c>
      <c r="W4298" t="s">
        <v>62</v>
      </c>
    </row>
    <row r="4299" spans="1:45" x14ac:dyDescent="0.35">
      <c r="A4299" t="s">
        <v>45</v>
      </c>
      <c r="B4299" t="s">
        <v>9618</v>
      </c>
      <c r="C4299" t="s">
        <v>47</v>
      </c>
      <c r="D4299" t="s">
        <v>7714</v>
      </c>
      <c r="E4299" t="s">
        <v>7714</v>
      </c>
      <c r="F4299" t="s">
        <v>76</v>
      </c>
      <c r="G4299" t="s">
        <v>9651</v>
      </c>
      <c r="H4299" t="s">
        <v>9652</v>
      </c>
      <c r="J4299" t="str">
        <f>HYPERLINK("https://www.facebook.com/454965103328545/posts/762566475901738?comment_id=714535594003352","https://www.facebook.com/454965103328545/posts/762566475901738?comment_id=714535594003352")</f>
        <v>https://www.facebook.com/454965103328545/posts/762566475901738?comment_id=714535594003352</v>
      </c>
      <c r="O4299">
        <v>0</v>
      </c>
      <c r="P4299">
        <v>0</v>
      </c>
      <c r="Q4299">
        <v>0</v>
      </c>
      <c r="S4299">
        <v>0</v>
      </c>
      <c r="T4299">
        <v>0</v>
      </c>
      <c r="U4299">
        <v>0</v>
      </c>
      <c r="W4299" t="s">
        <v>62</v>
      </c>
    </row>
    <row r="4300" spans="1:45" x14ac:dyDescent="0.35">
      <c r="A4300" t="s">
        <v>45</v>
      </c>
      <c r="B4300" t="s">
        <v>9618</v>
      </c>
      <c r="C4300" t="s">
        <v>47</v>
      </c>
      <c r="D4300" t="s">
        <v>7714</v>
      </c>
      <c r="E4300" t="s">
        <v>7714</v>
      </c>
      <c r="F4300" t="s">
        <v>49</v>
      </c>
      <c r="G4300" t="s">
        <v>9653</v>
      </c>
      <c r="H4300" t="s">
        <v>9654</v>
      </c>
      <c r="J4300" t="str">
        <f>HYPERLINK("https://www.facebook.com/454965103328545/posts/702886928536360?comment_id=399949072593769","https://www.facebook.com/454965103328545/posts/702886928536360?comment_id=399949072593769")</f>
        <v>https://www.facebook.com/454965103328545/posts/702886928536360?comment_id=399949072593769</v>
      </c>
      <c r="O4300">
        <v>0</v>
      </c>
      <c r="P4300">
        <v>0</v>
      </c>
      <c r="Q4300">
        <v>0</v>
      </c>
      <c r="S4300">
        <v>0</v>
      </c>
      <c r="T4300">
        <v>0</v>
      </c>
      <c r="U4300">
        <v>0</v>
      </c>
      <c r="W4300" t="s">
        <v>62</v>
      </c>
    </row>
    <row r="4301" spans="1:45" x14ac:dyDescent="0.35">
      <c r="A4301" t="s">
        <v>45</v>
      </c>
      <c r="B4301" t="s">
        <v>9618</v>
      </c>
      <c r="C4301" t="s">
        <v>58</v>
      </c>
      <c r="D4301" t="s">
        <v>9655</v>
      </c>
      <c r="E4301" t="s">
        <v>9655</v>
      </c>
      <c r="F4301" t="s">
        <v>49</v>
      </c>
      <c r="G4301" t="s">
        <v>9656</v>
      </c>
      <c r="H4301" t="s">
        <v>9657</v>
      </c>
      <c r="J4301" t="str">
        <f>HYPERLINK("https://www.youtube.com/watch?v=n3kQsgUvu1k&amp;lc=UgwZsqyoCm_ZtZySE2R4AaABAg","https://www.youtube.com/watch?v=n3kQsgUvu1k&amp;lc=UgwZsqyoCm_ZtZySE2R4AaABAg")</f>
        <v>https://www.youtube.com/watch?v=n3kQsgUvu1k&amp;lc=UgwZsqyoCm_ZtZySE2R4AaABAg</v>
      </c>
      <c r="O4301">
        <v>0</v>
      </c>
      <c r="P4301">
        <v>0</v>
      </c>
      <c r="Q4301">
        <v>0</v>
      </c>
      <c r="S4301">
        <v>0</v>
      </c>
      <c r="T4301">
        <v>0</v>
      </c>
      <c r="U4301">
        <v>0</v>
      </c>
      <c r="W4301" t="s">
        <v>62</v>
      </c>
    </row>
    <row r="4302" spans="1:45" x14ac:dyDescent="0.35">
      <c r="A4302" t="s">
        <v>45</v>
      </c>
      <c r="B4302" t="s">
        <v>9618</v>
      </c>
      <c r="C4302" t="s">
        <v>47</v>
      </c>
      <c r="D4302" t="s">
        <v>7714</v>
      </c>
      <c r="E4302" t="s">
        <v>7714</v>
      </c>
      <c r="F4302" t="s">
        <v>76</v>
      </c>
      <c r="G4302" t="s">
        <v>9658</v>
      </c>
      <c r="H4302" t="s">
        <v>9659</v>
      </c>
      <c r="J4302" t="str">
        <f>HYPERLINK("https://www.facebook.com/357267201017935/posts/4235973426480607/?comment_id=3765837023648143","https://www.facebook.com/357267201017935/posts/4235973426480607/?comment_id=3765837023648143")</f>
        <v>https://www.facebook.com/357267201017935/posts/4235973426480607/?comment_id=3765837023648143</v>
      </c>
      <c r="O4302">
        <v>0</v>
      </c>
      <c r="P4302">
        <v>0</v>
      </c>
      <c r="Q4302">
        <v>0</v>
      </c>
      <c r="S4302">
        <v>0</v>
      </c>
      <c r="T4302">
        <v>0</v>
      </c>
      <c r="U4302">
        <v>0</v>
      </c>
      <c r="W4302" t="s">
        <v>62</v>
      </c>
    </row>
    <row r="4303" spans="1:45" x14ac:dyDescent="0.35">
      <c r="A4303" t="s">
        <v>45</v>
      </c>
      <c r="B4303" t="s">
        <v>9618</v>
      </c>
      <c r="C4303" t="s">
        <v>47</v>
      </c>
      <c r="D4303" t="s">
        <v>7714</v>
      </c>
      <c r="E4303" t="s">
        <v>7714</v>
      </c>
      <c r="F4303" t="s">
        <v>49</v>
      </c>
      <c r="H4303" t="s">
        <v>9660</v>
      </c>
      <c r="J4303" t="str">
        <f>HYPERLINK("https://www.facebook.com/357267201017935/posts/4235973426480607/?comment_id=1123410492007551","https://www.facebook.com/357267201017935/posts/4235973426480607/?comment_id=1123410492007551")</f>
        <v>https://www.facebook.com/357267201017935/posts/4235973426480607/?comment_id=1123410492007551</v>
      </c>
      <c r="O4303">
        <v>0</v>
      </c>
      <c r="P4303">
        <v>0</v>
      </c>
      <c r="Q4303">
        <v>0</v>
      </c>
      <c r="S4303">
        <v>0</v>
      </c>
      <c r="T4303">
        <v>0</v>
      </c>
      <c r="U4303">
        <v>0</v>
      </c>
      <c r="W4303" t="s">
        <v>62</v>
      </c>
    </row>
    <row r="4304" spans="1:45" x14ac:dyDescent="0.35">
      <c r="A4304" t="s">
        <v>45</v>
      </c>
      <c r="B4304" t="s">
        <v>9618</v>
      </c>
      <c r="C4304" t="s">
        <v>102</v>
      </c>
      <c r="D4304" t="s">
        <v>9661</v>
      </c>
      <c r="E4304" t="s">
        <v>9661</v>
      </c>
      <c r="F4304" t="s">
        <v>142</v>
      </c>
      <c r="G4304" t="s">
        <v>9662</v>
      </c>
      <c r="H4304" t="s">
        <v>9663</v>
      </c>
      <c r="J4304" t="str">
        <f>HYPERLINK("https://www.linkedin.com/feed/update/urn:li:activity:7158447826098610177?commentUrn=urn:li:comment:(activity:7158447826098610177,7158863232391114753)&amp;replyUrn=urn:li:comment:(activity:7158447826098610177,7158863572314345472)","https://www.linkedin.com/feed/update/urn:li:activity:7158447826098610177?commentUrn=urn:li:comment:(activity:7158447826098610177,7158863232391114753)&amp;replyUrn=urn:li:comment:(activity:7158447826098610177,7158863572314345472)")</f>
        <v>https://www.linkedin.com/feed/update/urn:li:activity:7158447826098610177?commentUrn=urn:li:comment:(activity:7158447826098610177,7158863232391114753)&amp;replyUrn=urn:li:comment:(activity:7158447826098610177,7158863572314345472)</v>
      </c>
      <c r="K4304" t="s">
        <v>145</v>
      </c>
      <c r="O4304">
        <v>0</v>
      </c>
      <c r="P4304">
        <v>0</v>
      </c>
      <c r="Q4304">
        <v>0</v>
      </c>
      <c r="S4304">
        <v>0</v>
      </c>
      <c r="T4304">
        <v>0</v>
      </c>
      <c r="U4304">
        <v>0</v>
      </c>
      <c r="W4304" t="s">
        <v>62</v>
      </c>
    </row>
    <row r="4305" spans="1:45" x14ac:dyDescent="0.35">
      <c r="A4305" t="s">
        <v>45</v>
      </c>
      <c r="B4305" t="s">
        <v>9618</v>
      </c>
      <c r="C4305" t="s">
        <v>47</v>
      </c>
      <c r="D4305" t="s">
        <v>7714</v>
      </c>
      <c r="E4305" t="s">
        <v>7714</v>
      </c>
      <c r="F4305" t="s">
        <v>142</v>
      </c>
      <c r="G4305" t="s">
        <v>9664</v>
      </c>
      <c r="H4305" t="s">
        <v>9665</v>
      </c>
      <c r="J4305" t="str">
        <f>HYPERLINK("https://www.facebook.com/454965103328545/posts/763871475771238?comment_id=1826910604446329&amp;reply_comment_id=425725606694856","https://www.facebook.com/454965103328545/posts/763871475771238?comment_id=1826910604446329&amp;reply_comment_id=425725606694856")</f>
        <v>https://www.facebook.com/454965103328545/posts/763871475771238?comment_id=1826910604446329&amp;reply_comment_id=425725606694856</v>
      </c>
      <c r="O4305">
        <v>0</v>
      </c>
      <c r="P4305">
        <v>0</v>
      </c>
      <c r="Q4305">
        <v>0</v>
      </c>
      <c r="S4305">
        <v>0</v>
      </c>
      <c r="T4305">
        <v>0</v>
      </c>
      <c r="U4305">
        <v>0</v>
      </c>
      <c r="W4305" t="s">
        <v>62</v>
      </c>
    </row>
    <row r="4306" spans="1:45" x14ac:dyDescent="0.35">
      <c r="A4306" t="s">
        <v>45</v>
      </c>
      <c r="B4306" t="s">
        <v>9618</v>
      </c>
      <c r="C4306" t="s">
        <v>102</v>
      </c>
      <c r="D4306" t="s">
        <v>9661</v>
      </c>
      <c r="E4306" t="s">
        <v>9661</v>
      </c>
      <c r="F4306" t="s">
        <v>49</v>
      </c>
      <c r="G4306" t="s">
        <v>9666</v>
      </c>
      <c r="H4306" t="s">
        <v>9667</v>
      </c>
      <c r="J4306" t="str">
        <f>HYPERLINK("https://www.linkedin.com/feed/update/urn:li:share:7158447824953655296/?commentUrn=urn:li:comment:(urn:li:activity:7158447826098610177,7158863232391114753)","https://www.linkedin.com/feed/update/urn:li:share:7158447824953655296/?commentUrn=urn:li:comment:(urn:li:activity:7158447826098610177,7158863232391114753)")</f>
        <v>https://www.linkedin.com/feed/update/urn:li:share:7158447824953655296/?commentUrn=urn:li:comment:(urn:li:activity:7158447826098610177,7158863232391114753)</v>
      </c>
      <c r="K4306" t="s">
        <v>145</v>
      </c>
      <c r="O4306">
        <v>0</v>
      </c>
      <c r="P4306">
        <v>0</v>
      </c>
      <c r="Q4306">
        <v>0</v>
      </c>
      <c r="S4306">
        <v>0</v>
      </c>
      <c r="T4306">
        <v>0</v>
      </c>
      <c r="U4306">
        <v>0</v>
      </c>
      <c r="W4306" t="s">
        <v>62</v>
      </c>
    </row>
    <row r="4307" spans="1:45" x14ac:dyDescent="0.35">
      <c r="A4307" t="s">
        <v>45</v>
      </c>
      <c r="B4307" t="s">
        <v>9618</v>
      </c>
      <c r="C4307" t="s">
        <v>47</v>
      </c>
      <c r="D4307" t="s">
        <v>9668</v>
      </c>
      <c r="E4307" t="s">
        <v>9668</v>
      </c>
      <c r="F4307" t="s">
        <v>49</v>
      </c>
      <c r="G4307" t="s">
        <v>50</v>
      </c>
      <c r="H4307" t="s">
        <v>9669</v>
      </c>
      <c r="J4307" t="str">
        <f>HYPERLINK("https://www.facebook.com/357267201017935/inbox/5434056950005576/","https://www.facebook.com/357267201017935/inbox/5434056950005576/")</f>
        <v>https://www.facebook.com/357267201017935/inbox/5434056950005576/</v>
      </c>
      <c r="O4307">
        <v>0</v>
      </c>
      <c r="P4307">
        <v>0</v>
      </c>
      <c r="Q4307">
        <v>0</v>
      </c>
      <c r="S4307">
        <v>0</v>
      </c>
      <c r="T4307">
        <v>0</v>
      </c>
      <c r="U4307">
        <v>0</v>
      </c>
      <c r="W4307" t="s">
        <v>52</v>
      </c>
    </row>
    <row r="4308" spans="1:45" x14ac:dyDescent="0.35">
      <c r="A4308" t="s">
        <v>45</v>
      </c>
      <c r="B4308" t="s">
        <v>9618</v>
      </c>
      <c r="C4308" t="s">
        <v>139</v>
      </c>
      <c r="D4308" t="s">
        <v>7892</v>
      </c>
      <c r="E4308" t="s">
        <v>7893</v>
      </c>
      <c r="F4308" t="s">
        <v>142</v>
      </c>
      <c r="G4308" t="s">
        <v>9670</v>
      </c>
      <c r="H4308" t="s">
        <v>9671</v>
      </c>
      <c r="J4308" t="str">
        <f>HYPERLINK("https://twitter.com/80767816suraj/status/1753095965693849849","https://twitter.com/80767816suraj/status/1753095965693849849")</f>
        <v>https://twitter.com/80767816suraj/status/1753095965693849849</v>
      </c>
      <c r="O4308">
        <v>0</v>
      </c>
      <c r="P4308">
        <v>0</v>
      </c>
      <c r="Q4308">
        <v>0</v>
      </c>
      <c r="S4308">
        <v>0</v>
      </c>
      <c r="T4308">
        <v>0</v>
      </c>
      <c r="U4308">
        <v>0</v>
      </c>
      <c r="W4308" t="s">
        <v>52</v>
      </c>
      <c r="AS4308" t="s">
        <v>375</v>
      </c>
    </row>
    <row r="4309" spans="1:45" x14ac:dyDescent="0.35">
      <c r="A4309" t="s">
        <v>45</v>
      </c>
      <c r="B4309" t="s">
        <v>9618</v>
      </c>
      <c r="C4309" t="s">
        <v>47</v>
      </c>
      <c r="D4309" t="s">
        <v>9672</v>
      </c>
      <c r="E4309" t="s">
        <v>9672</v>
      </c>
      <c r="F4309" t="s">
        <v>142</v>
      </c>
      <c r="G4309" t="s">
        <v>9673</v>
      </c>
      <c r="H4309" t="s">
        <v>9674</v>
      </c>
      <c r="J4309" t="str">
        <f>HYPERLINK("https://www.facebook.com/454965103328545/posts/763871475771238?comment_id=1624955584575952","https://www.facebook.com/454965103328545/posts/763871475771238?comment_id=1624955584575952")</f>
        <v>https://www.facebook.com/454965103328545/posts/763871475771238?comment_id=1624955584575952</v>
      </c>
      <c r="O4309">
        <v>0</v>
      </c>
      <c r="P4309">
        <v>0</v>
      </c>
      <c r="Q4309">
        <v>0</v>
      </c>
      <c r="S4309">
        <v>0</v>
      </c>
      <c r="T4309">
        <v>0</v>
      </c>
      <c r="U4309">
        <v>0</v>
      </c>
      <c r="W4309" t="s">
        <v>62</v>
      </c>
      <c r="AS4309" t="s">
        <v>375</v>
      </c>
    </row>
    <row r="4310" spans="1:45" x14ac:dyDescent="0.35">
      <c r="A4310" t="s">
        <v>45</v>
      </c>
      <c r="B4310" t="s">
        <v>9618</v>
      </c>
      <c r="C4310" t="s">
        <v>47</v>
      </c>
      <c r="D4310" t="s">
        <v>9675</v>
      </c>
      <c r="E4310" t="s">
        <v>9675</v>
      </c>
      <c r="F4310" t="s">
        <v>49</v>
      </c>
      <c r="G4310" t="s">
        <v>9676</v>
      </c>
      <c r="H4310" t="s">
        <v>9677</v>
      </c>
      <c r="J4310" t="str">
        <f>HYPERLINK("https://www.facebook.com/454965103328545/posts/763871475771238?comment_id=742911227503367","https://www.facebook.com/454965103328545/posts/763871475771238?comment_id=742911227503367")</f>
        <v>https://www.facebook.com/454965103328545/posts/763871475771238?comment_id=742911227503367</v>
      </c>
      <c r="O4310">
        <v>0</v>
      </c>
      <c r="P4310">
        <v>0</v>
      </c>
      <c r="Q4310">
        <v>0</v>
      </c>
      <c r="S4310">
        <v>0</v>
      </c>
      <c r="T4310">
        <v>0</v>
      </c>
      <c r="U4310">
        <v>0</v>
      </c>
      <c r="W4310" t="s">
        <v>62</v>
      </c>
    </row>
    <row r="4311" spans="1:45" x14ac:dyDescent="0.35">
      <c r="A4311" t="s">
        <v>45</v>
      </c>
      <c r="B4311" t="s">
        <v>9618</v>
      </c>
      <c r="C4311" t="s">
        <v>58</v>
      </c>
      <c r="D4311" t="s">
        <v>9678</v>
      </c>
      <c r="E4311" t="s">
        <v>9678</v>
      </c>
      <c r="F4311" t="s">
        <v>49</v>
      </c>
      <c r="G4311" t="s">
        <v>9679</v>
      </c>
      <c r="H4311" t="s">
        <v>9680</v>
      </c>
      <c r="J4311" t="str">
        <f>HYPERLINK("https://www.youtube.com/watch?v=uIKLPIGHaTc&amp;lc=UgyMBmT5sbzIR1ITvIV4AaABAg","https://www.youtube.com/watch?v=uIKLPIGHaTc&amp;lc=UgyMBmT5sbzIR1ITvIV4AaABAg")</f>
        <v>https://www.youtube.com/watch?v=uIKLPIGHaTc&amp;lc=UgyMBmT5sbzIR1ITvIV4AaABAg</v>
      </c>
      <c r="O4311">
        <v>0</v>
      </c>
      <c r="P4311">
        <v>0</v>
      </c>
      <c r="Q4311">
        <v>0</v>
      </c>
      <c r="S4311">
        <v>0</v>
      </c>
      <c r="T4311">
        <v>0</v>
      </c>
      <c r="U4311">
        <v>0</v>
      </c>
      <c r="W4311" t="s">
        <v>62</v>
      </c>
    </row>
    <row r="4312" spans="1:45" x14ac:dyDescent="0.35">
      <c r="A4312" t="s">
        <v>45</v>
      </c>
      <c r="B4312" t="s">
        <v>9618</v>
      </c>
      <c r="C4312" t="s">
        <v>58</v>
      </c>
      <c r="D4312" t="s">
        <v>9678</v>
      </c>
      <c r="E4312" t="s">
        <v>9678</v>
      </c>
      <c r="F4312" t="s">
        <v>49</v>
      </c>
      <c r="G4312" t="s">
        <v>9681</v>
      </c>
      <c r="H4312" t="s">
        <v>9682</v>
      </c>
      <c r="J4312" t="str">
        <f>HYPERLINK("https://www.youtube.com/watch?v=uIKLPIGHaTc&amp;lc=UgxhP0usS_8fy-uhOuB4AaABAg","https://www.youtube.com/watch?v=uIKLPIGHaTc&amp;lc=UgxhP0usS_8fy-uhOuB4AaABAg")</f>
        <v>https://www.youtube.com/watch?v=uIKLPIGHaTc&amp;lc=UgxhP0usS_8fy-uhOuB4AaABAg</v>
      </c>
      <c r="O4312">
        <v>0</v>
      </c>
      <c r="P4312">
        <v>0</v>
      </c>
      <c r="Q4312">
        <v>0</v>
      </c>
      <c r="S4312">
        <v>0</v>
      </c>
      <c r="T4312">
        <v>0</v>
      </c>
      <c r="U4312">
        <v>0</v>
      </c>
      <c r="W4312" t="s">
        <v>62</v>
      </c>
    </row>
    <row r="4313" spans="1:45" x14ac:dyDescent="0.35">
      <c r="A4313" t="s">
        <v>45</v>
      </c>
      <c r="B4313" t="s">
        <v>9618</v>
      </c>
      <c r="C4313" t="s">
        <v>47</v>
      </c>
      <c r="D4313" t="s">
        <v>5939</v>
      </c>
      <c r="E4313" t="s">
        <v>5939</v>
      </c>
      <c r="F4313" t="s">
        <v>49</v>
      </c>
      <c r="G4313" t="s">
        <v>9683</v>
      </c>
      <c r="H4313" t="s">
        <v>9684</v>
      </c>
      <c r="J4313" t="str">
        <f>HYPERLINK("https://www.facebook.com/357267201017935/inbox/6988906087853980/","https://www.facebook.com/357267201017935/inbox/6988906087853980/")</f>
        <v>https://www.facebook.com/357267201017935/inbox/6988906087853980/</v>
      </c>
      <c r="O4313">
        <v>0</v>
      </c>
      <c r="P4313">
        <v>0</v>
      </c>
      <c r="Q4313">
        <v>0</v>
      </c>
      <c r="S4313">
        <v>0</v>
      </c>
      <c r="T4313">
        <v>0</v>
      </c>
      <c r="U4313">
        <v>0</v>
      </c>
      <c r="W4313" t="s">
        <v>52</v>
      </c>
      <c r="AO4313" t="s">
        <v>67</v>
      </c>
      <c r="AS4313" t="s">
        <v>375</v>
      </c>
    </row>
    <row r="4314" spans="1:45" x14ac:dyDescent="0.35">
      <c r="A4314" t="s">
        <v>45</v>
      </c>
      <c r="B4314" t="s">
        <v>9618</v>
      </c>
      <c r="C4314" t="s">
        <v>47</v>
      </c>
      <c r="D4314" t="s">
        <v>9685</v>
      </c>
      <c r="E4314" t="s">
        <v>9685</v>
      </c>
      <c r="F4314" t="s">
        <v>49</v>
      </c>
      <c r="G4314" t="s">
        <v>9686</v>
      </c>
      <c r="H4314" t="s">
        <v>9687</v>
      </c>
      <c r="J4314" t="str">
        <f>HYPERLINK("https://www.facebook.com/454965103328545/posts/763871475771238?comment_id=2719411881556335","https://www.facebook.com/454965103328545/posts/763871475771238?comment_id=2719411881556335")</f>
        <v>https://www.facebook.com/454965103328545/posts/763871475771238?comment_id=2719411881556335</v>
      </c>
      <c r="O4314">
        <v>0</v>
      </c>
      <c r="P4314">
        <v>0</v>
      </c>
      <c r="Q4314">
        <v>0</v>
      </c>
      <c r="S4314">
        <v>0</v>
      </c>
      <c r="T4314">
        <v>0</v>
      </c>
      <c r="U4314">
        <v>0</v>
      </c>
      <c r="W4314" t="s">
        <v>62</v>
      </c>
    </row>
    <row r="4315" spans="1:45" x14ac:dyDescent="0.35">
      <c r="A4315" t="s">
        <v>45</v>
      </c>
      <c r="B4315" t="s">
        <v>9618</v>
      </c>
      <c r="C4315" t="s">
        <v>47</v>
      </c>
      <c r="D4315" t="s">
        <v>8618</v>
      </c>
      <c r="E4315" t="s">
        <v>8618</v>
      </c>
      <c r="F4315" t="s">
        <v>76</v>
      </c>
      <c r="G4315" t="s">
        <v>9688</v>
      </c>
      <c r="H4315" t="s">
        <v>9689</v>
      </c>
      <c r="J4315" t="str">
        <f>HYPERLINK("https://www.facebook.com/357267201017935/inbox/2757763687634929/","https://www.facebook.com/357267201017935/inbox/2757763687634929/")</f>
        <v>https://www.facebook.com/357267201017935/inbox/2757763687634929/</v>
      </c>
      <c r="O4315">
        <v>0</v>
      </c>
      <c r="P4315">
        <v>0</v>
      </c>
      <c r="Q4315">
        <v>0</v>
      </c>
      <c r="S4315">
        <v>0</v>
      </c>
      <c r="T4315">
        <v>0</v>
      </c>
      <c r="U4315">
        <v>0</v>
      </c>
      <c r="W4315" t="s">
        <v>52</v>
      </c>
    </row>
    <row r="4316" spans="1:45" x14ac:dyDescent="0.35">
      <c r="A4316" t="s">
        <v>45</v>
      </c>
      <c r="B4316" t="s">
        <v>9618</v>
      </c>
      <c r="C4316" t="s">
        <v>47</v>
      </c>
      <c r="D4316" t="s">
        <v>9690</v>
      </c>
      <c r="E4316" t="s">
        <v>9690</v>
      </c>
      <c r="F4316" t="s">
        <v>49</v>
      </c>
      <c r="G4316" t="s">
        <v>50</v>
      </c>
      <c r="H4316" t="s">
        <v>9691</v>
      </c>
      <c r="J4316" t="str">
        <f>HYPERLINK("https://www.facebook.com/357267201017935/inbox/6988871954524060/","https://www.facebook.com/357267201017935/inbox/6988871954524060/")</f>
        <v>https://www.facebook.com/357267201017935/inbox/6988871954524060/</v>
      </c>
      <c r="O4316">
        <v>0</v>
      </c>
      <c r="P4316">
        <v>0</v>
      </c>
      <c r="Q4316">
        <v>0</v>
      </c>
      <c r="S4316">
        <v>0</v>
      </c>
      <c r="T4316">
        <v>0</v>
      </c>
      <c r="U4316">
        <v>0</v>
      </c>
      <c r="W4316" t="s">
        <v>52</v>
      </c>
    </row>
    <row r="4317" spans="1:45" x14ac:dyDescent="0.35">
      <c r="A4317" t="s">
        <v>45</v>
      </c>
      <c r="B4317" t="s">
        <v>9618</v>
      </c>
      <c r="C4317" t="s">
        <v>47</v>
      </c>
      <c r="D4317" t="s">
        <v>9692</v>
      </c>
      <c r="E4317" t="s">
        <v>9692</v>
      </c>
      <c r="F4317" t="s">
        <v>49</v>
      </c>
      <c r="G4317" t="s">
        <v>9693</v>
      </c>
      <c r="H4317" t="s">
        <v>9694</v>
      </c>
      <c r="J4317" t="str">
        <f>HYPERLINK("https://www.facebook.com/357267201017935/inbox/6988838494527406/","https://www.facebook.com/357267201017935/inbox/6988838494527406/")</f>
        <v>https://www.facebook.com/357267201017935/inbox/6988838494527406/</v>
      </c>
      <c r="O4317">
        <v>0</v>
      </c>
      <c r="P4317">
        <v>0</v>
      </c>
      <c r="Q4317">
        <v>0</v>
      </c>
      <c r="S4317">
        <v>0</v>
      </c>
      <c r="T4317">
        <v>0</v>
      </c>
      <c r="U4317">
        <v>0</v>
      </c>
      <c r="W4317" t="s">
        <v>52</v>
      </c>
      <c r="AP4317" t="s">
        <v>94</v>
      </c>
    </row>
    <row r="4318" spans="1:45" x14ac:dyDescent="0.35">
      <c r="A4318" t="s">
        <v>45</v>
      </c>
      <c r="B4318" t="s">
        <v>9618</v>
      </c>
      <c r="C4318" t="s">
        <v>47</v>
      </c>
      <c r="D4318" t="s">
        <v>9692</v>
      </c>
      <c r="E4318" t="s">
        <v>9692</v>
      </c>
      <c r="F4318" t="s">
        <v>49</v>
      </c>
      <c r="G4318" t="s">
        <v>9695</v>
      </c>
      <c r="H4318" t="s">
        <v>9696</v>
      </c>
      <c r="J4318" t="str">
        <f>HYPERLINK("https://www.facebook.com/454965103328545/posts/763871475771238?comment_id=242199658930116","https://www.facebook.com/454965103328545/posts/763871475771238?comment_id=242199658930116")</f>
        <v>https://www.facebook.com/454965103328545/posts/763871475771238?comment_id=242199658930116</v>
      </c>
      <c r="O4318">
        <v>0</v>
      </c>
      <c r="P4318">
        <v>0</v>
      </c>
      <c r="Q4318">
        <v>0</v>
      </c>
      <c r="S4318">
        <v>0</v>
      </c>
      <c r="T4318">
        <v>0</v>
      </c>
      <c r="U4318">
        <v>0</v>
      </c>
      <c r="W4318" t="s">
        <v>62</v>
      </c>
    </row>
    <row r="4319" spans="1:45" x14ac:dyDescent="0.35">
      <c r="A4319" t="s">
        <v>45</v>
      </c>
      <c r="B4319" t="s">
        <v>9618</v>
      </c>
      <c r="C4319" t="s">
        <v>47</v>
      </c>
      <c r="D4319" t="s">
        <v>9697</v>
      </c>
      <c r="E4319" t="s">
        <v>9697</v>
      </c>
      <c r="F4319" t="s">
        <v>49</v>
      </c>
      <c r="G4319" t="s">
        <v>9698</v>
      </c>
      <c r="H4319" t="s">
        <v>9699</v>
      </c>
      <c r="J4319" t="str">
        <f>HYPERLINK("https://www.facebook.com/454965103328545/posts/763871475771238?comment_id=764655562252752","https://www.facebook.com/454965103328545/posts/763871475771238?comment_id=764655562252752")</f>
        <v>https://www.facebook.com/454965103328545/posts/763871475771238?comment_id=764655562252752</v>
      </c>
      <c r="O4319">
        <v>0</v>
      </c>
      <c r="P4319">
        <v>0</v>
      </c>
      <c r="Q4319">
        <v>0</v>
      </c>
      <c r="S4319">
        <v>0</v>
      </c>
      <c r="T4319">
        <v>0</v>
      </c>
      <c r="U4319">
        <v>0</v>
      </c>
      <c r="W4319" t="s">
        <v>62</v>
      </c>
    </row>
    <row r="4320" spans="1:45" x14ac:dyDescent="0.35">
      <c r="A4320" t="s">
        <v>45</v>
      </c>
      <c r="B4320" t="s">
        <v>9618</v>
      </c>
      <c r="C4320" t="s">
        <v>47</v>
      </c>
      <c r="D4320" t="s">
        <v>9700</v>
      </c>
      <c r="E4320" t="s">
        <v>9700</v>
      </c>
      <c r="F4320" t="s">
        <v>49</v>
      </c>
      <c r="G4320" t="s">
        <v>9701</v>
      </c>
      <c r="H4320" t="s">
        <v>9702</v>
      </c>
      <c r="J4320" t="str">
        <f>HYPERLINK("https://www.facebook.com/454965103328545/posts/763871475771238?comment_id=673911994678533","https://www.facebook.com/454965103328545/posts/763871475771238?comment_id=673911994678533")</f>
        <v>https://www.facebook.com/454965103328545/posts/763871475771238?comment_id=673911994678533</v>
      </c>
      <c r="O4320">
        <v>0</v>
      </c>
      <c r="P4320">
        <v>0</v>
      </c>
      <c r="Q4320">
        <v>0</v>
      </c>
      <c r="S4320">
        <v>0</v>
      </c>
      <c r="T4320">
        <v>0</v>
      </c>
      <c r="U4320">
        <v>0</v>
      </c>
      <c r="W4320" t="s">
        <v>62</v>
      </c>
    </row>
    <row r="4321" spans="1:45" x14ac:dyDescent="0.35">
      <c r="A4321" t="s">
        <v>45</v>
      </c>
      <c r="B4321" t="s">
        <v>9618</v>
      </c>
      <c r="C4321" t="s">
        <v>47</v>
      </c>
      <c r="D4321" t="s">
        <v>9703</v>
      </c>
      <c r="E4321" t="s">
        <v>9703</v>
      </c>
      <c r="F4321" t="s">
        <v>142</v>
      </c>
      <c r="G4321" t="s">
        <v>9704</v>
      </c>
      <c r="H4321" t="s">
        <v>9705</v>
      </c>
      <c r="J4321" t="str">
        <f>HYPERLINK("https://www.facebook.com/454965103328545/posts/763871475771238?comment_id=1132127244482322","https://www.facebook.com/454965103328545/posts/763871475771238?comment_id=1132127244482322")</f>
        <v>https://www.facebook.com/454965103328545/posts/763871475771238?comment_id=1132127244482322</v>
      </c>
      <c r="O4321">
        <v>0</v>
      </c>
      <c r="P4321">
        <v>0</v>
      </c>
      <c r="Q4321">
        <v>0</v>
      </c>
      <c r="S4321">
        <v>0</v>
      </c>
      <c r="T4321">
        <v>0</v>
      </c>
      <c r="U4321">
        <v>0</v>
      </c>
      <c r="W4321" t="s">
        <v>62</v>
      </c>
      <c r="AP4321" t="s">
        <v>94</v>
      </c>
    </row>
    <row r="4322" spans="1:45" x14ac:dyDescent="0.35">
      <c r="A4322" t="s">
        <v>45</v>
      </c>
      <c r="B4322" t="s">
        <v>9618</v>
      </c>
      <c r="C4322" t="s">
        <v>47</v>
      </c>
      <c r="D4322" t="s">
        <v>9706</v>
      </c>
      <c r="E4322" t="s">
        <v>9706</v>
      </c>
      <c r="F4322" t="s">
        <v>49</v>
      </c>
      <c r="G4322" t="s">
        <v>9707</v>
      </c>
      <c r="H4322" t="s">
        <v>9708</v>
      </c>
      <c r="J4322" t="str">
        <f>HYPERLINK("https://www.facebook.com/454965103328545/posts/763871475771238?comment_id=1157992305574346","https://www.facebook.com/454965103328545/posts/763871475771238?comment_id=1157992305574346")</f>
        <v>https://www.facebook.com/454965103328545/posts/763871475771238?comment_id=1157992305574346</v>
      </c>
      <c r="O4322">
        <v>0</v>
      </c>
      <c r="P4322">
        <v>0</v>
      </c>
      <c r="Q4322">
        <v>0</v>
      </c>
      <c r="S4322">
        <v>0</v>
      </c>
      <c r="T4322">
        <v>0</v>
      </c>
      <c r="U4322">
        <v>0</v>
      </c>
      <c r="W4322" t="s">
        <v>62</v>
      </c>
    </row>
    <row r="4323" spans="1:45" x14ac:dyDescent="0.35">
      <c r="A4323" t="s">
        <v>45</v>
      </c>
      <c r="B4323" t="s">
        <v>9618</v>
      </c>
      <c r="C4323" t="s">
        <v>47</v>
      </c>
      <c r="D4323" t="s">
        <v>9703</v>
      </c>
      <c r="E4323" t="s">
        <v>9703</v>
      </c>
      <c r="F4323" t="s">
        <v>49</v>
      </c>
      <c r="G4323" t="s">
        <v>9709</v>
      </c>
      <c r="H4323" t="s">
        <v>9710</v>
      </c>
      <c r="J4323" t="str">
        <f>HYPERLINK("https://www.facebook.com/454965103328545/posts/763871475771238?comment_id=1776360696142388","https://www.facebook.com/454965103328545/posts/763871475771238?comment_id=1776360696142388")</f>
        <v>https://www.facebook.com/454965103328545/posts/763871475771238?comment_id=1776360696142388</v>
      </c>
      <c r="O4323">
        <v>0</v>
      </c>
      <c r="P4323">
        <v>0</v>
      </c>
      <c r="Q4323">
        <v>0</v>
      </c>
      <c r="S4323">
        <v>0</v>
      </c>
      <c r="T4323">
        <v>0</v>
      </c>
      <c r="U4323">
        <v>0</v>
      </c>
      <c r="W4323" t="s">
        <v>62</v>
      </c>
    </row>
    <row r="4324" spans="1:45" x14ac:dyDescent="0.35">
      <c r="A4324" t="s">
        <v>45</v>
      </c>
      <c r="B4324" t="s">
        <v>9618</v>
      </c>
      <c r="C4324" t="s">
        <v>47</v>
      </c>
      <c r="D4324" t="s">
        <v>9711</v>
      </c>
      <c r="E4324" t="s">
        <v>9711</v>
      </c>
      <c r="F4324" t="s">
        <v>49</v>
      </c>
      <c r="G4324" t="s">
        <v>9712</v>
      </c>
      <c r="H4324" t="s">
        <v>9713</v>
      </c>
      <c r="J4324" t="str">
        <f>HYPERLINK("https://www.facebook.com/454965103328545/posts/763871475771238?comment_id=1333279217414342&amp;reply_comment_id=794416245866809","https://www.facebook.com/454965103328545/posts/763871475771238?comment_id=1333279217414342&amp;reply_comment_id=794416245866809")</f>
        <v>https://www.facebook.com/454965103328545/posts/763871475771238?comment_id=1333279217414342&amp;reply_comment_id=794416245866809</v>
      </c>
      <c r="O4324">
        <v>0</v>
      </c>
      <c r="P4324">
        <v>0</v>
      </c>
      <c r="Q4324">
        <v>0</v>
      </c>
      <c r="S4324">
        <v>0</v>
      </c>
      <c r="T4324">
        <v>0</v>
      </c>
      <c r="U4324">
        <v>0</v>
      </c>
      <c r="W4324" t="s">
        <v>62</v>
      </c>
    </row>
    <row r="4325" spans="1:45" x14ac:dyDescent="0.35">
      <c r="A4325" t="s">
        <v>45</v>
      </c>
      <c r="B4325" t="s">
        <v>9618</v>
      </c>
      <c r="C4325" t="s">
        <v>47</v>
      </c>
      <c r="D4325" t="s">
        <v>8505</v>
      </c>
      <c r="E4325" t="s">
        <v>8505</v>
      </c>
      <c r="F4325" t="s">
        <v>49</v>
      </c>
      <c r="G4325" t="s">
        <v>9714</v>
      </c>
      <c r="H4325" t="s">
        <v>9715</v>
      </c>
      <c r="J4325" t="str">
        <f>HYPERLINK("https://www.facebook.com/454965103328545/posts/762566475901738?comment_id=296862189685062","https://www.facebook.com/454965103328545/posts/762566475901738?comment_id=296862189685062")</f>
        <v>https://www.facebook.com/454965103328545/posts/762566475901738?comment_id=296862189685062</v>
      </c>
      <c r="O4325">
        <v>0</v>
      </c>
      <c r="P4325">
        <v>0</v>
      </c>
      <c r="Q4325">
        <v>0</v>
      </c>
      <c r="S4325">
        <v>0</v>
      </c>
      <c r="T4325">
        <v>0</v>
      </c>
      <c r="U4325">
        <v>0</v>
      </c>
      <c r="W4325" t="s">
        <v>62</v>
      </c>
      <c r="AS4325" t="s">
        <v>375</v>
      </c>
    </row>
    <row r="4326" spans="1:45" x14ac:dyDescent="0.35">
      <c r="A4326" t="s">
        <v>45</v>
      </c>
      <c r="B4326" t="s">
        <v>9618</v>
      </c>
      <c r="C4326" t="s">
        <v>139</v>
      </c>
      <c r="D4326" t="s">
        <v>7892</v>
      </c>
      <c r="E4326" t="s">
        <v>7893</v>
      </c>
      <c r="F4326" t="s">
        <v>49</v>
      </c>
      <c r="G4326" t="s">
        <v>9716</v>
      </c>
      <c r="H4326" t="s">
        <v>9717</v>
      </c>
      <c r="J4326" t="str">
        <f>HYPERLINK("https://twitter.com/80767816suraj/status/1753067523044745730","https://twitter.com/80767816suraj/status/1753067523044745730")</f>
        <v>https://twitter.com/80767816suraj/status/1753067523044745730</v>
      </c>
      <c r="O4326">
        <v>0</v>
      </c>
      <c r="P4326">
        <v>0</v>
      </c>
      <c r="Q4326">
        <v>0</v>
      </c>
      <c r="S4326">
        <v>0</v>
      </c>
      <c r="T4326">
        <v>0</v>
      </c>
      <c r="U4326">
        <v>0</v>
      </c>
      <c r="W4326" t="s">
        <v>52</v>
      </c>
    </row>
    <row r="4327" spans="1:45" x14ac:dyDescent="0.35">
      <c r="A4327" t="s">
        <v>45</v>
      </c>
      <c r="B4327" t="s">
        <v>9618</v>
      </c>
      <c r="C4327" t="s">
        <v>139</v>
      </c>
      <c r="D4327" t="s">
        <v>7892</v>
      </c>
      <c r="E4327" t="s">
        <v>7893</v>
      </c>
      <c r="F4327" t="s">
        <v>49</v>
      </c>
      <c r="G4327" t="s">
        <v>9718</v>
      </c>
      <c r="H4327" t="s">
        <v>9719</v>
      </c>
      <c r="J4327" t="str">
        <f>HYPERLINK("https://twitter.com/80767816suraj/status/1753067487946842553","https://twitter.com/80767816suraj/status/1753067487946842553")</f>
        <v>https://twitter.com/80767816suraj/status/1753067487946842553</v>
      </c>
      <c r="O4327">
        <v>0</v>
      </c>
      <c r="P4327">
        <v>0</v>
      </c>
      <c r="Q4327">
        <v>0</v>
      </c>
      <c r="S4327">
        <v>0</v>
      </c>
      <c r="T4327">
        <v>0</v>
      </c>
      <c r="U4327">
        <v>0</v>
      </c>
      <c r="W4327" t="s">
        <v>52</v>
      </c>
    </row>
    <row r="4328" spans="1:45" x14ac:dyDescent="0.35">
      <c r="A4328" t="s">
        <v>45</v>
      </c>
      <c r="B4328" t="s">
        <v>9618</v>
      </c>
      <c r="C4328" t="s">
        <v>139</v>
      </c>
      <c r="D4328" t="s">
        <v>7892</v>
      </c>
      <c r="E4328" t="s">
        <v>7893</v>
      </c>
      <c r="F4328" t="s">
        <v>49</v>
      </c>
      <c r="G4328" t="s">
        <v>9720</v>
      </c>
      <c r="H4328" t="s">
        <v>9721</v>
      </c>
      <c r="J4328" t="str">
        <f>HYPERLINK("https://twitter.com/80767816suraj/status/1753067414491914637","https://twitter.com/80767816suraj/status/1753067414491914637")</f>
        <v>https://twitter.com/80767816suraj/status/1753067414491914637</v>
      </c>
      <c r="O4328">
        <v>0</v>
      </c>
      <c r="P4328">
        <v>0</v>
      </c>
      <c r="Q4328">
        <v>0</v>
      </c>
      <c r="S4328">
        <v>0</v>
      </c>
      <c r="T4328">
        <v>0</v>
      </c>
      <c r="U4328">
        <v>0</v>
      </c>
      <c r="W4328" t="s">
        <v>52</v>
      </c>
    </row>
    <row r="4329" spans="1:45" x14ac:dyDescent="0.35">
      <c r="A4329" t="s">
        <v>45</v>
      </c>
      <c r="B4329" t="s">
        <v>9618</v>
      </c>
      <c r="C4329" t="s">
        <v>47</v>
      </c>
      <c r="D4329" t="s">
        <v>3899</v>
      </c>
      <c r="E4329" t="s">
        <v>3899</v>
      </c>
      <c r="F4329" t="s">
        <v>76</v>
      </c>
      <c r="G4329" t="s">
        <v>9722</v>
      </c>
      <c r="H4329" t="s">
        <v>9723</v>
      </c>
      <c r="J4329" t="str">
        <f>HYPERLINK("https://www.facebook.com/454965103328545/posts/763871475771238?comment_id=1826910604446329&amp;reply_comment_id=679584424252941","https://www.facebook.com/454965103328545/posts/763871475771238?comment_id=1826910604446329&amp;reply_comment_id=679584424252941")</f>
        <v>https://www.facebook.com/454965103328545/posts/763871475771238?comment_id=1826910604446329&amp;reply_comment_id=679584424252941</v>
      </c>
      <c r="O4329">
        <v>0</v>
      </c>
      <c r="P4329">
        <v>0</v>
      </c>
      <c r="Q4329">
        <v>0</v>
      </c>
      <c r="S4329">
        <v>0</v>
      </c>
      <c r="T4329">
        <v>0</v>
      </c>
      <c r="U4329">
        <v>0</v>
      </c>
      <c r="W4329" t="s">
        <v>62</v>
      </c>
    </row>
    <row r="4330" spans="1:45" x14ac:dyDescent="0.35">
      <c r="A4330" t="s">
        <v>45</v>
      </c>
      <c r="B4330" t="s">
        <v>9618</v>
      </c>
      <c r="C4330" t="s">
        <v>139</v>
      </c>
      <c r="D4330" t="s">
        <v>4657</v>
      </c>
      <c r="E4330" t="s">
        <v>4658</v>
      </c>
      <c r="F4330" t="s">
        <v>49</v>
      </c>
      <c r="G4330" t="s">
        <v>9724</v>
      </c>
      <c r="H4330" t="s">
        <v>9725</v>
      </c>
      <c r="J4330" t="str">
        <f>HYPERLINK("https://twitter.com/TafizAhmed2000/status/1753066397536838113","https://twitter.com/TafizAhmed2000/status/1753066397536838113")</f>
        <v>https://twitter.com/TafizAhmed2000/status/1753066397536838113</v>
      </c>
      <c r="O4330">
        <v>0</v>
      </c>
      <c r="P4330">
        <v>0</v>
      </c>
      <c r="Q4330">
        <v>1</v>
      </c>
      <c r="S4330">
        <v>0</v>
      </c>
      <c r="T4330">
        <v>0</v>
      </c>
      <c r="U4330">
        <v>0</v>
      </c>
      <c r="W4330" t="s">
        <v>146</v>
      </c>
      <c r="AO4330" t="s">
        <v>67</v>
      </c>
    </row>
    <row r="4331" spans="1:45" x14ac:dyDescent="0.35">
      <c r="A4331" t="s">
        <v>45</v>
      </c>
      <c r="B4331" t="s">
        <v>9618</v>
      </c>
      <c r="C4331" t="s">
        <v>58</v>
      </c>
      <c r="D4331" t="s">
        <v>9726</v>
      </c>
      <c r="E4331" t="s">
        <v>9726</v>
      </c>
      <c r="F4331" t="s">
        <v>49</v>
      </c>
      <c r="G4331" t="s">
        <v>9727</v>
      </c>
      <c r="H4331" t="s">
        <v>9728</v>
      </c>
      <c r="J4331" t="str">
        <f>HYPERLINK("https://www.youtube.com/watch?v=ZaEFuPyb8dc","https://www.youtube.com/watch?v=ZaEFuPyb8dc")</f>
        <v>https://www.youtube.com/watch?v=ZaEFuPyb8dc</v>
      </c>
      <c r="O4331">
        <v>0</v>
      </c>
      <c r="P4331">
        <v>0</v>
      </c>
      <c r="Q4331">
        <v>0</v>
      </c>
      <c r="S4331">
        <v>0</v>
      </c>
      <c r="T4331">
        <v>0</v>
      </c>
      <c r="U4331">
        <v>0</v>
      </c>
      <c r="W4331" t="s">
        <v>106</v>
      </c>
    </row>
    <row r="4332" spans="1:45" x14ac:dyDescent="0.35">
      <c r="A4332" t="s">
        <v>45</v>
      </c>
      <c r="B4332" t="s">
        <v>9618</v>
      </c>
      <c r="C4332" t="s">
        <v>47</v>
      </c>
      <c r="D4332" t="s">
        <v>1117</v>
      </c>
      <c r="E4332" t="s">
        <v>1117</v>
      </c>
      <c r="F4332" t="s">
        <v>49</v>
      </c>
      <c r="G4332" t="s">
        <v>9729</v>
      </c>
      <c r="H4332" t="s">
        <v>9730</v>
      </c>
      <c r="J4332" t="str">
        <f>HYPERLINK("https://www.facebook.com/454965103328545/posts/763871475771238?comment_id=391831553535635","https://www.facebook.com/454965103328545/posts/763871475771238?comment_id=391831553535635")</f>
        <v>https://www.facebook.com/454965103328545/posts/763871475771238?comment_id=391831553535635</v>
      </c>
      <c r="O4332">
        <v>0</v>
      </c>
      <c r="P4332">
        <v>0</v>
      </c>
      <c r="Q4332">
        <v>0</v>
      </c>
      <c r="S4332">
        <v>0</v>
      </c>
      <c r="T4332">
        <v>0</v>
      </c>
      <c r="U4332">
        <v>0</v>
      </c>
      <c r="W4332" t="s">
        <v>62</v>
      </c>
    </row>
    <row r="4333" spans="1:45" x14ac:dyDescent="0.35">
      <c r="A4333" t="s">
        <v>45</v>
      </c>
      <c r="B4333" t="s">
        <v>9618</v>
      </c>
      <c r="C4333" t="s">
        <v>47</v>
      </c>
      <c r="D4333" t="s">
        <v>9637</v>
      </c>
      <c r="E4333" t="s">
        <v>9637</v>
      </c>
      <c r="F4333" t="s">
        <v>49</v>
      </c>
      <c r="G4333" t="s">
        <v>9731</v>
      </c>
      <c r="H4333" t="s">
        <v>9732</v>
      </c>
      <c r="J4333" t="str">
        <f>HYPERLINK("https://www.facebook.com/454965103328545/posts/763871475771238?comment_id=950253089800881","https://www.facebook.com/454965103328545/posts/763871475771238?comment_id=950253089800881")</f>
        <v>https://www.facebook.com/454965103328545/posts/763871475771238?comment_id=950253089800881</v>
      </c>
      <c r="O4333">
        <v>0</v>
      </c>
      <c r="P4333">
        <v>0</v>
      </c>
      <c r="Q4333">
        <v>0</v>
      </c>
      <c r="S4333">
        <v>0</v>
      </c>
      <c r="T4333">
        <v>0</v>
      </c>
      <c r="U4333">
        <v>0</v>
      </c>
      <c r="W4333" t="s">
        <v>62</v>
      </c>
    </row>
    <row r="4334" spans="1:45" x14ac:dyDescent="0.35">
      <c r="A4334" t="s">
        <v>45</v>
      </c>
      <c r="B4334" t="s">
        <v>9618</v>
      </c>
      <c r="C4334" t="s">
        <v>47</v>
      </c>
      <c r="D4334" t="s">
        <v>9733</v>
      </c>
      <c r="E4334" t="s">
        <v>9733</v>
      </c>
      <c r="F4334" t="s">
        <v>49</v>
      </c>
      <c r="G4334" t="s">
        <v>9734</v>
      </c>
      <c r="H4334" t="s">
        <v>9735</v>
      </c>
      <c r="J4334" t="str">
        <f>HYPERLINK("https://www.facebook.com/357267201017935/inbox/6988561311221791/","https://www.facebook.com/357267201017935/inbox/6988561311221791/")</f>
        <v>https://www.facebook.com/357267201017935/inbox/6988561311221791/</v>
      </c>
      <c r="O4334">
        <v>0</v>
      </c>
      <c r="P4334">
        <v>0</v>
      </c>
      <c r="Q4334">
        <v>0</v>
      </c>
      <c r="S4334">
        <v>0</v>
      </c>
      <c r="T4334">
        <v>0</v>
      </c>
      <c r="U4334">
        <v>0</v>
      </c>
      <c r="W4334" t="s">
        <v>52</v>
      </c>
    </row>
    <row r="4335" spans="1:45" x14ac:dyDescent="0.35">
      <c r="A4335" t="s">
        <v>45</v>
      </c>
      <c r="B4335" t="s">
        <v>9618</v>
      </c>
      <c r="C4335" t="s">
        <v>47</v>
      </c>
      <c r="D4335" t="s">
        <v>9736</v>
      </c>
      <c r="E4335" t="s">
        <v>9736</v>
      </c>
      <c r="F4335" t="s">
        <v>49</v>
      </c>
      <c r="G4335" t="s">
        <v>9737</v>
      </c>
      <c r="H4335" t="s">
        <v>9738</v>
      </c>
      <c r="J4335" t="str">
        <f>HYPERLINK("https://www.facebook.com/454965103328545/posts/763871475771238?comment_id=741557981250778","https://www.facebook.com/454965103328545/posts/763871475771238?comment_id=741557981250778")</f>
        <v>https://www.facebook.com/454965103328545/posts/763871475771238?comment_id=741557981250778</v>
      </c>
      <c r="O4335">
        <v>0</v>
      </c>
      <c r="P4335">
        <v>0</v>
      </c>
      <c r="Q4335">
        <v>0</v>
      </c>
      <c r="S4335">
        <v>0</v>
      </c>
      <c r="T4335">
        <v>0</v>
      </c>
      <c r="U4335">
        <v>0</v>
      </c>
      <c r="W4335" t="s">
        <v>62</v>
      </c>
    </row>
    <row r="4336" spans="1:45" x14ac:dyDescent="0.35">
      <c r="A4336" t="s">
        <v>45</v>
      </c>
      <c r="B4336" t="s">
        <v>9618</v>
      </c>
      <c r="C4336" t="s">
        <v>47</v>
      </c>
      <c r="D4336" t="s">
        <v>8505</v>
      </c>
      <c r="E4336" t="s">
        <v>8505</v>
      </c>
      <c r="F4336" t="s">
        <v>49</v>
      </c>
      <c r="G4336" t="s">
        <v>9739</v>
      </c>
      <c r="H4336" t="s">
        <v>9740</v>
      </c>
      <c r="J4336" t="str">
        <f>HYPERLINK("https://www.facebook.com/454965103328545/posts/763871475771238?comment_id=353555150935977","https://www.facebook.com/454965103328545/posts/763871475771238?comment_id=353555150935977")</f>
        <v>https://www.facebook.com/454965103328545/posts/763871475771238?comment_id=353555150935977</v>
      </c>
      <c r="O4336">
        <v>0</v>
      </c>
      <c r="P4336">
        <v>0</v>
      </c>
      <c r="Q4336">
        <v>0</v>
      </c>
      <c r="S4336">
        <v>0</v>
      </c>
      <c r="T4336">
        <v>0</v>
      </c>
      <c r="U4336">
        <v>0</v>
      </c>
      <c r="W4336" t="s">
        <v>62</v>
      </c>
    </row>
    <row r="4337" spans="1:42" x14ac:dyDescent="0.35">
      <c r="A4337" t="s">
        <v>45</v>
      </c>
      <c r="B4337" t="s">
        <v>9618</v>
      </c>
      <c r="C4337" t="s">
        <v>47</v>
      </c>
      <c r="D4337" t="s">
        <v>3745</v>
      </c>
      <c r="E4337" t="s">
        <v>3745</v>
      </c>
      <c r="F4337" t="s">
        <v>49</v>
      </c>
      <c r="G4337" t="s">
        <v>56</v>
      </c>
      <c r="H4337" t="s">
        <v>9741</v>
      </c>
      <c r="J4337" t="str">
        <f>HYPERLINK("https://www.facebook.com/357267201017935/inbox/6988509334560322/","https://www.facebook.com/357267201017935/inbox/6988509334560322/")</f>
        <v>https://www.facebook.com/357267201017935/inbox/6988509334560322/</v>
      </c>
      <c r="O4337">
        <v>0</v>
      </c>
      <c r="P4337">
        <v>0</v>
      </c>
      <c r="Q4337">
        <v>0</v>
      </c>
      <c r="S4337">
        <v>0</v>
      </c>
      <c r="T4337">
        <v>0</v>
      </c>
      <c r="U4337">
        <v>0</v>
      </c>
      <c r="W4337" t="s">
        <v>52</v>
      </c>
    </row>
    <row r="4338" spans="1:42" x14ac:dyDescent="0.35">
      <c r="A4338" t="s">
        <v>45</v>
      </c>
      <c r="B4338" t="s">
        <v>9618</v>
      </c>
      <c r="C4338" t="s">
        <v>47</v>
      </c>
      <c r="D4338" t="s">
        <v>8505</v>
      </c>
      <c r="E4338" t="s">
        <v>8505</v>
      </c>
      <c r="F4338" t="s">
        <v>49</v>
      </c>
      <c r="G4338" t="s">
        <v>9742</v>
      </c>
      <c r="H4338" t="s">
        <v>9743</v>
      </c>
      <c r="J4338" t="str">
        <f>HYPERLINK("https://www.facebook.com/454965103328545/posts/763871475771238?comment_id=1307439066592719","https://www.facebook.com/454965103328545/posts/763871475771238?comment_id=1307439066592719")</f>
        <v>https://www.facebook.com/454965103328545/posts/763871475771238?comment_id=1307439066592719</v>
      </c>
      <c r="O4338">
        <v>0</v>
      </c>
      <c r="P4338">
        <v>0</v>
      </c>
      <c r="Q4338">
        <v>0</v>
      </c>
      <c r="S4338">
        <v>0</v>
      </c>
      <c r="T4338">
        <v>0</v>
      </c>
      <c r="U4338">
        <v>0</v>
      </c>
      <c r="W4338" t="s">
        <v>62</v>
      </c>
    </row>
    <row r="4339" spans="1:42" x14ac:dyDescent="0.35">
      <c r="A4339" t="s">
        <v>45</v>
      </c>
      <c r="B4339" t="s">
        <v>9618</v>
      </c>
      <c r="C4339" t="s">
        <v>47</v>
      </c>
      <c r="D4339" t="s">
        <v>8505</v>
      </c>
      <c r="E4339" t="s">
        <v>8505</v>
      </c>
      <c r="F4339" t="s">
        <v>49</v>
      </c>
      <c r="G4339" t="s">
        <v>9744</v>
      </c>
      <c r="H4339" t="s">
        <v>9745</v>
      </c>
      <c r="J4339" t="str">
        <f>HYPERLINK("https://www.facebook.com/454965103328545/posts/763871475771238?comment_id=292238500176875","https://www.facebook.com/454965103328545/posts/763871475771238?comment_id=292238500176875")</f>
        <v>https://www.facebook.com/454965103328545/posts/763871475771238?comment_id=292238500176875</v>
      </c>
      <c r="O4339">
        <v>0</v>
      </c>
      <c r="P4339">
        <v>0</v>
      </c>
      <c r="Q4339">
        <v>0</v>
      </c>
      <c r="S4339">
        <v>0</v>
      </c>
      <c r="T4339">
        <v>0</v>
      </c>
      <c r="U4339">
        <v>0</v>
      </c>
      <c r="W4339" t="s">
        <v>62</v>
      </c>
    </row>
    <row r="4340" spans="1:42" x14ac:dyDescent="0.35">
      <c r="A4340" t="s">
        <v>45</v>
      </c>
      <c r="B4340" t="s">
        <v>9618</v>
      </c>
      <c r="C4340" t="s">
        <v>47</v>
      </c>
      <c r="D4340" t="s">
        <v>9090</v>
      </c>
      <c r="E4340" t="s">
        <v>9090</v>
      </c>
      <c r="F4340" t="s">
        <v>49</v>
      </c>
      <c r="G4340" t="s">
        <v>9746</v>
      </c>
      <c r="H4340" t="s">
        <v>9747</v>
      </c>
      <c r="J4340" t="str">
        <f>HYPERLINK("https://www.facebook.com/454965103328545/posts/763871475771238?comment_id=266158893020444","https://www.facebook.com/454965103328545/posts/763871475771238?comment_id=266158893020444")</f>
        <v>https://www.facebook.com/454965103328545/posts/763871475771238?comment_id=266158893020444</v>
      </c>
      <c r="O4340">
        <v>0</v>
      </c>
      <c r="P4340">
        <v>0</v>
      </c>
      <c r="Q4340">
        <v>0</v>
      </c>
      <c r="S4340">
        <v>0</v>
      </c>
      <c r="T4340">
        <v>0</v>
      </c>
      <c r="U4340">
        <v>0</v>
      </c>
      <c r="W4340" t="s">
        <v>62</v>
      </c>
    </row>
    <row r="4341" spans="1:42" x14ac:dyDescent="0.35">
      <c r="A4341" t="s">
        <v>45</v>
      </c>
      <c r="B4341" t="s">
        <v>9618</v>
      </c>
      <c r="C4341" t="s">
        <v>47</v>
      </c>
      <c r="D4341" t="s">
        <v>8505</v>
      </c>
      <c r="E4341" t="s">
        <v>8505</v>
      </c>
      <c r="F4341" t="s">
        <v>49</v>
      </c>
      <c r="G4341" t="s">
        <v>9748</v>
      </c>
      <c r="H4341" t="s">
        <v>9749</v>
      </c>
      <c r="J4341" t="str">
        <f>HYPERLINK("https://www.facebook.com/357267201017935/inbox/6988494631228459/","https://www.facebook.com/357267201017935/inbox/6988494631228459/")</f>
        <v>https://www.facebook.com/357267201017935/inbox/6988494631228459/</v>
      </c>
      <c r="O4341">
        <v>0</v>
      </c>
      <c r="P4341">
        <v>0</v>
      </c>
      <c r="Q4341">
        <v>0</v>
      </c>
      <c r="S4341">
        <v>0</v>
      </c>
      <c r="T4341">
        <v>0</v>
      </c>
      <c r="U4341">
        <v>0</v>
      </c>
      <c r="W4341" t="s">
        <v>52</v>
      </c>
    </row>
    <row r="4342" spans="1:42" x14ac:dyDescent="0.35">
      <c r="A4342" t="s">
        <v>45</v>
      </c>
      <c r="B4342" t="s">
        <v>9618</v>
      </c>
      <c r="C4342" t="s">
        <v>47</v>
      </c>
      <c r="D4342" t="s">
        <v>9750</v>
      </c>
      <c r="E4342" t="s">
        <v>9750</v>
      </c>
      <c r="F4342" t="s">
        <v>76</v>
      </c>
      <c r="G4342" t="s">
        <v>9751</v>
      </c>
      <c r="H4342" t="s">
        <v>9752</v>
      </c>
      <c r="J4342" t="str">
        <f>HYPERLINK("https://www.facebook.com/454965103328545/posts/763871475771238?comment_id=414732901031943","https://www.facebook.com/454965103328545/posts/763871475771238?comment_id=414732901031943")</f>
        <v>https://www.facebook.com/454965103328545/posts/763871475771238?comment_id=414732901031943</v>
      </c>
      <c r="O4342">
        <v>0</v>
      </c>
      <c r="P4342">
        <v>0</v>
      </c>
      <c r="Q4342">
        <v>0</v>
      </c>
      <c r="S4342">
        <v>0</v>
      </c>
      <c r="T4342">
        <v>0</v>
      </c>
      <c r="U4342">
        <v>0</v>
      </c>
      <c r="W4342" t="s">
        <v>62</v>
      </c>
    </row>
    <row r="4343" spans="1:42" x14ac:dyDescent="0.35">
      <c r="A4343" t="s">
        <v>45</v>
      </c>
      <c r="B4343" t="s">
        <v>9618</v>
      </c>
      <c r="C4343" t="s">
        <v>47</v>
      </c>
      <c r="D4343" t="s">
        <v>9753</v>
      </c>
      <c r="E4343" t="s">
        <v>9753</v>
      </c>
      <c r="F4343" t="s">
        <v>142</v>
      </c>
      <c r="G4343" t="s">
        <v>9754</v>
      </c>
      <c r="H4343" t="s">
        <v>9755</v>
      </c>
      <c r="J4343" t="str">
        <f>HYPERLINK("https://www.facebook.com/454965103328545/posts/763871475771238?comment_id=1169838574176949","https://www.facebook.com/454965103328545/posts/763871475771238?comment_id=1169838574176949")</f>
        <v>https://www.facebook.com/454965103328545/posts/763871475771238?comment_id=1169838574176949</v>
      </c>
      <c r="O4343">
        <v>0</v>
      </c>
      <c r="P4343">
        <v>0</v>
      </c>
      <c r="Q4343">
        <v>0</v>
      </c>
      <c r="S4343">
        <v>0</v>
      </c>
      <c r="T4343">
        <v>0</v>
      </c>
      <c r="U4343">
        <v>0</v>
      </c>
      <c r="W4343" t="s">
        <v>62</v>
      </c>
    </row>
    <row r="4344" spans="1:42" x14ac:dyDescent="0.35">
      <c r="A4344" t="s">
        <v>45</v>
      </c>
      <c r="B4344" t="s">
        <v>9618</v>
      </c>
      <c r="C4344" t="s">
        <v>47</v>
      </c>
      <c r="D4344" t="s">
        <v>9756</v>
      </c>
      <c r="E4344" t="s">
        <v>9756</v>
      </c>
      <c r="F4344" t="s">
        <v>49</v>
      </c>
      <c r="G4344" t="s">
        <v>9757</v>
      </c>
      <c r="H4344" t="s">
        <v>9758</v>
      </c>
      <c r="J4344" t="str">
        <f>HYPERLINK("https://www.facebook.com/454965103328545/posts/763871475771238?comment_id=402462578916002","https://www.facebook.com/454965103328545/posts/763871475771238?comment_id=402462578916002")</f>
        <v>https://www.facebook.com/454965103328545/posts/763871475771238?comment_id=402462578916002</v>
      </c>
      <c r="O4344">
        <v>0</v>
      </c>
      <c r="P4344">
        <v>0</v>
      </c>
      <c r="Q4344">
        <v>0</v>
      </c>
      <c r="S4344">
        <v>0</v>
      </c>
      <c r="T4344">
        <v>0</v>
      </c>
      <c r="U4344">
        <v>0</v>
      </c>
      <c r="W4344" t="s">
        <v>62</v>
      </c>
    </row>
    <row r="4345" spans="1:42" x14ac:dyDescent="0.35">
      <c r="A4345" t="s">
        <v>45</v>
      </c>
      <c r="B4345" t="s">
        <v>9618</v>
      </c>
      <c r="C4345" t="s">
        <v>58</v>
      </c>
      <c r="D4345" t="s">
        <v>9759</v>
      </c>
      <c r="E4345" t="s">
        <v>9759</v>
      </c>
      <c r="F4345" t="s">
        <v>49</v>
      </c>
      <c r="G4345" t="s">
        <v>9760</v>
      </c>
      <c r="H4345" t="s">
        <v>9761</v>
      </c>
      <c r="J4345" t="str">
        <f>HYPERLINK("https://www.youtube.com/watch?v=uIKLPIGHaTc&amp;lc=Ugz-5w9Sv_fA2qGY0Sl4AaABAg","https://www.youtube.com/watch?v=uIKLPIGHaTc&amp;lc=Ugz-5w9Sv_fA2qGY0Sl4AaABAg")</f>
        <v>https://www.youtube.com/watch?v=uIKLPIGHaTc&amp;lc=Ugz-5w9Sv_fA2qGY0Sl4AaABAg</v>
      </c>
      <c r="O4345">
        <v>0</v>
      </c>
      <c r="P4345">
        <v>0</v>
      </c>
      <c r="Q4345">
        <v>0</v>
      </c>
      <c r="S4345">
        <v>0</v>
      </c>
      <c r="T4345">
        <v>0</v>
      </c>
      <c r="U4345">
        <v>0</v>
      </c>
      <c r="W4345" t="s">
        <v>62</v>
      </c>
    </row>
    <row r="4346" spans="1:42" x14ac:dyDescent="0.35">
      <c r="A4346" t="s">
        <v>45</v>
      </c>
      <c r="B4346" t="s">
        <v>9618</v>
      </c>
      <c r="C4346" t="s">
        <v>47</v>
      </c>
      <c r="D4346" t="s">
        <v>5524</v>
      </c>
      <c r="E4346" t="s">
        <v>5524</v>
      </c>
      <c r="F4346" t="s">
        <v>49</v>
      </c>
      <c r="G4346" t="s">
        <v>9762</v>
      </c>
      <c r="H4346" t="s">
        <v>9763</v>
      </c>
      <c r="J4346" t="str">
        <f>HYPERLINK("https://www.facebook.com/454965103328545/posts/763871475771238?comment_id=760405192677999&amp;reply_comment_id=229238623583605","https://www.facebook.com/454965103328545/posts/763871475771238?comment_id=760405192677999&amp;reply_comment_id=229238623583605")</f>
        <v>https://www.facebook.com/454965103328545/posts/763871475771238?comment_id=760405192677999&amp;reply_comment_id=229238623583605</v>
      </c>
      <c r="O4346">
        <v>0</v>
      </c>
      <c r="P4346">
        <v>0</v>
      </c>
      <c r="Q4346">
        <v>0</v>
      </c>
      <c r="S4346">
        <v>0</v>
      </c>
      <c r="T4346">
        <v>0</v>
      </c>
      <c r="U4346">
        <v>0</v>
      </c>
      <c r="W4346" t="s">
        <v>62</v>
      </c>
    </row>
    <row r="4347" spans="1:42" x14ac:dyDescent="0.35">
      <c r="A4347" t="s">
        <v>45</v>
      </c>
      <c r="B4347" t="s">
        <v>9618</v>
      </c>
      <c r="C4347" t="s">
        <v>47</v>
      </c>
      <c r="D4347" t="s">
        <v>1275</v>
      </c>
      <c r="E4347" t="s">
        <v>1275</v>
      </c>
      <c r="F4347" t="s">
        <v>49</v>
      </c>
      <c r="G4347" t="s">
        <v>9764</v>
      </c>
      <c r="H4347" t="s">
        <v>9765</v>
      </c>
      <c r="J4347" t="str">
        <f>HYPERLINK("https://www.facebook.com/454965103328545/posts/763871475771238?comment_id=760405192677999&amp;reply_comment_id=3539780949619498","https://www.facebook.com/454965103328545/posts/763871475771238?comment_id=760405192677999&amp;reply_comment_id=3539780949619498")</f>
        <v>https://www.facebook.com/454965103328545/posts/763871475771238?comment_id=760405192677999&amp;reply_comment_id=3539780949619498</v>
      </c>
      <c r="O4347">
        <v>0</v>
      </c>
      <c r="P4347">
        <v>0</v>
      </c>
      <c r="Q4347">
        <v>0</v>
      </c>
      <c r="S4347">
        <v>0</v>
      </c>
      <c r="T4347">
        <v>0</v>
      </c>
      <c r="U4347">
        <v>0</v>
      </c>
      <c r="W4347" t="s">
        <v>62</v>
      </c>
    </row>
    <row r="4348" spans="1:42" x14ac:dyDescent="0.35">
      <c r="A4348" t="s">
        <v>45</v>
      </c>
      <c r="B4348" t="s">
        <v>9618</v>
      </c>
      <c r="C4348" t="s">
        <v>58</v>
      </c>
      <c r="D4348" t="s">
        <v>7133</v>
      </c>
      <c r="E4348" t="s">
        <v>7133</v>
      </c>
      <c r="F4348" t="s">
        <v>49</v>
      </c>
      <c r="G4348" t="s">
        <v>9766</v>
      </c>
      <c r="H4348" t="s">
        <v>9767</v>
      </c>
      <c r="J4348" t="str">
        <f>HYPERLINK("https://www.youtube.com/watch?v=ouPmkMFM1Pk","https://www.youtube.com/watch?v=ouPmkMFM1Pk")</f>
        <v>https://www.youtube.com/watch?v=ouPmkMFM1Pk</v>
      </c>
      <c r="O4348">
        <v>0</v>
      </c>
      <c r="P4348">
        <v>0</v>
      </c>
      <c r="Q4348">
        <v>0</v>
      </c>
      <c r="S4348">
        <v>0</v>
      </c>
      <c r="T4348">
        <v>0</v>
      </c>
      <c r="U4348">
        <v>0</v>
      </c>
      <c r="W4348" t="s">
        <v>106</v>
      </c>
    </row>
    <row r="4349" spans="1:42" x14ac:dyDescent="0.35">
      <c r="A4349" t="s">
        <v>45</v>
      </c>
      <c r="B4349" t="s">
        <v>9618</v>
      </c>
      <c r="C4349" t="s">
        <v>139</v>
      </c>
      <c r="D4349" t="s">
        <v>9768</v>
      </c>
      <c r="E4349" t="s">
        <v>9769</v>
      </c>
      <c r="F4349" t="s">
        <v>142</v>
      </c>
      <c r="G4349" t="s">
        <v>9770</v>
      </c>
      <c r="H4349" t="s">
        <v>9771</v>
      </c>
      <c r="J4349" t="str">
        <f>HYPERLINK("https://twitter.com/mrmohdnadeem/status/1753052339898847256","https://twitter.com/mrmohdnadeem/status/1753052339898847256")</f>
        <v>https://twitter.com/mrmohdnadeem/status/1753052339898847256</v>
      </c>
      <c r="K4349" t="s">
        <v>145</v>
      </c>
      <c r="O4349">
        <v>0</v>
      </c>
      <c r="P4349">
        <v>0</v>
      </c>
      <c r="Q4349">
        <v>11</v>
      </c>
      <c r="R4349" t="s">
        <v>829</v>
      </c>
      <c r="S4349">
        <v>0</v>
      </c>
      <c r="T4349">
        <v>0</v>
      </c>
      <c r="U4349">
        <v>0</v>
      </c>
      <c r="W4349" t="s">
        <v>146</v>
      </c>
      <c r="AO4349" t="s">
        <v>119</v>
      </c>
      <c r="AP4349" t="s">
        <v>101</v>
      </c>
    </row>
    <row r="4350" spans="1:42" x14ac:dyDescent="0.35">
      <c r="A4350" t="s">
        <v>45</v>
      </c>
      <c r="B4350" t="s">
        <v>9618</v>
      </c>
      <c r="C4350" t="s">
        <v>139</v>
      </c>
      <c r="D4350" t="s">
        <v>9768</v>
      </c>
      <c r="E4350" t="s">
        <v>9769</v>
      </c>
      <c r="F4350" t="s">
        <v>142</v>
      </c>
      <c r="G4350" t="s">
        <v>9772</v>
      </c>
      <c r="H4350" t="s">
        <v>9773</v>
      </c>
      <c r="J4350" t="str">
        <f>HYPERLINK("https://twitter.com/mrmohdnadeem/status/1753052114949976248","https://twitter.com/mrmohdnadeem/status/1753052114949976248")</f>
        <v>https://twitter.com/mrmohdnadeem/status/1753052114949976248</v>
      </c>
      <c r="K4350" t="s">
        <v>145</v>
      </c>
      <c r="O4350">
        <v>0</v>
      </c>
      <c r="P4350">
        <v>0</v>
      </c>
      <c r="Q4350">
        <v>11</v>
      </c>
      <c r="R4350" t="s">
        <v>829</v>
      </c>
      <c r="S4350">
        <v>0</v>
      </c>
      <c r="T4350">
        <v>0</v>
      </c>
      <c r="U4350">
        <v>0</v>
      </c>
      <c r="W4350" t="s">
        <v>146</v>
      </c>
    </row>
    <row r="4351" spans="1:42" x14ac:dyDescent="0.35">
      <c r="A4351" t="s">
        <v>45</v>
      </c>
      <c r="B4351" t="s">
        <v>9618</v>
      </c>
      <c r="C4351" t="s">
        <v>47</v>
      </c>
      <c r="D4351" t="s">
        <v>9774</v>
      </c>
      <c r="E4351" t="s">
        <v>9774</v>
      </c>
      <c r="F4351" t="s">
        <v>76</v>
      </c>
      <c r="G4351" t="s">
        <v>9775</v>
      </c>
      <c r="H4351" t="s">
        <v>9776</v>
      </c>
      <c r="J4351" t="str">
        <f>HYPERLINK("https://www.facebook.com/454965103328545/posts/763871475771238?comment_id=364945242952691","https://www.facebook.com/454965103328545/posts/763871475771238?comment_id=364945242952691")</f>
        <v>https://www.facebook.com/454965103328545/posts/763871475771238?comment_id=364945242952691</v>
      </c>
      <c r="O4351">
        <v>0</v>
      </c>
      <c r="P4351">
        <v>0</v>
      </c>
      <c r="Q4351">
        <v>0</v>
      </c>
      <c r="S4351">
        <v>0</v>
      </c>
      <c r="T4351">
        <v>0</v>
      </c>
      <c r="U4351">
        <v>0</v>
      </c>
      <c r="W4351" t="s">
        <v>62</v>
      </c>
    </row>
    <row r="4352" spans="1:42" x14ac:dyDescent="0.35">
      <c r="A4352" t="s">
        <v>45</v>
      </c>
      <c r="B4352" t="s">
        <v>9618</v>
      </c>
      <c r="C4352" t="s">
        <v>47</v>
      </c>
      <c r="D4352" t="s">
        <v>8342</v>
      </c>
      <c r="E4352" t="s">
        <v>8342</v>
      </c>
      <c r="F4352" t="s">
        <v>49</v>
      </c>
      <c r="G4352" t="s">
        <v>9777</v>
      </c>
      <c r="H4352" t="s">
        <v>9778</v>
      </c>
      <c r="J4352" t="str">
        <f>HYPERLINK("https://www.facebook.com/454965103328545/posts/763871475771238?comment_id=175255665681442","https://www.facebook.com/454965103328545/posts/763871475771238?comment_id=175255665681442")</f>
        <v>https://www.facebook.com/454965103328545/posts/763871475771238?comment_id=175255665681442</v>
      </c>
      <c r="O4352">
        <v>0</v>
      </c>
      <c r="P4352">
        <v>0</v>
      </c>
      <c r="Q4352">
        <v>0</v>
      </c>
      <c r="S4352">
        <v>0</v>
      </c>
      <c r="T4352">
        <v>0</v>
      </c>
      <c r="U4352">
        <v>0</v>
      </c>
      <c r="W4352" t="s">
        <v>62</v>
      </c>
    </row>
    <row r="4353" spans="1:45" x14ac:dyDescent="0.35">
      <c r="A4353" t="s">
        <v>45</v>
      </c>
      <c r="B4353" t="s">
        <v>9618</v>
      </c>
      <c r="C4353" t="s">
        <v>47</v>
      </c>
      <c r="D4353" t="s">
        <v>8342</v>
      </c>
      <c r="E4353" t="s">
        <v>8342</v>
      </c>
      <c r="F4353" t="s">
        <v>49</v>
      </c>
      <c r="G4353" t="s">
        <v>9779</v>
      </c>
      <c r="H4353" t="s">
        <v>9780</v>
      </c>
      <c r="J4353" t="str">
        <f>HYPERLINK("https://www.facebook.com/454965103328545/posts/763871475771238?comment_id=325054956574521","https://www.facebook.com/454965103328545/posts/763871475771238?comment_id=325054956574521")</f>
        <v>https://www.facebook.com/454965103328545/posts/763871475771238?comment_id=325054956574521</v>
      </c>
      <c r="O4353">
        <v>0</v>
      </c>
      <c r="P4353">
        <v>0</v>
      </c>
      <c r="Q4353">
        <v>0</v>
      </c>
      <c r="S4353">
        <v>0</v>
      </c>
      <c r="T4353">
        <v>0</v>
      </c>
      <c r="U4353">
        <v>0</v>
      </c>
      <c r="W4353" t="s">
        <v>62</v>
      </c>
    </row>
    <row r="4354" spans="1:45" x14ac:dyDescent="0.35">
      <c r="A4354" t="s">
        <v>45</v>
      </c>
      <c r="B4354" t="s">
        <v>9618</v>
      </c>
      <c r="C4354" t="s">
        <v>47</v>
      </c>
      <c r="D4354" t="s">
        <v>91</v>
      </c>
      <c r="E4354" t="s">
        <v>91</v>
      </c>
      <c r="F4354" t="s">
        <v>49</v>
      </c>
      <c r="G4354" t="s">
        <v>9781</v>
      </c>
      <c r="H4354" t="s">
        <v>9782</v>
      </c>
      <c r="J4354" t="str">
        <f>HYPERLINK("https://www.facebook.com/454965103328545/posts/763871475771238?comment_id=1064887848131076","https://www.facebook.com/454965103328545/posts/763871475771238?comment_id=1064887848131076")</f>
        <v>https://www.facebook.com/454965103328545/posts/763871475771238?comment_id=1064887848131076</v>
      </c>
      <c r="O4354">
        <v>0</v>
      </c>
      <c r="P4354">
        <v>0</v>
      </c>
      <c r="Q4354">
        <v>0</v>
      </c>
      <c r="S4354">
        <v>0</v>
      </c>
      <c r="T4354">
        <v>0</v>
      </c>
      <c r="U4354">
        <v>0</v>
      </c>
      <c r="W4354" t="s">
        <v>62</v>
      </c>
    </row>
    <row r="4355" spans="1:45" x14ac:dyDescent="0.35">
      <c r="A4355" t="s">
        <v>45</v>
      </c>
      <c r="B4355" t="s">
        <v>9618</v>
      </c>
      <c r="C4355" t="s">
        <v>47</v>
      </c>
      <c r="D4355" t="s">
        <v>8789</v>
      </c>
      <c r="E4355" t="s">
        <v>8789</v>
      </c>
      <c r="F4355" t="s">
        <v>49</v>
      </c>
      <c r="G4355" t="s">
        <v>9783</v>
      </c>
      <c r="H4355" t="s">
        <v>9784</v>
      </c>
      <c r="J4355" t="str">
        <f>HYPERLINK("https://www.facebook.com/454965103328545/posts/763871475771238?comment_id=1311057186249566","https://www.facebook.com/454965103328545/posts/763871475771238?comment_id=1311057186249566")</f>
        <v>https://www.facebook.com/454965103328545/posts/763871475771238?comment_id=1311057186249566</v>
      </c>
      <c r="O4355">
        <v>0</v>
      </c>
      <c r="P4355">
        <v>0</v>
      </c>
      <c r="Q4355">
        <v>0</v>
      </c>
      <c r="S4355">
        <v>0</v>
      </c>
      <c r="T4355">
        <v>0</v>
      </c>
      <c r="U4355">
        <v>0</v>
      </c>
      <c r="W4355" t="s">
        <v>62</v>
      </c>
    </row>
    <row r="4356" spans="1:45" x14ac:dyDescent="0.35">
      <c r="A4356" t="s">
        <v>45</v>
      </c>
      <c r="B4356" t="s">
        <v>9618</v>
      </c>
      <c r="C4356" t="s">
        <v>47</v>
      </c>
      <c r="D4356" t="s">
        <v>9785</v>
      </c>
      <c r="E4356" t="s">
        <v>9785</v>
      </c>
      <c r="F4356" t="s">
        <v>49</v>
      </c>
      <c r="G4356" t="s">
        <v>9786</v>
      </c>
      <c r="H4356" t="s">
        <v>9787</v>
      </c>
      <c r="J4356" t="str">
        <f>HYPERLINK("https://www.facebook.com/357267201017935/inbox/6988384811239441/","https://www.facebook.com/357267201017935/inbox/6988384811239441/")</f>
        <v>https://www.facebook.com/357267201017935/inbox/6988384811239441/</v>
      </c>
      <c r="O4356">
        <v>0</v>
      </c>
      <c r="P4356">
        <v>0</v>
      </c>
      <c r="Q4356">
        <v>0</v>
      </c>
      <c r="S4356">
        <v>0</v>
      </c>
      <c r="T4356">
        <v>0</v>
      </c>
      <c r="U4356">
        <v>0</v>
      </c>
      <c r="W4356" t="s">
        <v>52</v>
      </c>
    </row>
    <row r="4357" spans="1:45" x14ac:dyDescent="0.35">
      <c r="A4357" t="s">
        <v>45</v>
      </c>
      <c r="B4357" t="s">
        <v>9618</v>
      </c>
      <c r="C4357" t="s">
        <v>47</v>
      </c>
      <c r="D4357" t="s">
        <v>2789</v>
      </c>
      <c r="E4357" t="s">
        <v>2789</v>
      </c>
      <c r="F4357" t="s">
        <v>76</v>
      </c>
      <c r="G4357" t="s">
        <v>9788</v>
      </c>
      <c r="H4357" t="s">
        <v>9789</v>
      </c>
      <c r="J4357" t="str">
        <f>HYPERLINK("https://www.facebook.com/454965103328545/posts/763871475771238?comment_id=251035781276645","https://www.facebook.com/454965103328545/posts/763871475771238?comment_id=251035781276645")</f>
        <v>https://www.facebook.com/454965103328545/posts/763871475771238?comment_id=251035781276645</v>
      </c>
      <c r="O4357">
        <v>0</v>
      </c>
      <c r="P4357">
        <v>0</v>
      </c>
      <c r="Q4357">
        <v>0</v>
      </c>
      <c r="S4357">
        <v>0</v>
      </c>
      <c r="T4357">
        <v>0</v>
      </c>
      <c r="U4357">
        <v>0</v>
      </c>
      <c r="W4357" t="s">
        <v>62</v>
      </c>
    </row>
    <row r="4358" spans="1:45" x14ac:dyDescent="0.35">
      <c r="A4358" t="s">
        <v>45</v>
      </c>
      <c r="B4358" t="s">
        <v>9618</v>
      </c>
      <c r="C4358" t="s">
        <v>47</v>
      </c>
      <c r="D4358" t="s">
        <v>45</v>
      </c>
      <c r="E4358" t="s">
        <v>45</v>
      </c>
      <c r="F4358" t="s">
        <v>49</v>
      </c>
      <c r="G4358" t="s">
        <v>9790</v>
      </c>
      <c r="H4358" t="s">
        <v>9791</v>
      </c>
      <c r="J4358" t="str">
        <f>HYPERLINK("https://www.facebook.com/454965103328545/posts/763899692435083","https://www.facebook.com/454965103328545/posts/763899692435083")</f>
        <v>https://www.facebook.com/454965103328545/posts/763899692435083</v>
      </c>
      <c r="O4358">
        <v>0</v>
      </c>
      <c r="P4358">
        <v>0</v>
      </c>
      <c r="Q4358">
        <v>0</v>
      </c>
      <c r="S4358">
        <v>17</v>
      </c>
      <c r="T4358">
        <v>245</v>
      </c>
      <c r="U4358">
        <v>0</v>
      </c>
      <c r="W4358" t="s">
        <v>106</v>
      </c>
      <c r="AS4358" t="s">
        <v>115</v>
      </c>
    </row>
    <row r="4359" spans="1:45" x14ac:dyDescent="0.35">
      <c r="A4359" t="s">
        <v>45</v>
      </c>
      <c r="B4359" t="s">
        <v>9618</v>
      </c>
      <c r="C4359" t="s">
        <v>47</v>
      </c>
      <c r="D4359" t="s">
        <v>9792</v>
      </c>
      <c r="E4359" t="s">
        <v>9792</v>
      </c>
      <c r="F4359" t="s">
        <v>49</v>
      </c>
      <c r="G4359" t="s">
        <v>9793</v>
      </c>
      <c r="H4359" t="s">
        <v>9794</v>
      </c>
      <c r="J4359" t="str">
        <f>HYPERLINK("https://www.facebook.com/454965103328545/posts/763871475771238?comment_id=883120683823018","https://www.facebook.com/454965103328545/posts/763871475771238?comment_id=883120683823018")</f>
        <v>https://www.facebook.com/454965103328545/posts/763871475771238?comment_id=883120683823018</v>
      </c>
      <c r="O4359">
        <v>0</v>
      </c>
      <c r="P4359">
        <v>0</v>
      </c>
      <c r="Q4359">
        <v>0</v>
      </c>
      <c r="S4359">
        <v>0</v>
      </c>
      <c r="T4359">
        <v>0</v>
      </c>
      <c r="U4359">
        <v>0</v>
      </c>
      <c r="W4359" t="s">
        <v>62</v>
      </c>
    </row>
    <row r="4360" spans="1:45" x14ac:dyDescent="0.35">
      <c r="A4360" t="s">
        <v>45</v>
      </c>
      <c r="B4360" t="s">
        <v>9618</v>
      </c>
      <c r="C4360" t="s">
        <v>58</v>
      </c>
      <c r="D4360" t="s">
        <v>9795</v>
      </c>
      <c r="E4360" t="s">
        <v>9795</v>
      </c>
      <c r="F4360" t="s">
        <v>49</v>
      </c>
      <c r="G4360" t="s">
        <v>9796</v>
      </c>
      <c r="H4360" t="s">
        <v>9797</v>
      </c>
      <c r="J4360" t="str">
        <f>HYPERLINK("https://www.youtube.com/watch?v=uIKLPIGHaTc&amp;lc=UgxFGOI_1nMhnpW6lch4AaABAg","https://www.youtube.com/watch?v=uIKLPIGHaTc&amp;lc=UgxFGOI_1nMhnpW6lch4AaABAg")</f>
        <v>https://www.youtube.com/watch?v=uIKLPIGHaTc&amp;lc=UgxFGOI_1nMhnpW6lch4AaABAg</v>
      </c>
      <c r="O4360">
        <v>0</v>
      </c>
      <c r="P4360">
        <v>0</v>
      </c>
      <c r="Q4360">
        <v>0</v>
      </c>
      <c r="S4360">
        <v>0</v>
      </c>
      <c r="T4360">
        <v>0</v>
      </c>
      <c r="U4360">
        <v>0</v>
      </c>
      <c r="W4360" t="s">
        <v>62</v>
      </c>
    </row>
    <row r="4361" spans="1:45" x14ac:dyDescent="0.35">
      <c r="A4361" t="s">
        <v>45</v>
      </c>
      <c r="B4361" t="s">
        <v>9618</v>
      </c>
      <c r="C4361" t="s">
        <v>47</v>
      </c>
      <c r="D4361" t="s">
        <v>9014</v>
      </c>
      <c r="E4361" t="s">
        <v>9014</v>
      </c>
      <c r="F4361" t="s">
        <v>49</v>
      </c>
      <c r="G4361" t="s">
        <v>9798</v>
      </c>
      <c r="H4361" t="s">
        <v>9799</v>
      </c>
      <c r="J4361" t="str">
        <f>HYPERLINK("https://www.facebook.com/454965103328545/posts/763871475771238?comment_id=342136908723988","https://www.facebook.com/454965103328545/posts/763871475771238?comment_id=342136908723988")</f>
        <v>https://www.facebook.com/454965103328545/posts/763871475771238?comment_id=342136908723988</v>
      </c>
      <c r="O4361">
        <v>0</v>
      </c>
      <c r="P4361">
        <v>0</v>
      </c>
      <c r="Q4361">
        <v>0</v>
      </c>
      <c r="S4361">
        <v>0</v>
      </c>
      <c r="T4361">
        <v>0</v>
      </c>
      <c r="U4361">
        <v>0</v>
      </c>
      <c r="W4361" t="s">
        <v>62</v>
      </c>
    </row>
    <row r="4362" spans="1:45" x14ac:dyDescent="0.35">
      <c r="A4362" t="s">
        <v>45</v>
      </c>
      <c r="B4362" t="s">
        <v>9618</v>
      </c>
      <c r="C4362" t="s">
        <v>47</v>
      </c>
      <c r="D4362" t="s">
        <v>7361</v>
      </c>
      <c r="E4362" t="s">
        <v>7361</v>
      </c>
      <c r="F4362" t="s">
        <v>49</v>
      </c>
      <c r="G4362" t="s">
        <v>9571</v>
      </c>
      <c r="H4362" t="s">
        <v>9800</v>
      </c>
      <c r="J4362" t="str">
        <f>HYPERLINK("https://www.facebook.com/454965103328545/posts/763871475771238?comment_id=1333279217414342","https://www.facebook.com/454965103328545/posts/763871475771238?comment_id=1333279217414342")</f>
        <v>https://www.facebook.com/454965103328545/posts/763871475771238?comment_id=1333279217414342</v>
      </c>
      <c r="K4362" t="s">
        <v>145</v>
      </c>
      <c r="O4362">
        <v>0</v>
      </c>
      <c r="P4362">
        <v>0</v>
      </c>
      <c r="Q4362">
        <v>0</v>
      </c>
      <c r="S4362">
        <v>0</v>
      </c>
      <c r="T4362">
        <v>0</v>
      </c>
      <c r="U4362">
        <v>0</v>
      </c>
      <c r="W4362" t="s">
        <v>62</v>
      </c>
    </row>
    <row r="4363" spans="1:45" x14ac:dyDescent="0.35">
      <c r="A4363" t="s">
        <v>45</v>
      </c>
      <c r="B4363" t="s">
        <v>9618</v>
      </c>
      <c r="C4363" t="s">
        <v>47</v>
      </c>
      <c r="D4363" t="s">
        <v>9801</v>
      </c>
      <c r="E4363" t="s">
        <v>9801</v>
      </c>
      <c r="F4363" t="s">
        <v>49</v>
      </c>
      <c r="G4363" t="s">
        <v>975</v>
      </c>
      <c r="H4363" t="s">
        <v>9802</v>
      </c>
      <c r="J4363" t="str">
        <f>HYPERLINK("https://www.facebook.com/357267201017935/inbox/6988318511246071/","https://www.facebook.com/357267201017935/inbox/6988318511246071/")</f>
        <v>https://www.facebook.com/357267201017935/inbox/6988318511246071/</v>
      </c>
      <c r="O4363">
        <v>0</v>
      </c>
      <c r="P4363">
        <v>0</v>
      </c>
      <c r="Q4363">
        <v>0</v>
      </c>
      <c r="S4363">
        <v>0</v>
      </c>
      <c r="T4363">
        <v>0</v>
      </c>
      <c r="U4363">
        <v>0</v>
      </c>
      <c r="W4363" t="s">
        <v>52</v>
      </c>
    </row>
    <row r="4364" spans="1:45" x14ac:dyDescent="0.35">
      <c r="A4364" t="s">
        <v>45</v>
      </c>
      <c r="B4364" t="s">
        <v>9618</v>
      </c>
      <c r="C4364" t="s">
        <v>47</v>
      </c>
      <c r="D4364" t="s">
        <v>5524</v>
      </c>
      <c r="E4364" t="s">
        <v>5524</v>
      </c>
      <c r="F4364" t="s">
        <v>76</v>
      </c>
      <c r="G4364" t="s">
        <v>9803</v>
      </c>
      <c r="H4364" t="s">
        <v>9804</v>
      </c>
      <c r="J4364" t="str">
        <f>HYPERLINK("https://www.facebook.com/454965103328545/posts/763871475771238?comment_id=760405192677999","https://www.facebook.com/454965103328545/posts/763871475771238?comment_id=760405192677999")</f>
        <v>https://www.facebook.com/454965103328545/posts/763871475771238?comment_id=760405192677999</v>
      </c>
      <c r="O4364">
        <v>0</v>
      </c>
      <c r="P4364">
        <v>0</v>
      </c>
      <c r="Q4364">
        <v>0</v>
      </c>
      <c r="S4364">
        <v>0</v>
      </c>
      <c r="T4364">
        <v>0</v>
      </c>
      <c r="U4364">
        <v>0</v>
      </c>
      <c r="W4364" t="s">
        <v>62</v>
      </c>
      <c r="AP4364" t="s">
        <v>101</v>
      </c>
    </row>
    <row r="4365" spans="1:45" x14ac:dyDescent="0.35">
      <c r="A4365" t="s">
        <v>45</v>
      </c>
      <c r="B4365" t="s">
        <v>9618</v>
      </c>
      <c r="C4365" t="s">
        <v>47</v>
      </c>
      <c r="D4365" t="s">
        <v>5524</v>
      </c>
      <c r="E4365" t="s">
        <v>5524</v>
      </c>
      <c r="F4365" t="s">
        <v>142</v>
      </c>
      <c r="G4365" t="s">
        <v>9805</v>
      </c>
      <c r="H4365" t="s">
        <v>9806</v>
      </c>
      <c r="J4365" t="str">
        <f>HYPERLINK("https://www.facebook.com/454965103328545/posts/763871475771238?comment_id=760445479464117","https://www.facebook.com/454965103328545/posts/763871475771238?comment_id=760445479464117")</f>
        <v>https://www.facebook.com/454965103328545/posts/763871475771238?comment_id=760445479464117</v>
      </c>
      <c r="O4365">
        <v>0</v>
      </c>
      <c r="P4365">
        <v>0</v>
      </c>
      <c r="Q4365">
        <v>0</v>
      </c>
      <c r="S4365">
        <v>0</v>
      </c>
      <c r="T4365">
        <v>0</v>
      </c>
      <c r="U4365">
        <v>0</v>
      </c>
      <c r="W4365" t="s">
        <v>62</v>
      </c>
    </row>
    <row r="4366" spans="1:45" x14ac:dyDescent="0.35">
      <c r="A4366" t="s">
        <v>45</v>
      </c>
      <c r="B4366" t="s">
        <v>9618</v>
      </c>
      <c r="C4366" t="s">
        <v>47</v>
      </c>
      <c r="D4366" t="s">
        <v>9807</v>
      </c>
      <c r="E4366" t="s">
        <v>9807</v>
      </c>
      <c r="F4366" t="s">
        <v>49</v>
      </c>
      <c r="G4366" t="s">
        <v>9808</v>
      </c>
      <c r="H4366" t="s">
        <v>9809</v>
      </c>
      <c r="J4366" t="str">
        <f>HYPERLINK("https://www.facebook.com/454965103328545/posts/763871475771238?comment_id=681970400682832","https://www.facebook.com/454965103328545/posts/763871475771238?comment_id=681970400682832")</f>
        <v>https://www.facebook.com/454965103328545/posts/763871475771238?comment_id=681970400682832</v>
      </c>
      <c r="O4366">
        <v>0</v>
      </c>
      <c r="P4366">
        <v>0</v>
      </c>
      <c r="Q4366">
        <v>0</v>
      </c>
      <c r="S4366">
        <v>0</v>
      </c>
      <c r="T4366">
        <v>0</v>
      </c>
      <c r="U4366">
        <v>0</v>
      </c>
      <c r="W4366" t="s">
        <v>62</v>
      </c>
    </row>
    <row r="4367" spans="1:45" x14ac:dyDescent="0.35">
      <c r="A4367" t="s">
        <v>45</v>
      </c>
      <c r="B4367" t="s">
        <v>9618</v>
      </c>
      <c r="C4367" t="s">
        <v>47</v>
      </c>
      <c r="D4367" t="s">
        <v>9200</v>
      </c>
      <c r="E4367" t="s">
        <v>9200</v>
      </c>
      <c r="F4367" t="s">
        <v>49</v>
      </c>
      <c r="G4367" t="s">
        <v>9810</v>
      </c>
      <c r="H4367" t="s">
        <v>9811</v>
      </c>
      <c r="J4367" t="str">
        <f>HYPERLINK("https://www.facebook.com/454965103328545/posts/763871475771238?comment_id=263380403446402","https://www.facebook.com/454965103328545/posts/763871475771238?comment_id=263380403446402")</f>
        <v>https://www.facebook.com/454965103328545/posts/763871475771238?comment_id=263380403446402</v>
      </c>
      <c r="O4367">
        <v>0</v>
      </c>
      <c r="P4367">
        <v>0</v>
      </c>
      <c r="Q4367">
        <v>0</v>
      </c>
      <c r="S4367">
        <v>0</v>
      </c>
      <c r="T4367">
        <v>0</v>
      </c>
      <c r="U4367">
        <v>0</v>
      </c>
      <c r="W4367" t="s">
        <v>62</v>
      </c>
    </row>
    <row r="4368" spans="1:45" x14ac:dyDescent="0.35">
      <c r="A4368" t="s">
        <v>45</v>
      </c>
      <c r="B4368" t="s">
        <v>9618</v>
      </c>
      <c r="C4368" t="s">
        <v>58</v>
      </c>
      <c r="D4368" t="s">
        <v>45</v>
      </c>
      <c r="E4368" t="s">
        <v>45</v>
      </c>
      <c r="F4368" t="s">
        <v>49</v>
      </c>
      <c r="G4368" t="s">
        <v>9812</v>
      </c>
      <c r="H4368" t="s">
        <v>9813</v>
      </c>
      <c r="J4368" t="str">
        <f>HYPERLINK("https://www.youtube.com/watch?v=uIKLPIGHaTc","https://www.youtube.com/watch?v=uIKLPIGHaTc")</f>
        <v>https://www.youtube.com/watch?v=uIKLPIGHaTc</v>
      </c>
      <c r="O4368">
        <v>0</v>
      </c>
      <c r="P4368">
        <v>0</v>
      </c>
      <c r="Q4368">
        <v>0</v>
      </c>
      <c r="S4368">
        <v>0</v>
      </c>
      <c r="T4368">
        <v>0</v>
      </c>
      <c r="U4368">
        <v>0</v>
      </c>
      <c r="W4368" t="s">
        <v>106</v>
      </c>
    </row>
    <row r="4369" spans="1:42" x14ac:dyDescent="0.35">
      <c r="A4369" t="s">
        <v>45</v>
      </c>
      <c r="B4369" t="s">
        <v>9618</v>
      </c>
      <c r="C4369" t="s">
        <v>47</v>
      </c>
      <c r="D4369" t="s">
        <v>7714</v>
      </c>
      <c r="E4369" t="s">
        <v>7714</v>
      </c>
      <c r="F4369" t="s">
        <v>76</v>
      </c>
      <c r="G4369" t="s">
        <v>9814</v>
      </c>
      <c r="H4369" t="s">
        <v>9815</v>
      </c>
      <c r="J4369" t="str">
        <f>HYPERLINK("https://www.facebook.com/454965103328545/posts/763871475771238?comment_id=1826910604446329","https://www.facebook.com/454965103328545/posts/763871475771238?comment_id=1826910604446329")</f>
        <v>https://www.facebook.com/454965103328545/posts/763871475771238?comment_id=1826910604446329</v>
      </c>
      <c r="O4369">
        <v>0</v>
      </c>
      <c r="P4369">
        <v>0</v>
      </c>
      <c r="Q4369">
        <v>0</v>
      </c>
      <c r="S4369">
        <v>0</v>
      </c>
      <c r="T4369">
        <v>0</v>
      </c>
      <c r="U4369">
        <v>0</v>
      </c>
      <c r="W4369" t="s">
        <v>62</v>
      </c>
    </row>
    <row r="4370" spans="1:42" x14ac:dyDescent="0.35">
      <c r="A4370" t="s">
        <v>45</v>
      </c>
      <c r="B4370" t="s">
        <v>9618</v>
      </c>
      <c r="C4370" t="s">
        <v>47</v>
      </c>
      <c r="D4370" t="s">
        <v>9816</v>
      </c>
      <c r="E4370" t="s">
        <v>9816</v>
      </c>
      <c r="F4370" t="s">
        <v>76</v>
      </c>
      <c r="G4370" t="s">
        <v>9817</v>
      </c>
      <c r="H4370" t="s">
        <v>9818</v>
      </c>
      <c r="J4370" t="str">
        <f>HYPERLINK("https://www.facebook.com/454965103328545/posts/763871475771238?comment_id=1262591051365601","https://www.facebook.com/454965103328545/posts/763871475771238?comment_id=1262591051365601")</f>
        <v>https://www.facebook.com/454965103328545/posts/763871475771238?comment_id=1262591051365601</v>
      </c>
      <c r="O4370">
        <v>0</v>
      </c>
      <c r="P4370">
        <v>0</v>
      </c>
      <c r="Q4370">
        <v>0</v>
      </c>
      <c r="S4370">
        <v>0</v>
      </c>
      <c r="T4370">
        <v>0</v>
      </c>
      <c r="U4370">
        <v>0</v>
      </c>
      <c r="W4370" t="s">
        <v>62</v>
      </c>
    </row>
    <row r="4371" spans="1:42" x14ac:dyDescent="0.35">
      <c r="A4371" t="s">
        <v>45</v>
      </c>
      <c r="B4371" t="s">
        <v>9618</v>
      </c>
      <c r="C4371" t="s">
        <v>47</v>
      </c>
      <c r="D4371" t="s">
        <v>1284</v>
      </c>
      <c r="E4371" t="s">
        <v>1284</v>
      </c>
      <c r="F4371" t="s">
        <v>49</v>
      </c>
      <c r="G4371" t="s">
        <v>7294</v>
      </c>
      <c r="H4371" t="s">
        <v>9819</v>
      </c>
      <c r="J4371" t="str">
        <f>HYPERLINK("https://www.facebook.com/454965103328545/posts/763871475771238?comment_id=686742060336039","https://www.facebook.com/454965103328545/posts/763871475771238?comment_id=686742060336039")</f>
        <v>https://www.facebook.com/454965103328545/posts/763871475771238?comment_id=686742060336039</v>
      </c>
      <c r="O4371">
        <v>0</v>
      </c>
      <c r="P4371">
        <v>0</v>
      </c>
      <c r="Q4371">
        <v>0</v>
      </c>
      <c r="S4371">
        <v>0</v>
      </c>
      <c r="T4371">
        <v>0</v>
      </c>
      <c r="U4371">
        <v>0</v>
      </c>
      <c r="W4371" t="s">
        <v>62</v>
      </c>
    </row>
    <row r="4372" spans="1:42" x14ac:dyDescent="0.35">
      <c r="A4372" t="s">
        <v>45</v>
      </c>
      <c r="B4372" t="s">
        <v>9618</v>
      </c>
      <c r="C4372" t="s">
        <v>47</v>
      </c>
      <c r="D4372" t="s">
        <v>6231</v>
      </c>
      <c r="E4372" t="s">
        <v>6231</v>
      </c>
      <c r="F4372" t="s">
        <v>49</v>
      </c>
      <c r="G4372" t="s">
        <v>9820</v>
      </c>
      <c r="H4372" t="s">
        <v>9821</v>
      </c>
      <c r="J4372" t="str">
        <f>HYPERLINK("https://www.facebook.com/454965103328545/posts/763871475771238?comment_id=1383470559002496","https://www.facebook.com/454965103328545/posts/763871475771238?comment_id=1383470559002496")</f>
        <v>https://www.facebook.com/454965103328545/posts/763871475771238?comment_id=1383470559002496</v>
      </c>
      <c r="O4372">
        <v>0</v>
      </c>
      <c r="P4372">
        <v>0</v>
      </c>
      <c r="Q4372">
        <v>0</v>
      </c>
      <c r="S4372">
        <v>0</v>
      </c>
      <c r="T4372">
        <v>0</v>
      </c>
      <c r="U4372">
        <v>0</v>
      </c>
      <c r="W4372" t="s">
        <v>62</v>
      </c>
    </row>
    <row r="4373" spans="1:42" x14ac:dyDescent="0.35">
      <c r="A4373" t="s">
        <v>45</v>
      </c>
      <c r="B4373" t="s">
        <v>9618</v>
      </c>
      <c r="C4373" t="s">
        <v>47</v>
      </c>
      <c r="D4373" t="s">
        <v>9822</v>
      </c>
      <c r="E4373" t="s">
        <v>9822</v>
      </c>
      <c r="F4373" t="s">
        <v>49</v>
      </c>
      <c r="G4373" t="s">
        <v>9823</v>
      </c>
      <c r="H4373" t="s">
        <v>9824</v>
      </c>
      <c r="J4373" t="str">
        <f>HYPERLINK("https://www.facebook.com/454965103328545/posts/763285952496457?comment_id=1808750842945816","https://www.facebook.com/454965103328545/posts/763285952496457?comment_id=1808750842945816")</f>
        <v>https://www.facebook.com/454965103328545/posts/763285952496457?comment_id=1808750842945816</v>
      </c>
      <c r="O4373">
        <v>0</v>
      </c>
      <c r="P4373">
        <v>0</v>
      </c>
      <c r="Q4373">
        <v>0</v>
      </c>
      <c r="S4373">
        <v>0</v>
      </c>
      <c r="T4373">
        <v>0</v>
      </c>
      <c r="U4373">
        <v>0</v>
      </c>
      <c r="W4373" t="s">
        <v>62</v>
      </c>
    </row>
    <row r="4374" spans="1:42" x14ac:dyDescent="0.35">
      <c r="A4374" t="s">
        <v>45</v>
      </c>
      <c r="B4374" t="s">
        <v>9618</v>
      </c>
      <c r="C4374" t="s">
        <v>47</v>
      </c>
      <c r="D4374" t="s">
        <v>9825</v>
      </c>
      <c r="E4374" t="s">
        <v>9825</v>
      </c>
      <c r="F4374" t="s">
        <v>49</v>
      </c>
      <c r="G4374" t="s">
        <v>9826</v>
      </c>
      <c r="H4374" t="s">
        <v>9827</v>
      </c>
      <c r="J4374" t="str">
        <f>HYPERLINK("https://www.facebook.com/454965103328545/posts/763871475771238?comment_id=894325699142772&amp;reply_comment_id=299269376468392","https://www.facebook.com/454965103328545/posts/763871475771238?comment_id=894325699142772&amp;reply_comment_id=299269376468392")</f>
        <v>https://www.facebook.com/454965103328545/posts/763871475771238?comment_id=894325699142772&amp;reply_comment_id=299269376468392</v>
      </c>
      <c r="O4374">
        <v>0</v>
      </c>
      <c r="P4374">
        <v>0</v>
      </c>
      <c r="Q4374">
        <v>0</v>
      </c>
      <c r="S4374">
        <v>0</v>
      </c>
      <c r="T4374">
        <v>0</v>
      </c>
      <c r="U4374">
        <v>0</v>
      </c>
      <c r="W4374" t="s">
        <v>62</v>
      </c>
    </row>
    <row r="4375" spans="1:42" x14ac:dyDescent="0.35">
      <c r="A4375" t="s">
        <v>45</v>
      </c>
      <c r="B4375" t="s">
        <v>9618</v>
      </c>
      <c r="C4375" t="s">
        <v>47</v>
      </c>
      <c r="D4375" t="s">
        <v>9828</v>
      </c>
      <c r="E4375" t="s">
        <v>9828</v>
      </c>
      <c r="F4375" t="s">
        <v>49</v>
      </c>
      <c r="G4375" t="s">
        <v>9829</v>
      </c>
      <c r="H4375" t="s">
        <v>9830</v>
      </c>
      <c r="J4375" t="str">
        <f>HYPERLINK("https://www.facebook.com/454965103328545/posts/763307319160987?comment_id=928749575525277","https://www.facebook.com/454965103328545/posts/763307319160987?comment_id=928749575525277")</f>
        <v>https://www.facebook.com/454965103328545/posts/763307319160987?comment_id=928749575525277</v>
      </c>
      <c r="O4375">
        <v>0</v>
      </c>
      <c r="P4375">
        <v>0</v>
      </c>
      <c r="Q4375">
        <v>0</v>
      </c>
      <c r="S4375">
        <v>0</v>
      </c>
      <c r="T4375">
        <v>0</v>
      </c>
      <c r="U4375">
        <v>0</v>
      </c>
      <c r="W4375" t="s">
        <v>62</v>
      </c>
      <c r="AP4375" t="s">
        <v>101</v>
      </c>
    </row>
    <row r="4376" spans="1:42" x14ac:dyDescent="0.35">
      <c r="A4376" t="s">
        <v>45</v>
      </c>
      <c r="B4376" t="s">
        <v>9618</v>
      </c>
      <c r="C4376" t="s">
        <v>47</v>
      </c>
      <c r="D4376" t="s">
        <v>246</v>
      </c>
      <c r="E4376" t="s">
        <v>246</v>
      </c>
      <c r="F4376" t="s">
        <v>49</v>
      </c>
      <c r="G4376" t="s">
        <v>4766</v>
      </c>
      <c r="H4376" t="s">
        <v>9831</v>
      </c>
      <c r="J4376" t="str">
        <f>HYPERLINK("https://www.facebook.com/454965103328545/posts/763871475771238?comment_id=894325699142772","https://www.facebook.com/454965103328545/posts/763871475771238?comment_id=894325699142772")</f>
        <v>https://www.facebook.com/454965103328545/posts/763871475771238?comment_id=894325699142772</v>
      </c>
      <c r="O4376">
        <v>0</v>
      </c>
      <c r="P4376">
        <v>0</v>
      </c>
      <c r="Q4376">
        <v>0</v>
      </c>
      <c r="S4376">
        <v>0</v>
      </c>
      <c r="T4376">
        <v>0</v>
      </c>
      <c r="U4376">
        <v>0</v>
      </c>
      <c r="W4376" t="s">
        <v>62</v>
      </c>
    </row>
    <row r="4377" spans="1:42" x14ac:dyDescent="0.35">
      <c r="A4377" t="s">
        <v>45</v>
      </c>
      <c r="B4377" t="s">
        <v>9618</v>
      </c>
      <c r="C4377" t="s">
        <v>47</v>
      </c>
      <c r="D4377" t="s">
        <v>9832</v>
      </c>
      <c r="E4377" t="s">
        <v>9832</v>
      </c>
      <c r="F4377" t="s">
        <v>49</v>
      </c>
      <c r="G4377" t="s">
        <v>9833</v>
      </c>
      <c r="H4377" t="s">
        <v>9834</v>
      </c>
      <c r="J4377" t="str">
        <f>HYPERLINK("https://www.facebook.com/454965103328545/posts/763871475771238?comment_id=1102760844404126","https://www.facebook.com/454965103328545/posts/763871475771238?comment_id=1102760844404126")</f>
        <v>https://www.facebook.com/454965103328545/posts/763871475771238?comment_id=1102760844404126</v>
      </c>
      <c r="O4377">
        <v>0</v>
      </c>
      <c r="P4377">
        <v>0</v>
      </c>
      <c r="Q4377">
        <v>0</v>
      </c>
      <c r="S4377">
        <v>0</v>
      </c>
      <c r="T4377">
        <v>0</v>
      </c>
      <c r="U4377">
        <v>0</v>
      </c>
      <c r="W4377" t="s">
        <v>62</v>
      </c>
    </row>
    <row r="4378" spans="1:42" x14ac:dyDescent="0.35">
      <c r="A4378" t="s">
        <v>45</v>
      </c>
      <c r="B4378" t="s">
        <v>9618</v>
      </c>
      <c r="C4378" t="s">
        <v>47</v>
      </c>
      <c r="D4378" t="s">
        <v>1779</v>
      </c>
      <c r="E4378" t="s">
        <v>1779</v>
      </c>
      <c r="F4378" t="s">
        <v>49</v>
      </c>
      <c r="G4378" t="s">
        <v>9835</v>
      </c>
      <c r="H4378" t="s">
        <v>9836</v>
      </c>
      <c r="J4378" t="str">
        <f>HYPERLINK("https://www.facebook.com/454965103328545/posts/763871475771238?comment_id=895304722138570","https://www.facebook.com/454965103328545/posts/763871475771238?comment_id=895304722138570")</f>
        <v>https://www.facebook.com/454965103328545/posts/763871475771238?comment_id=895304722138570</v>
      </c>
      <c r="O4378">
        <v>0</v>
      </c>
      <c r="P4378">
        <v>0</v>
      </c>
      <c r="Q4378">
        <v>0</v>
      </c>
      <c r="S4378">
        <v>0</v>
      </c>
      <c r="T4378">
        <v>0</v>
      </c>
      <c r="U4378">
        <v>0</v>
      </c>
      <c r="W4378" t="s">
        <v>62</v>
      </c>
    </row>
    <row r="4379" spans="1:42" x14ac:dyDescent="0.35">
      <c r="A4379" t="s">
        <v>45</v>
      </c>
      <c r="B4379" t="s">
        <v>9618</v>
      </c>
      <c r="C4379" t="s">
        <v>139</v>
      </c>
      <c r="D4379" t="s">
        <v>9837</v>
      </c>
      <c r="E4379" t="s">
        <v>9838</v>
      </c>
      <c r="F4379" t="s">
        <v>49</v>
      </c>
      <c r="G4379" t="s">
        <v>9839</v>
      </c>
      <c r="H4379" t="s">
        <v>9840</v>
      </c>
      <c r="J4379" t="str">
        <f>HYPERLINK("https://twitter.com/scoutquest/status/1753033969522872522","https://twitter.com/scoutquest/status/1753033969522872522")</f>
        <v>https://twitter.com/scoutquest/status/1753033969522872522</v>
      </c>
      <c r="O4379">
        <v>0</v>
      </c>
      <c r="P4379">
        <v>0</v>
      </c>
      <c r="Q4379">
        <v>2406</v>
      </c>
      <c r="R4379" t="s">
        <v>1247</v>
      </c>
      <c r="S4379">
        <v>0</v>
      </c>
      <c r="T4379">
        <v>0</v>
      </c>
      <c r="U4379">
        <v>0</v>
      </c>
      <c r="V4379" t="s">
        <v>642</v>
      </c>
      <c r="W4379" t="s">
        <v>146</v>
      </c>
    </row>
    <row r="4380" spans="1:42" x14ac:dyDescent="0.35">
      <c r="A4380" t="s">
        <v>45</v>
      </c>
      <c r="B4380" t="s">
        <v>9618</v>
      </c>
      <c r="C4380" t="s">
        <v>139</v>
      </c>
      <c r="D4380" t="s">
        <v>9837</v>
      </c>
      <c r="E4380" t="s">
        <v>9838</v>
      </c>
      <c r="F4380" t="s">
        <v>76</v>
      </c>
      <c r="G4380" t="s">
        <v>9841</v>
      </c>
      <c r="H4380" t="s">
        <v>9842</v>
      </c>
      <c r="J4380" t="str">
        <f>HYPERLINK("https://twitter.com/scoutquest/status/1753033880507220174","https://twitter.com/scoutquest/status/1753033880507220174")</f>
        <v>https://twitter.com/scoutquest/status/1753033880507220174</v>
      </c>
      <c r="O4380">
        <v>0</v>
      </c>
      <c r="P4380">
        <v>0</v>
      </c>
      <c r="Q4380">
        <v>2406</v>
      </c>
      <c r="R4380" t="s">
        <v>1247</v>
      </c>
      <c r="S4380">
        <v>0</v>
      </c>
      <c r="T4380">
        <v>0</v>
      </c>
      <c r="U4380">
        <v>0</v>
      </c>
      <c r="V4380" t="s">
        <v>642</v>
      </c>
      <c r="W4380" t="s">
        <v>146</v>
      </c>
    </row>
    <row r="4381" spans="1:42" x14ac:dyDescent="0.35">
      <c r="A4381" t="s">
        <v>45</v>
      </c>
      <c r="B4381" t="s">
        <v>9618</v>
      </c>
      <c r="C4381" t="s">
        <v>47</v>
      </c>
      <c r="D4381" t="s">
        <v>45</v>
      </c>
      <c r="E4381" t="s">
        <v>45</v>
      </c>
      <c r="F4381" t="s">
        <v>49</v>
      </c>
      <c r="G4381" t="s">
        <v>9843</v>
      </c>
      <c r="H4381" t="s">
        <v>9844</v>
      </c>
      <c r="J4381" t="str">
        <f>HYPERLINK("https://www.facebook.com/454965103328545/posts/763871475771238","https://www.facebook.com/454965103328545/posts/763871475771238")</f>
        <v>https://www.facebook.com/454965103328545/posts/763871475771238</v>
      </c>
      <c r="O4381">
        <v>0</v>
      </c>
      <c r="P4381">
        <v>0</v>
      </c>
      <c r="Q4381">
        <v>0</v>
      </c>
      <c r="S4381">
        <v>94</v>
      </c>
      <c r="T4381">
        <v>670</v>
      </c>
      <c r="U4381">
        <v>15</v>
      </c>
      <c r="W4381" t="s">
        <v>106</v>
      </c>
    </row>
    <row r="4382" spans="1:42" x14ac:dyDescent="0.35">
      <c r="A4382" t="s">
        <v>45</v>
      </c>
      <c r="B4382" t="s">
        <v>9618</v>
      </c>
      <c r="C4382" t="s">
        <v>47</v>
      </c>
      <c r="D4382" t="s">
        <v>9845</v>
      </c>
      <c r="E4382" t="s">
        <v>9845</v>
      </c>
      <c r="F4382" t="s">
        <v>49</v>
      </c>
      <c r="G4382" t="s">
        <v>2769</v>
      </c>
      <c r="H4382" t="s">
        <v>9846</v>
      </c>
      <c r="J4382" t="str">
        <f>HYPERLINK("https://www.facebook.com/357267201017935/inbox/4951855418225734/","https://www.facebook.com/357267201017935/inbox/4951855418225734/")</f>
        <v>https://www.facebook.com/357267201017935/inbox/4951855418225734/</v>
      </c>
      <c r="O4382">
        <v>0</v>
      </c>
      <c r="P4382">
        <v>0</v>
      </c>
      <c r="Q4382">
        <v>0</v>
      </c>
      <c r="S4382">
        <v>0</v>
      </c>
      <c r="T4382">
        <v>0</v>
      </c>
      <c r="U4382">
        <v>0</v>
      </c>
      <c r="W4382" t="s">
        <v>52</v>
      </c>
    </row>
    <row r="4383" spans="1:42" x14ac:dyDescent="0.35">
      <c r="A4383" t="s">
        <v>45</v>
      </c>
      <c r="B4383" t="s">
        <v>9618</v>
      </c>
      <c r="C4383" t="s">
        <v>63</v>
      </c>
      <c r="D4383" t="s">
        <v>186</v>
      </c>
      <c r="E4383" t="s">
        <v>186</v>
      </c>
      <c r="F4383" t="s">
        <v>49</v>
      </c>
      <c r="G4383" t="s">
        <v>9847</v>
      </c>
      <c r="H4383" t="s">
        <v>9848</v>
      </c>
      <c r="J4383" t="str">
        <f>HYPERLINK("https://www.instagram.com/p/C2zaH59rZq-/","https://www.instagram.com/p/C2zaH59rZq-/")</f>
        <v>https://www.instagram.com/p/C2zaH59rZq-/</v>
      </c>
      <c r="O4383">
        <v>0</v>
      </c>
      <c r="P4383">
        <v>0</v>
      </c>
      <c r="Q4383">
        <v>0</v>
      </c>
      <c r="S4383">
        <v>0</v>
      </c>
      <c r="T4383">
        <v>72</v>
      </c>
      <c r="U4383">
        <v>0</v>
      </c>
      <c r="W4383" t="s">
        <v>106</v>
      </c>
    </row>
    <row r="4384" spans="1:42" x14ac:dyDescent="0.35">
      <c r="A4384" t="s">
        <v>45</v>
      </c>
      <c r="B4384" t="s">
        <v>9618</v>
      </c>
      <c r="C4384" t="s">
        <v>47</v>
      </c>
      <c r="D4384" t="s">
        <v>45</v>
      </c>
      <c r="E4384" t="s">
        <v>45</v>
      </c>
      <c r="F4384" t="s">
        <v>49</v>
      </c>
      <c r="G4384" t="s">
        <v>9847</v>
      </c>
      <c r="H4384" t="s">
        <v>9849</v>
      </c>
      <c r="J4384" t="str">
        <f>HYPERLINK("https://www.facebook.com/357267201017935_762566475901738","https://www.facebook.com/357267201017935_762566475901738")</f>
        <v>https://www.facebook.com/357267201017935_762566475901738</v>
      </c>
      <c r="O4384">
        <v>0</v>
      </c>
      <c r="P4384">
        <v>0</v>
      </c>
      <c r="Q4384">
        <v>0</v>
      </c>
      <c r="S4384">
        <v>6</v>
      </c>
      <c r="T4384">
        <v>85</v>
      </c>
      <c r="U4384">
        <v>6</v>
      </c>
      <c r="W4384" t="s">
        <v>106</v>
      </c>
    </row>
    <row r="4385" spans="1:42" x14ac:dyDescent="0.35">
      <c r="A4385" t="s">
        <v>45</v>
      </c>
      <c r="B4385" t="s">
        <v>9618</v>
      </c>
      <c r="C4385" t="s">
        <v>139</v>
      </c>
      <c r="D4385" t="s">
        <v>190</v>
      </c>
      <c r="E4385" t="s">
        <v>45</v>
      </c>
      <c r="F4385" t="s">
        <v>49</v>
      </c>
      <c r="G4385" t="s">
        <v>9850</v>
      </c>
      <c r="H4385" t="s">
        <v>9849</v>
      </c>
      <c r="J4385" t="str">
        <f>HYPERLINK("https://twitter.com/FinoPaymntsBank/status/1753017852578128306","https://twitter.com/FinoPaymntsBank/status/1753017852578128306")</f>
        <v>https://twitter.com/FinoPaymntsBank/status/1753017852578128306</v>
      </c>
      <c r="K4385" t="s">
        <v>145</v>
      </c>
      <c r="O4385">
        <v>0</v>
      </c>
      <c r="P4385">
        <v>0</v>
      </c>
      <c r="Q4385">
        <v>8352</v>
      </c>
      <c r="R4385" t="s">
        <v>193</v>
      </c>
      <c r="S4385">
        <v>0</v>
      </c>
      <c r="T4385">
        <v>0</v>
      </c>
      <c r="U4385">
        <v>0</v>
      </c>
      <c r="W4385" t="s">
        <v>146</v>
      </c>
    </row>
    <row r="4386" spans="1:42" x14ac:dyDescent="0.35">
      <c r="A4386" t="s">
        <v>45</v>
      </c>
      <c r="B4386" t="s">
        <v>9618</v>
      </c>
      <c r="C4386" t="s">
        <v>58</v>
      </c>
      <c r="D4386" t="s">
        <v>1240</v>
      </c>
      <c r="E4386" t="s">
        <v>1240</v>
      </c>
      <c r="F4386" t="s">
        <v>49</v>
      </c>
      <c r="G4386" t="s">
        <v>9851</v>
      </c>
      <c r="H4386" t="s">
        <v>9852</v>
      </c>
      <c r="J4386" t="str">
        <f>HYPERLINK("https://www.youtube.com/watch?v=nnixHV5dKss","https://www.youtube.com/watch?v=nnixHV5dKss")</f>
        <v>https://www.youtube.com/watch?v=nnixHV5dKss</v>
      </c>
      <c r="O4386">
        <v>0</v>
      </c>
      <c r="P4386">
        <v>0</v>
      </c>
      <c r="Q4386">
        <v>0</v>
      </c>
      <c r="S4386">
        <v>0</v>
      </c>
      <c r="T4386">
        <v>0</v>
      </c>
      <c r="U4386">
        <v>0</v>
      </c>
      <c r="W4386" t="s">
        <v>106</v>
      </c>
    </row>
    <row r="4387" spans="1:42" x14ac:dyDescent="0.35">
      <c r="A4387" t="s">
        <v>45</v>
      </c>
      <c r="B4387" t="s">
        <v>9618</v>
      </c>
      <c r="C4387" t="s">
        <v>102</v>
      </c>
      <c r="D4387" t="s">
        <v>9853</v>
      </c>
      <c r="E4387" t="s">
        <v>9853</v>
      </c>
      <c r="F4387" t="s">
        <v>49</v>
      </c>
      <c r="G4387" t="s">
        <v>9854</v>
      </c>
      <c r="H4387" t="s">
        <v>9855</v>
      </c>
      <c r="J4387" t="str">
        <f>HYPERLINK("https://www.linkedin.com/feed/update/urn:li:share:7158447824953655296/?commentUrn=urn:li:comment:(urn:li:activity:7158447826098610177,7158766271566696448)","https://www.linkedin.com/feed/update/urn:li:share:7158447824953655296/?commentUrn=urn:li:comment:(urn:li:activity:7158447826098610177,7158766271566696448)")</f>
        <v>https://www.linkedin.com/feed/update/urn:li:share:7158447824953655296/?commentUrn=urn:li:comment:(urn:li:activity:7158447826098610177,7158766271566696448)</v>
      </c>
      <c r="K4387" t="s">
        <v>1994</v>
      </c>
      <c r="O4387">
        <v>0</v>
      </c>
      <c r="P4387">
        <v>0</v>
      </c>
      <c r="Q4387">
        <v>0</v>
      </c>
      <c r="S4387">
        <v>0</v>
      </c>
      <c r="T4387">
        <v>0</v>
      </c>
      <c r="U4387">
        <v>0</v>
      </c>
      <c r="W4387" t="s">
        <v>62</v>
      </c>
    </row>
    <row r="4388" spans="1:42" x14ac:dyDescent="0.35">
      <c r="A4388" t="s">
        <v>45</v>
      </c>
      <c r="B4388" t="s">
        <v>9618</v>
      </c>
      <c r="C4388" t="s">
        <v>47</v>
      </c>
      <c r="D4388" t="s">
        <v>3899</v>
      </c>
      <c r="E4388" t="s">
        <v>3899</v>
      </c>
      <c r="F4388" t="s">
        <v>49</v>
      </c>
      <c r="G4388" t="s">
        <v>4056</v>
      </c>
      <c r="H4388" t="s">
        <v>9856</v>
      </c>
      <c r="J4388" t="str">
        <f>HYPERLINK("https://www.facebook.com/454965103328545/posts/763233329168386?comment_id=945790020404192","https://www.facebook.com/454965103328545/posts/763233329168386?comment_id=945790020404192")</f>
        <v>https://www.facebook.com/454965103328545/posts/763233329168386?comment_id=945790020404192</v>
      </c>
      <c r="O4388">
        <v>0</v>
      </c>
      <c r="P4388">
        <v>0</v>
      </c>
      <c r="Q4388">
        <v>0</v>
      </c>
      <c r="S4388">
        <v>0</v>
      </c>
      <c r="T4388">
        <v>0</v>
      </c>
      <c r="U4388">
        <v>0</v>
      </c>
      <c r="W4388" t="s">
        <v>62</v>
      </c>
    </row>
    <row r="4389" spans="1:42" x14ac:dyDescent="0.35">
      <c r="A4389" t="s">
        <v>45</v>
      </c>
      <c r="B4389" t="s">
        <v>9618</v>
      </c>
      <c r="C4389" t="s">
        <v>47</v>
      </c>
      <c r="D4389" t="s">
        <v>9857</v>
      </c>
      <c r="E4389" t="s">
        <v>9857</v>
      </c>
      <c r="F4389" t="s">
        <v>49</v>
      </c>
      <c r="G4389" t="s">
        <v>9858</v>
      </c>
      <c r="H4389" t="s">
        <v>9859</v>
      </c>
      <c r="J4389" t="str">
        <f>HYPERLINK("https://www.facebook.com/454965103328545/posts/763233329168386?comment_id=2064976453835150","https://www.facebook.com/454965103328545/posts/763233329168386?comment_id=2064976453835150")</f>
        <v>https://www.facebook.com/454965103328545/posts/763233329168386?comment_id=2064976453835150</v>
      </c>
      <c r="O4389">
        <v>0</v>
      </c>
      <c r="P4389">
        <v>0</v>
      </c>
      <c r="Q4389">
        <v>0</v>
      </c>
      <c r="S4389">
        <v>0</v>
      </c>
      <c r="T4389">
        <v>0</v>
      </c>
      <c r="U4389">
        <v>0</v>
      </c>
      <c r="W4389" t="s">
        <v>62</v>
      </c>
    </row>
    <row r="4390" spans="1:42" x14ac:dyDescent="0.35">
      <c r="A4390" t="s">
        <v>45</v>
      </c>
      <c r="B4390" t="s">
        <v>9618</v>
      </c>
      <c r="C4390" t="s">
        <v>58</v>
      </c>
      <c r="D4390" t="s">
        <v>9860</v>
      </c>
      <c r="E4390" t="s">
        <v>9860</v>
      </c>
      <c r="F4390" t="s">
        <v>49</v>
      </c>
      <c r="G4390" t="s">
        <v>9861</v>
      </c>
      <c r="H4390" t="s">
        <v>9862</v>
      </c>
      <c r="J4390" t="str">
        <f>HYPERLINK("https://www.youtube.com/watch?v=veFkI4MHb8g","https://www.youtube.com/watch?v=veFkI4MHb8g")</f>
        <v>https://www.youtube.com/watch?v=veFkI4MHb8g</v>
      </c>
      <c r="O4390">
        <v>0</v>
      </c>
      <c r="P4390">
        <v>0</v>
      </c>
      <c r="Q4390">
        <v>0</v>
      </c>
      <c r="S4390">
        <v>0</v>
      </c>
      <c r="T4390">
        <v>0</v>
      </c>
      <c r="U4390">
        <v>0</v>
      </c>
      <c r="W4390" t="s">
        <v>106</v>
      </c>
    </row>
    <row r="4391" spans="1:42" x14ac:dyDescent="0.35">
      <c r="A4391" t="s">
        <v>45</v>
      </c>
      <c r="B4391" t="s">
        <v>9618</v>
      </c>
      <c r="C4391" t="s">
        <v>47</v>
      </c>
      <c r="D4391" t="s">
        <v>9863</v>
      </c>
      <c r="E4391" t="s">
        <v>9863</v>
      </c>
      <c r="F4391" t="s">
        <v>49</v>
      </c>
      <c r="G4391" t="s">
        <v>9864</v>
      </c>
      <c r="H4391" t="s">
        <v>9865</v>
      </c>
      <c r="J4391" t="str">
        <f>HYPERLINK("https://www.facebook.com/357267201017935/inbox/6987748621303060/","https://www.facebook.com/357267201017935/inbox/6987748621303060/")</f>
        <v>https://www.facebook.com/357267201017935/inbox/6987748621303060/</v>
      </c>
      <c r="O4391">
        <v>0</v>
      </c>
      <c r="P4391">
        <v>0</v>
      </c>
      <c r="Q4391">
        <v>0</v>
      </c>
      <c r="S4391">
        <v>0</v>
      </c>
      <c r="T4391">
        <v>0</v>
      </c>
      <c r="U4391">
        <v>0</v>
      </c>
      <c r="W4391" t="s">
        <v>52</v>
      </c>
    </row>
    <row r="4392" spans="1:42" x14ac:dyDescent="0.35">
      <c r="A4392" t="s">
        <v>45</v>
      </c>
      <c r="B4392" t="s">
        <v>9618</v>
      </c>
      <c r="C4392" t="s">
        <v>47</v>
      </c>
      <c r="D4392" t="s">
        <v>3954</v>
      </c>
      <c r="E4392" t="s">
        <v>3954</v>
      </c>
      <c r="F4392" t="s">
        <v>49</v>
      </c>
      <c r="G4392" t="s">
        <v>761</v>
      </c>
      <c r="H4392" t="s">
        <v>9866</v>
      </c>
      <c r="J4392" t="str">
        <f>HYPERLINK("https://www.facebook.com/454965103328545/posts/763307319160987?comment_id=1127142691614435","https://www.facebook.com/454965103328545/posts/763307319160987?comment_id=1127142691614435")</f>
        <v>https://www.facebook.com/454965103328545/posts/763307319160987?comment_id=1127142691614435</v>
      </c>
      <c r="O4392">
        <v>0</v>
      </c>
      <c r="P4392">
        <v>0</v>
      </c>
      <c r="Q4392">
        <v>0</v>
      </c>
      <c r="S4392">
        <v>0</v>
      </c>
      <c r="T4392">
        <v>0</v>
      </c>
      <c r="U4392">
        <v>0</v>
      </c>
      <c r="W4392" t="s">
        <v>62</v>
      </c>
    </row>
    <row r="4393" spans="1:42" x14ac:dyDescent="0.35">
      <c r="A4393" t="s">
        <v>45</v>
      </c>
      <c r="B4393" t="s">
        <v>9618</v>
      </c>
      <c r="C4393" t="s">
        <v>47</v>
      </c>
      <c r="D4393" t="s">
        <v>8096</v>
      </c>
      <c r="E4393" t="s">
        <v>8096</v>
      </c>
      <c r="F4393" t="s">
        <v>49</v>
      </c>
      <c r="G4393" t="s">
        <v>9867</v>
      </c>
      <c r="H4393" t="s">
        <v>9868</v>
      </c>
      <c r="J4393" t="str">
        <f>HYPERLINK("https://www.facebook.com/357267201017935/inbox/6933954390015817/","https://www.facebook.com/357267201017935/inbox/6933954390015817/")</f>
        <v>https://www.facebook.com/357267201017935/inbox/6933954390015817/</v>
      </c>
      <c r="O4393">
        <v>0</v>
      </c>
      <c r="P4393">
        <v>0</v>
      </c>
      <c r="Q4393">
        <v>0</v>
      </c>
      <c r="S4393">
        <v>0</v>
      </c>
      <c r="T4393">
        <v>0</v>
      </c>
      <c r="U4393">
        <v>0</v>
      </c>
      <c r="W4393" t="s">
        <v>52</v>
      </c>
    </row>
    <row r="4394" spans="1:42" x14ac:dyDescent="0.35">
      <c r="A4394" t="s">
        <v>45</v>
      </c>
      <c r="B4394" t="s">
        <v>9618</v>
      </c>
      <c r="C4394" t="s">
        <v>47</v>
      </c>
      <c r="D4394" t="s">
        <v>8096</v>
      </c>
      <c r="E4394" t="s">
        <v>8096</v>
      </c>
      <c r="F4394" t="s">
        <v>49</v>
      </c>
      <c r="G4394" t="s">
        <v>9869</v>
      </c>
      <c r="H4394" t="s">
        <v>9870</v>
      </c>
      <c r="J4394" t="str">
        <f>HYPERLINK("https://www.facebook.com/357267201017935/inbox/6933954390015817/","https://www.facebook.com/357267201017935/inbox/6933954390015817/")</f>
        <v>https://www.facebook.com/357267201017935/inbox/6933954390015817/</v>
      </c>
      <c r="O4394">
        <v>0</v>
      </c>
      <c r="P4394">
        <v>0</v>
      </c>
      <c r="Q4394">
        <v>0</v>
      </c>
      <c r="S4394">
        <v>0</v>
      </c>
      <c r="T4394">
        <v>0</v>
      </c>
      <c r="U4394">
        <v>0</v>
      </c>
      <c r="W4394" t="s">
        <v>52</v>
      </c>
    </row>
    <row r="4395" spans="1:42" x14ac:dyDescent="0.35">
      <c r="A4395" t="s">
        <v>45</v>
      </c>
      <c r="B4395" t="s">
        <v>9618</v>
      </c>
      <c r="C4395" t="s">
        <v>47</v>
      </c>
      <c r="D4395" t="s">
        <v>9871</v>
      </c>
      <c r="E4395" t="s">
        <v>9871</v>
      </c>
      <c r="F4395" t="s">
        <v>49</v>
      </c>
      <c r="G4395" t="s">
        <v>9872</v>
      </c>
      <c r="H4395" t="s">
        <v>9873</v>
      </c>
      <c r="J4395" t="str">
        <f>HYPERLINK("https://www.facebook.com/357267201017935/inbox/6987518267992762/","https://www.facebook.com/357267201017935/inbox/6987518267992762/")</f>
        <v>https://www.facebook.com/357267201017935/inbox/6987518267992762/</v>
      </c>
      <c r="O4395">
        <v>0</v>
      </c>
      <c r="P4395">
        <v>0</v>
      </c>
      <c r="Q4395">
        <v>0</v>
      </c>
      <c r="S4395">
        <v>0</v>
      </c>
      <c r="T4395">
        <v>0</v>
      </c>
      <c r="U4395">
        <v>0</v>
      </c>
      <c r="W4395" t="s">
        <v>52</v>
      </c>
    </row>
    <row r="4396" spans="1:42" x14ac:dyDescent="0.35">
      <c r="A4396" t="s">
        <v>45</v>
      </c>
      <c r="B4396" t="s">
        <v>9618</v>
      </c>
      <c r="C4396" t="s">
        <v>47</v>
      </c>
      <c r="D4396" t="s">
        <v>9874</v>
      </c>
      <c r="E4396" t="s">
        <v>9874</v>
      </c>
      <c r="F4396" t="s">
        <v>49</v>
      </c>
      <c r="G4396" t="s">
        <v>9875</v>
      </c>
      <c r="H4396" t="s">
        <v>9876</v>
      </c>
      <c r="J4396" t="str">
        <f>HYPERLINK("https://www.facebook.com/454965103328545/posts/755378119953907?comment_id=362962849930866","https://www.facebook.com/454965103328545/posts/755378119953907?comment_id=362962849930866")</f>
        <v>https://www.facebook.com/454965103328545/posts/755378119953907?comment_id=362962849930866</v>
      </c>
      <c r="O4396">
        <v>0</v>
      </c>
      <c r="P4396">
        <v>0</v>
      </c>
      <c r="Q4396">
        <v>0</v>
      </c>
      <c r="S4396">
        <v>0</v>
      </c>
      <c r="T4396">
        <v>0</v>
      </c>
      <c r="U4396">
        <v>0</v>
      </c>
      <c r="W4396" t="s">
        <v>62</v>
      </c>
    </row>
    <row r="4397" spans="1:42" x14ac:dyDescent="0.35">
      <c r="A4397" t="s">
        <v>45</v>
      </c>
      <c r="B4397" t="s">
        <v>9618</v>
      </c>
      <c r="C4397" t="s">
        <v>47</v>
      </c>
      <c r="D4397" t="s">
        <v>1954</v>
      </c>
      <c r="E4397" t="s">
        <v>1954</v>
      </c>
      <c r="F4397" t="s">
        <v>142</v>
      </c>
      <c r="G4397" t="s">
        <v>9877</v>
      </c>
      <c r="H4397" t="s">
        <v>9878</v>
      </c>
      <c r="J4397" t="str">
        <f>HYPERLINK("https://www.facebook.com/454965103328545/posts/763285952496457?comment_id=1061582238500391","https://www.facebook.com/454965103328545/posts/763285952496457?comment_id=1061582238500391")</f>
        <v>https://www.facebook.com/454965103328545/posts/763285952496457?comment_id=1061582238500391</v>
      </c>
      <c r="O4397">
        <v>0</v>
      </c>
      <c r="P4397">
        <v>0</v>
      </c>
      <c r="Q4397">
        <v>0</v>
      </c>
      <c r="S4397">
        <v>0</v>
      </c>
      <c r="T4397">
        <v>0</v>
      </c>
      <c r="U4397">
        <v>0</v>
      </c>
      <c r="W4397" t="s">
        <v>62</v>
      </c>
      <c r="AP4397" t="s">
        <v>101</v>
      </c>
    </row>
    <row r="4398" spans="1:42" x14ac:dyDescent="0.35">
      <c r="A4398" t="s">
        <v>45</v>
      </c>
      <c r="B4398" t="s">
        <v>9618</v>
      </c>
      <c r="C4398" t="s">
        <v>47</v>
      </c>
      <c r="D4398" t="s">
        <v>1954</v>
      </c>
      <c r="E4398" t="s">
        <v>1954</v>
      </c>
      <c r="F4398" t="s">
        <v>142</v>
      </c>
      <c r="G4398" t="s">
        <v>9879</v>
      </c>
      <c r="H4398" t="s">
        <v>9880</v>
      </c>
      <c r="J4398" t="str">
        <f>HYPERLINK("https://www.facebook.com/454965103328545/posts/760895469402172?comment_id=7421880771204890","https://www.facebook.com/454965103328545/posts/760895469402172?comment_id=7421880771204890")</f>
        <v>https://www.facebook.com/454965103328545/posts/760895469402172?comment_id=7421880771204890</v>
      </c>
      <c r="O4398">
        <v>0</v>
      </c>
      <c r="P4398">
        <v>0</v>
      </c>
      <c r="Q4398">
        <v>0</v>
      </c>
      <c r="S4398">
        <v>0</v>
      </c>
      <c r="T4398">
        <v>0</v>
      </c>
      <c r="U4398">
        <v>0</v>
      </c>
      <c r="W4398" t="s">
        <v>62</v>
      </c>
      <c r="AP4398" t="s">
        <v>101</v>
      </c>
    </row>
    <row r="4399" spans="1:42" x14ac:dyDescent="0.35">
      <c r="A4399" t="s">
        <v>45</v>
      </c>
      <c r="B4399" t="s">
        <v>9618</v>
      </c>
      <c r="C4399" t="s">
        <v>47</v>
      </c>
      <c r="D4399" t="s">
        <v>9881</v>
      </c>
      <c r="E4399" t="s">
        <v>9881</v>
      </c>
      <c r="F4399" t="s">
        <v>76</v>
      </c>
      <c r="G4399" t="s">
        <v>9882</v>
      </c>
      <c r="H4399" t="s">
        <v>9883</v>
      </c>
      <c r="J4399" t="str">
        <f>HYPERLINK("https://www.facebook.com/454965103328545/posts/763285952496457?comment_id=1527210558038052","https://www.facebook.com/454965103328545/posts/763285952496457?comment_id=1527210558038052")</f>
        <v>https://www.facebook.com/454965103328545/posts/763285952496457?comment_id=1527210558038052</v>
      </c>
      <c r="O4399">
        <v>0</v>
      </c>
      <c r="P4399">
        <v>0</v>
      </c>
      <c r="Q4399">
        <v>0</v>
      </c>
      <c r="S4399">
        <v>0</v>
      </c>
      <c r="T4399">
        <v>0</v>
      </c>
      <c r="U4399">
        <v>0</v>
      </c>
      <c r="W4399" t="s">
        <v>62</v>
      </c>
      <c r="AO4399" t="s">
        <v>119</v>
      </c>
    </row>
    <row r="4400" spans="1:42" x14ac:dyDescent="0.35">
      <c r="A4400" t="s">
        <v>45</v>
      </c>
      <c r="B4400" t="s">
        <v>9618</v>
      </c>
      <c r="C4400" t="s">
        <v>47</v>
      </c>
      <c r="D4400" t="s">
        <v>9874</v>
      </c>
      <c r="E4400" t="s">
        <v>9874</v>
      </c>
      <c r="F4400" t="s">
        <v>49</v>
      </c>
      <c r="G4400" t="s">
        <v>9884</v>
      </c>
      <c r="H4400" t="s">
        <v>9885</v>
      </c>
      <c r="J4400" t="str">
        <f>HYPERLINK("https://www.facebook.com/357267201017935/inbox/6987313534679902/","https://www.facebook.com/357267201017935/inbox/6987313534679902/")</f>
        <v>https://www.facebook.com/357267201017935/inbox/6987313534679902/</v>
      </c>
      <c r="O4400">
        <v>0</v>
      </c>
      <c r="P4400">
        <v>0</v>
      </c>
      <c r="Q4400">
        <v>0</v>
      </c>
      <c r="S4400">
        <v>0</v>
      </c>
      <c r="T4400">
        <v>0</v>
      </c>
      <c r="U4400">
        <v>0</v>
      </c>
      <c r="W4400" t="s">
        <v>52</v>
      </c>
    </row>
    <row r="4401" spans="1:42" x14ac:dyDescent="0.35">
      <c r="A4401" t="s">
        <v>45</v>
      </c>
      <c r="B4401" t="s">
        <v>9618</v>
      </c>
      <c r="C4401" t="s">
        <v>47</v>
      </c>
      <c r="D4401" t="s">
        <v>9874</v>
      </c>
      <c r="E4401" t="s">
        <v>9874</v>
      </c>
      <c r="F4401" t="s">
        <v>76</v>
      </c>
      <c r="G4401" t="s">
        <v>9886</v>
      </c>
      <c r="H4401" t="s">
        <v>9887</v>
      </c>
      <c r="J4401" t="str">
        <f>HYPERLINK("https://www.facebook.com/357267201017935/inbox/6987313534679902/","https://www.facebook.com/357267201017935/inbox/6987313534679902/")</f>
        <v>https://www.facebook.com/357267201017935/inbox/6987313534679902/</v>
      </c>
      <c r="O4401">
        <v>0</v>
      </c>
      <c r="P4401">
        <v>0</v>
      </c>
      <c r="Q4401">
        <v>0</v>
      </c>
      <c r="S4401">
        <v>0</v>
      </c>
      <c r="T4401">
        <v>0</v>
      </c>
      <c r="U4401">
        <v>0</v>
      </c>
      <c r="W4401" t="s">
        <v>52</v>
      </c>
      <c r="AP4401" t="s">
        <v>101</v>
      </c>
    </row>
    <row r="4402" spans="1:42" x14ac:dyDescent="0.35">
      <c r="A4402" t="s">
        <v>45</v>
      </c>
      <c r="B4402" t="s">
        <v>9618</v>
      </c>
      <c r="C4402" t="s">
        <v>47</v>
      </c>
      <c r="D4402" t="s">
        <v>9888</v>
      </c>
      <c r="E4402" t="s">
        <v>9888</v>
      </c>
      <c r="F4402" t="s">
        <v>49</v>
      </c>
      <c r="G4402" t="s">
        <v>9889</v>
      </c>
      <c r="H4402" t="s">
        <v>9890</v>
      </c>
      <c r="J4402" t="str">
        <f>HYPERLINK("https://www.facebook.com/357267201017935/inbox/6987221814689074/","https://www.facebook.com/357267201017935/inbox/6987221814689074/")</f>
        <v>https://www.facebook.com/357267201017935/inbox/6987221814689074/</v>
      </c>
      <c r="O4402">
        <v>0</v>
      </c>
      <c r="P4402">
        <v>0</v>
      </c>
      <c r="Q4402">
        <v>0</v>
      </c>
      <c r="S4402">
        <v>0</v>
      </c>
      <c r="T4402">
        <v>0</v>
      </c>
      <c r="U4402">
        <v>0</v>
      </c>
      <c r="W4402" t="s">
        <v>52</v>
      </c>
      <c r="AO4402" t="s">
        <v>119</v>
      </c>
    </row>
    <row r="4403" spans="1:42" x14ac:dyDescent="0.35">
      <c r="A4403" t="s">
        <v>45</v>
      </c>
      <c r="B4403" t="s">
        <v>9618</v>
      </c>
      <c r="C4403" t="s">
        <v>47</v>
      </c>
      <c r="F4403" t="s">
        <v>76</v>
      </c>
      <c r="G4403" t="s">
        <v>9891</v>
      </c>
      <c r="H4403" t="s">
        <v>9892</v>
      </c>
      <c r="J4403" t="str">
        <f>HYPERLINK("https://www.facebook.com/6820763411346178_10233128171816963","https://www.facebook.com/6820763411346178_10233128171816963")</f>
        <v>https://www.facebook.com/6820763411346178_10233128171816963</v>
      </c>
      <c r="O4403">
        <v>0</v>
      </c>
      <c r="P4403">
        <v>0</v>
      </c>
      <c r="Q4403">
        <v>0</v>
      </c>
      <c r="S4403">
        <v>0</v>
      </c>
      <c r="T4403">
        <v>0</v>
      </c>
      <c r="U4403">
        <v>0</v>
      </c>
      <c r="W4403" t="s">
        <v>106</v>
      </c>
    </row>
    <row r="4404" spans="1:42" x14ac:dyDescent="0.35">
      <c r="A4404" t="s">
        <v>45</v>
      </c>
      <c r="B4404" t="s">
        <v>9618</v>
      </c>
      <c r="C4404" t="s">
        <v>102</v>
      </c>
      <c r="D4404" t="s">
        <v>965</v>
      </c>
      <c r="E4404" t="s">
        <v>965</v>
      </c>
      <c r="F4404" t="s">
        <v>49</v>
      </c>
      <c r="G4404" t="s">
        <v>9893</v>
      </c>
      <c r="H4404" t="s">
        <v>9894</v>
      </c>
      <c r="J4404" t="str">
        <f>HYPERLINK("https://www.linkedin.com/feed/update/urn:li:share:7158706922634829824","https://www.linkedin.com/feed/update/urn:li:share:7158706922634829824")</f>
        <v>https://www.linkedin.com/feed/update/urn:li:share:7158706922634829824</v>
      </c>
      <c r="O4404">
        <v>0</v>
      </c>
      <c r="P4404">
        <v>0</v>
      </c>
      <c r="Q4404">
        <v>0</v>
      </c>
      <c r="S4404">
        <v>1</v>
      </c>
      <c r="T4404">
        <v>73</v>
      </c>
      <c r="U4404">
        <v>0</v>
      </c>
      <c r="W4404" t="s">
        <v>106</v>
      </c>
    </row>
    <row r="4405" spans="1:42" x14ac:dyDescent="0.35">
      <c r="A4405" t="s">
        <v>45</v>
      </c>
      <c r="B4405" t="s">
        <v>9618</v>
      </c>
      <c r="C4405" t="s">
        <v>47</v>
      </c>
      <c r="D4405" t="s">
        <v>9895</v>
      </c>
      <c r="E4405" t="s">
        <v>9895</v>
      </c>
      <c r="F4405" t="s">
        <v>49</v>
      </c>
      <c r="G4405" t="s">
        <v>9896</v>
      </c>
      <c r="H4405" t="s">
        <v>9897</v>
      </c>
      <c r="J4405" t="str">
        <f>HYPERLINK("https://www.facebook.com/357267201017935/posts/5098567173554557/?comment_id=1550884232402288","https://www.facebook.com/357267201017935/posts/5098567173554557/?comment_id=1550884232402288")</f>
        <v>https://www.facebook.com/357267201017935/posts/5098567173554557/?comment_id=1550884232402288</v>
      </c>
      <c r="O4405">
        <v>0</v>
      </c>
      <c r="P4405">
        <v>0</v>
      </c>
      <c r="Q4405">
        <v>0</v>
      </c>
      <c r="S4405">
        <v>0</v>
      </c>
      <c r="T4405">
        <v>0</v>
      </c>
      <c r="U4405">
        <v>0</v>
      </c>
      <c r="W4405" t="s">
        <v>62</v>
      </c>
    </row>
    <row r="4406" spans="1:42" x14ac:dyDescent="0.35">
      <c r="A4406" t="s">
        <v>45</v>
      </c>
      <c r="B4406" t="s">
        <v>9618</v>
      </c>
      <c r="C4406" t="s">
        <v>58</v>
      </c>
      <c r="D4406" t="s">
        <v>6931</v>
      </c>
      <c r="E4406" t="s">
        <v>6931</v>
      </c>
      <c r="F4406" t="s">
        <v>49</v>
      </c>
      <c r="G4406" t="s">
        <v>9898</v>
      </c>
      <c r="H4406" t="s">
        <v>9899</v>
      </c>
      <c r="J4406" t="str">
        <f>HYPERLINK("https://www.youtube.com/watch?v=RWci6gihtGg","https://www.youtube.com/watch?v=RWci6gihtGg")</f>
        <v>https://www.youtube.com/watch?v=RWci6gihtGg</v>
      </c>
      <c r="O4406">
        <v>0</v>
      </c>
      <c r="P4406">
        <v>0</v>
      </c>
      <c r="Q4406">
        <v>0</v>
      </c>
      <c r="S4406">
        <v>0</v>
      </c>
      <c r="T4406">
        <v>0</v>
      </c>
      <c r="U4406">
        <v>0</v>
      </c>
      <c r="W4406" t="s">
        <v>106</v>
      </c>
    </row>
    <row r="4407" spans="1:42" x14ac:dyDescent="0.35">
      <c r="A4407" t="s">
        <v>45</v>
      </c>
      <c r="B4407" t="s">
        <v>9618</v>
      </c>
      <c r="C4407" t="s">
        <v>47</v>
      </c>
      <c r="D4407" t="s">
        <v>9900</v>
      </c>
      <c r="E4407" t="s">
        <v>9900</v>
      </c>
      <c r="F4407" t="s">
        <v>49</v>
      </c>
      <c r="H4407" t="s">
        <v>9901</v>
      </c>
      <c r="J4407" t="str">
        <f>HYPERLINK("https://www.facebook.com/454965103328545/posts/763233329168386?comment_id=947215436748913","https://www.facebook.com/454965103328545/posts/763233329168386?comment_id=947215436748913")</f>
        <v>https://www.facebook.com/454965103328545/posts/763233329168386?comment_id=947215436748913</v>
      </c>
      <c r="O4407">
        <v>0</v>
      </c>
      <c r="P4407">
        <v>0</v>
      </c>
      <c r="Q4407">
        <v>0</v>
      </c>
      <c r="S4407">
        <v>0</v>
      </c>
      <c r="T4407">
        <v>0</v>
      </c>
      <c r="U4407">
        <v>0</v>
      </c>
      <c r="W4407" t="s">
        <v>62</v>
      </c>
    </row>
    <row r="4408" spans="1:42" x14ac:dyDescent="0.35">
      <c r="A4408" t="s">
        <v>45</v>
      </c>
      <c r="B4408" t="s">
        <v>9618</v>
      </c>
      <c r="C4408" t="s">
        <v>47</v>
      </c>
      <c r="D4408" t="s">
        <v>9900</v>
      </c>
      <c r="E4408" t="s">
        <v>9900</v>
      </c>
      <c r="F4408" t="s">
        <v>49</v>
      </c>
      <c r="H4408" t="s">
        <v>9902</v>
      </c>
      <c r="J4408" t="str">
        <f>HYPERLINK("https://www.facebook.com/454965103328545/posts/763285952496457?comment_id=769999331128829","https://www.facebook.com/454965103328545/posts/763285952496457?comment_id=769999331128829")</f>
        <v>https://www.facebook.com/454965103328545/posts/763285952496457?comment_id=769999331128829</v>
      </c>
      <c r="O4408">
        <v>0</v>
      </c>
      <c r="P4408">
        <v>0</v>
      </c>
      <c r="Q4408">
        <v>0</v>
      </c>
      <c r="S4408">
        <v>0</v>
      </c>
      <c r="T4408">
        <v>0</v>
      </c>
      <c r="U4408">
        <v>0</v>
      </c>
      <c r="W4408" t="s">
        <v>62</v>
      </c>
    </row>
    <row r="4409" spans="1:42" x14ac:dyDescent="0.35">
      <c r="A4409" t="s">
        <v>45</v>
      </c>
      <c r="B4409" t="s">
        <v>9618</v>
      </c>
      <c r="C4409" t="s">
        <v>47</v>
      </c>
      <c r="D4409" t="s">
        <v>9900</v>
      </c>
      <c r="E4409" t="s">
        <v>9900</v>
      </c>
      <c r="F4409" t="s">
        <v>49</v>
      </c>
      <c r="H4409" t="s">
        <v>9903</v>
      </c>
      <c r="J4409" t="str">
        <f>HYPERLINK("https://www.facebook.com/357267201017935/posts/5084156188328989/?comment_id=1062199485085893","https://www.facebook.com/357267201017935/posts/5084156188328989/?comment_id=1062199485085893")</f>
        <v>https://www.facebook.com/357267201017935/posts/5084156188328989/?comment_id=1062199485085893</v>
      </c>
      <c r="O4409">
        <v>0</v>
      </c>
      <c r="P4409">
        <v>0</v>
      </c>
      <c r="Q4409">
        <v>0</v>
      </c>
      <c r="S4409">
        <v>0</v>
      </c>
      <c r="T4409">
        <v>0</v>
      </c>
      <c r="U4409">
        <v>0</v>
      </c>
      <c r="W4409" t="s">
        <v>62</v>
      </c>
    </row>
    <row r="4410" spans="1:42" x14ac:dyDescent="0.35">
      <c r="A4410" t="s">
        <v>45</v>
      </c>
      <c r="B4410" t="s">
        <v>9618</v>
      </c>
      <c r="C4410" t="s">
        <v>139</v>
      </c>
      <c r="D4410" t="s">
        <v>2762</v>
      </c>
      <c r="E4410" t="s">
        <v>2763</v>
      </c>
      <c r="F4410" t="s">
        <v>49</v>
      </c>
      <c r="G4410" t="s">
        <v>9904</v>
      </c>
      <c r="H4410" t="s">
        <v>9905</v>
      </c>
      <c r="J4410" t="str">
        <f>HYPERLINK("https://twitter.com/equitybulls/status/1752930749617950825","https://twitter.com/equitybulls/status/1752930749617950825")</f>
        <v>https://twitter.com/equitybulls/status/1752930749617950825</v>
      </c>
      <c r="O4410">
        <v>0</v>
      </c>
      <c r="P4410">
        <v>0</v>
      </c>
      <c r="Q4410">
        <v>30800</v>
      </c>
      <c r="R4410" t="s">
        <v>2766</v>
      </c>
      <c r="S4410">
        <v>0</v>
      </c>
      <c r="T4410">
        <v>0</v>
      </c>
      <c r="U4410">
        <v>0</v>
      </c>
      <c r="W4410" t="s">
        <v>146</v>
      </c>
    </row>
    <row r="4411" spans="1:42" x14ac:dyDescent="0.35">
      <c r="A4411" t="s">
        <v>45</v>
      </c>
      <c r="B4411" t="s">
        <v>9618</v>
      </c>
      <c r="C4411" t="s">
        <v>47</v>
      </c>
      <c r="D4411" t="s">
        <v>7720</v>
      </c>
      <c r="E4411" t="s">
        <v>7720</v>
      </c>
      <c r="F4411" t="s">
        <v>49</v>
      </c>
      <c r="G4411" t="s">
        <v>9906</v>
      </c>
      <c r="H4411" t="s">
        <v>9907</v>
      </c>
      <c r="J4411" t="str">
        <f>HYPERLINK("https://www.facebook.com/454965103328545/posts/763233329168386?comment_id=321756710436849","https://www.facebook.com/454965103328545/posts/763233329168386?comment_id=321756710436849")</f>
        <v>https://www.facebook.com/454965103328545/posts/763233329168386?comment_id=321756710436849</v>
      </c>
      <c r="O4411">
        <v>0</v>
      </c>
      <c r="P4411">
        <v>0</v>
      </c>
      <c r="Q4411">
        <v>0</v>
      </c>
      <c r="S4411">
        <v>0</v>
      </c>
      <c r="T4411">
        <v>0</v>
      </c>
      <c r="U4411">
        <v>0</v>
      </c>
      <c r="W4411" t="s">
        <v>62</v>
      </c>
    </row>
    <row r="4412" spans="1:42" x14ac:dyDescent="0.35">
      <c r="A4412" t="s">
        <v>45</v>
      </c>
      <c r="B4412" t="s">
        <v>9618</v>
      </c>
      <c r="C4412" t="s">
        <v>47</v>
      </c>
      <c r="D4412" t="s">
        <v>7720</v>
      </c>
      <c r="E4412" t="s">
        <v>7720</v>
      </c>
      <c r="F4412" t="s">
        <v>49</v>
      </c>
      <c r="G4412" t="s">
        <v>9908</v>
      </c>
      <c r="H4412" t="s">
        <v>9909</v>
      </c>
      <c r="J4412" t="str">
        <f>HYPERLINK("https://www.facebook.com/454965103328545/posts/763285952496457?comment_id=1357558611586391","https://www.facebook.com/454965103328545/posts/763285952496457?comment_id=1357558611586391")</f>
        <v>https://www.facebook.com/454965103328545/posts/763285952496457?comment_id=1357558611586391</v>
      </c>
      <c r="O4412">
        <v>0</v>
      </c>
      <c r="P4412">
        <v>0</v>
      </c>
      <c r="Q4412">
        <v>0</v>
      </c>
      <c r="S4412">
        <v>0</v>
      </c>
      <c r="T4412">
        <v>0</v>
      </c>
      <c r="U4412">
        <v>0</v>
      </c>
      <c r="W4412" t="s">
        <v>62</v>
      </c>
    </row>
    <row r="4413" spans="1:42" x14ac:dyDescent="0.35">
      <c r="A4413" t="s">
        <v>45</v>
      </c>
      <c r="B4413" t="s">
        <v>9618</v>
      </c>
      <c r="C4413" t="s">
        <v>47</v>
      </c>
      <c r="D4413" t="s">
        <v>45</v>
      </c>
      <c r="E4413" t="s">
        <v>45</v>
      </c>
      <c r="F4413" t="s">
        <v>49</v>
      </c>
      <c r="G4413" t="s">
        <v>9910</v>
      </c>
      <c r="H4413" t="s">
        <v>9911</v>
      </c>
      <c r="J4413" t="str">
        <f>HYPERLINK("https://www.facebook.com/454965103328545/posts/763233329168386?comment_id=2496086463911578&amp;reply_comment_id=1640122933485675","https://www.facebook.com/454965103328545/posts/763233329168386?comment_id=2496086463911578&amp;reply_comment_id=1640122933485675")</f>
        <v>https://www.facebook.com/454965103328545/posts/763233329168386?comment_id=2496086463911578&amp;reply_comment_id=1640122933485675</v>
      </c>
      <c r="O4413">
        <v>0</v>
      </c>
      <c r="P4413">
        <v>0</v>
      </c>
      <c r="Q4413">
        <v>0</v>
      </c>
      <c r="S4413">
        <v>0</v>
      </c>
      <c r="T4413">
        <v>0</v>
      </c>
      <c r="U4413">
        <v>0</v>
      </c>
      <c r="W4413" t="s">
        <v>62</v>
      </c>
    </row>
    <row r="4414" spans="1:42" x14ac:dyDescent="0.35">
      <c r="A4414" t="s">
        <v>45</v>
      </c>
      <c r="B4414" t="s">
        <v>9618</v>
      </c>
      <c r="C4414" t="s">
        <v>58</v>
      </c>
      <c r="D4414" t="s">
        <v>9912</v>
      </c>
      <c r="E4414" t="s">
        <v>9912</v>
      </c>
      <c r="F4414" t="s">
        <v>49</v>
      </c>
      <c r="G4414" t="s">
        <v>9913</v>
      </c>
      <c r="H4414" t="s">
        <v>9914</v>
      </c>
      <c r="J4414" t="str">
        <f>HYPERLINK("https://www.youtube.com/watch?v=Eyc5UYWxFrU","https://www.youtube.com/watch?v=Eyc5UYWxFrU")</f>
        <v>https://www.youtube.com/watch?v=Eyc5UYWxFrU</v>
      </c>
      <c r="O4414">
        <v>0</v>
      </c>
      <c r="P4414">
        <v>0</v>
      </c>
      <c r="Q4414">
        <v>0</v>
      </c>
      <c r="S4414">
        <v>0</v>
      </c>
      <c r="T4414">
        <v>0</v>
      </c>
      <c r="U4414">
        <v>0</v>
      </c>
      <c r="W4414" t="s">
        <v>106</v>
      </c>
    </row>
    <row r="4415" spans="1:42" x14ac:dyDescent="0.35">
      <c r="A4415" t="s">
        <v>45</v>
      </c>
      <c r="B4415" t="s">
        <v>9618</v>
      </c>
      <c r="C4415" t="s">
        <v>58</v>
      </c>
      <c r="D4415" t="s">
        <v>1709</v>
      </c>
      <c r="E4415" t="s">
        <v>1709</v>
      </c>
      <c r="F4415" t="s">
        <v>49</v>
      </c>
      <c r="G4415" t="s">
        <v>9915</v>
      </c>
      <c r="H4415" t="s">
        <v>9916</v>
      </c>
      <c r="J4415" t="str">
        <f>HYPERLINK("https://www.youtube.com/watch?v=OpDOr_bWvGA","https://www.youtube.com/watch?v=OpDOr_bWvGA")</f>
        <v>https://www.youtube.com/watch?v=OpDOr_bWvGA</v>
      </c>
      <c r="O4415">
        <v>0</v>
      </c>
      <c r="P4415">
        <v>0</v>
      </c>
      <c r="Q4415">
        <v>0</v>
      </c>
      <c r="S4415">
        <v>0</v>
      </c>
      <c r="T4415">
        <v>0</v>
      </c>
      <c r="U4415">
        <v>0</v>
      </c>
      <c r="W4415" t="s">
        <v>106</v>
      </c>
    </row>
    <row r="4416" spans="1:42" x14ac:dyDescent="0.35">
      <c r="A4416" t="s">
        <v>45</v>
      </c>
      <c r="B4416" t="s">
        <v>9618</v>
      </c>
      <c r="C4416" t="s">
        <v>47</v>
      </c>
      <c r="D4416" t="s">
        <v>9917</v>
      </c>
      <c r="E4416" t="s">
        <v>9917</v>
      </c>
      <c r="F4416" t="s">
        <v>49</v>
      </c>
      <c r="G4416" t="s">
        <v>9918</v>
      </c>
      <c r="H4416" t="s">
        <v>9919</v>
      </c>
      <c r="J4416" t="str">
        <f>HYPERLINK("https://www.facebook.com/357267201017935/inbox/6986890834722172/","https://www.facebook.com/357267201017935/inbox/6986890834722172/")</f>
        <v>https://www.facebook.com/357267201017935/inbox/6986890834722172/</v>
      </c>
      <c r="O4416">
        <v>0</v>
      </c>
      <c r="P4416">
        <v>0</v>
      </c>
      <c r="Q4416">
        <v>0</v>
      </c>
      <c r="S4416">
        <v>0</v>
      </c>
      <c r="T4416">
        <v>0</v>
      </c>
      <c r="U4416">
        <v>0</v>
      </c>
      <c r="W4416" t="s">
        <v>52</v>
      </c>
    </row>
    <row r="4417" spans="1:42" x14ac:dyDescent="0.35">
      <c r="A4417" t="s">
        <v>45</v>
      </c>
      <c r="B4417" t="s">
        <v>9618</v>
      </c>
      <c r="C4417" t="s">
        <v>47</v>
      </c>
      <c r="D4417" t="s">
        <v>9917</v>
      </c>
      <c r="E4417" t="s">
        <v>9917</v>
      </c>
      <c r="F4417" t="s">
        <v>49</v>
      </c>
      <c r="G4417" t="s">
        <v>9920</v>
      </c>
      <c r="H4417" t="s">
        <v>9921</v>
      </c>
      <c r="J4417" t="str">
        <f>HYPERLINK("https://www.facebook.com/357267201017935/inbox/6986890834722172/","https://www.facebook.com/357267201017935/inbox/6986890834722172/")</f>
        <v>https://www.facebook.com/357267201017935/inbox/6986890834722172/</v>
      </c>
      <c r="O4417">
        <v>0</v>
      </c>
      <c r="P4417">
        <v>0</v>
      </c>
      <c r="Q4417">
        <v>0</v>
      </c>
      <c r="S4417">
        <v>0</v>
      </c>
      <c r="T4417">
        <v>0</v>
      </c>
      <c r="U4417">
        <v>0</v>
      </c>
      <c r="W4417" t="s">
        <v>52</v>
      </c>
    </row>
    <row r="4418" spans="1:42" x14ac:dyDescent="0.35">
      <c r="A4418" t="s">
        <v>45</v>
      </c>
      <c r="B4418" t="s">
        <v>9618</v>
      </c>
      <c r="C4418" t="s">
        <v>47</v>
      </c>
      <c r="D4418" t="s">
        <v>9917</v>
      </c>
      <c r="E4418" t="s">
        <v>9917</v>
      </c>
      <c r="F4418" t="s">
        <v>49</v>
      </c>
      <c r="G4418" t="s">
        <v>9922</v>
      </c>
      <c r="H4418" t="s">
        <v>9923</v>
      </c>
      <c r="J4418" t="str">
        <f>HYPERLINK("https://www.facebook.com/454965103328545/posts/763233329168386?comment_id=758856462964242","https://www.facebook.com/454965103328545/posts/763233329168386?comment_id=758856462964242")</f>
        <v>https://www.facebook.com/454965103328545/posts/763233329168386?comment_id=758856462964242</v>
      </c>
      <c r="O4418">
        <v>0</v>
      </c>
      <c r="P4418">
        <v>0</v>
      </c>
      <c r="Q4418">
        <v>0</v>
      </c>
      <c r="S4418">
        <v>0</v>
      </c>
      <c r="T4418">
        <v>0</v>
      </c>
      <c r="U4418">
        <v>0</v>
      </c>
      <c r="W4418" t="s">
        <v>62</v>
      </c>
    </row>
    <row r="4419" spans="1:42" x14ac:dyDescent="0.35">
      <c r="A4419" t="s">
        <v>45</v>
      </c>
      <c r="B4419" t="s">
        <v>9618</v>
      </c>
      <c r="C4419" t="s">
        <v>47</v>
      </c>
      <c r="D4419" t="s">
        <v>9917</v>
      </c>
      <c r="E4419" t="s">
        <v>9917</v>
      </c>
      <c r="F4419" t="s">
        <v>49</v>
      </c>
      <c r="G4419" t="s">
        <v>959</v>
      </c>
      <c r="H4419" t="s">
        <v>9924</v>
      </c>
      <c r="J4419" t="str">
        <f>HYPERLINK("https://www.facebook.com/454965103328545/posts/763285952496457?comment_id=919019646290478","https://www.facebook.com/454965103328545/posts/763285952496457?comment_id=919019646290478")</f>
        <v>https://www.facebook.com/454965103328545/posts/763285952496457?comment_id=919019646290478</v>
      </c>
      <c r="O4419">
        <v>0</v>
      </c>
      <c r="P4419">
        <v>0</v>
      </c>
      <c r="Q4419">
        <v>0</v>
      </c>
      <c r="S4419">
        <v>0</v>
      </c>
      <c r="T4419">
        <v>0</v>
      </c>
      <c r="U4419">
        <v>0</v>
      </c>
      <c r="W4419" t="s">
        <v>62</v>
      </c>
    </row>
    <row r="4420" spans="1:42" x14ac:dyDescent="0.35">
      <c r="A4420" t="s">
        <v>45</v>
      </c>
      <c r="B4420" t="s">
        <v>9618</v>
      </c>
      <c r="C4420" t="s">
        <v>47</v>
      </c>
      <c r="D4420" t="s">
        <v>9816</v>
      </c>
      <c r="E4420" t="s">
        <v>9816</v>
      </c>
      <c r="F4420" t="s">
        <v>142</v>
      </c>
      <c r="G4420" t="s">
        <v>9925</v>
      </c>
      <c r="H4420" t="s">
        <v>9926</v>
      </c>
      <c r="J4420" t="str">
        <f>HYPERLINK("https://www.facebook.com/454965103328545/posts/763233329168386?comment_id=1519954148843646","https://www.facebook.com/454965103328545/posts/763233329168386?comment_id=1519954148843646")</f>
        <v>https://www.facebook.com/454965103328545/posts/763233329168386?comment_id=1519954148843646</v>
      </c>
      <c r="O4420">
        <v>0</v>
      </c>
      <c r="P4420">
        <v>0</v>
      </c>
      <c r="Q4420">
        <v>0</v>
      </c>
      <c r="S4420">
        <v>0</v>
      </c>
      <c r="T4420">
        <v>0</v>
      </c>
      <c r="U4420">
        <v>0</v>
      </c>
      <c r="W4420" t="s">
        <v>62</v>
      </c>
      <c r="AP4420" t="s">
        <v>147</v>
      </c>
    </row>
    <row r="4421" spans="1:42" x14ac:dyDescent="0.35">
      <c r="A4421" t="s">
        <v>45</v>
      </c>
      <c r="B4421" t="s">
        <v>9618</v>
      </c>
      <c r="C4421" t="s">
        <v>102</v>
      </c>
      <c r="D4421" t="s">
        <v>9630</v>
      </c>
      <c r="E4421" t="s">
        <v>9630</v>
      </c>
      <c r="F4421" t="s">
        <v>49</v>
      </c>
      <c r="G4421" t="s">
        <v>9927</v>
      </c>
      <c r="H4421" t="s">
        <v>9928</v>
      </c>
      <c r="J4421" t="str">
        <f>HYPERLINK("https://www.linkedin.com/feed/update/urn:li:share:7158447824953655296/?commentUrn=urn:li:comment:(urn:li:activity:7158447826098610177,7158670666215391234)","https://www.linkedin.com/feed/update/urn:li:share:7158447824953655296/?commentUrn=urn:li:comment:(urn:li:activity:7158447826098610177,7158670666215391234)")</f>
        <v>https://www.linkedin.com/feed/update/urn:li:share:7158447824953655296/?commentUrn=urn:li:comment:(urn:li:activity:7158447826098610177,7158670666215391234)</v>
      </c>
      <c r="K4421" t="s">
        <v>145</v>
      </c>
      <c r="O4421">
        <v>0</v>
      </c>
      <c r="P4421">
        <v>0</v>
      </c>
      <c r="Q4421">
        <v>0</v>
      </c>
      <c r="S4421">
        <v>0</v>
      </c>
      <c r="T4421">
        <v>0</v>
      </c>
      <c r="U4421">
        <v>0</v>
      </c>
      <c r="W4421" t="s">
        <v>62</v>
      </c>
    </row>
    <row r="4422" spans="1:42" x14ac:dyDescent="0.35">
      <c r="A4422" t="s">
        <v>45</v>
      </c>
      <c r="B4422" t="s">
        <v>9618</v>
      </c>
      <c r="C4422" t="s">
        <v>47</v>
      </c>
      <c r="D4422" t="s">
        <v>7561</v>
      </c>
      <c r="E4422" t="s">
        <v>7561</v>
      </c>
      <c r="F4422" t="s">
        <v>49</v>
      </c>
      <c r="G4422" t="s">
        <v>9929</v>
      </c>
      <c r="H4422" t="s">
        <v>9930</v>
      </c>
      <c r="J4422" t="str">
        <f>HYPERLINK("https://www.facebook.com/357267201017935/inbox/6318087351602527/","https://www.facebook.com/357267201017935/inbox/6318087351602527/")</f>
        <v>https://www.facebook.com/357267201017935/inbox/6318087351602527/</v>
      </c>
      <c r="O4422">
        <v>0</v>
      </c>
      <c r="P4422">
        <v>0</v>
      </c>
      <c r="Q4422">
        <v>0</v>
      </c>
      <c r="S4422">
        <v>0</v>
      </c>
      <c r="T4422">
        <v>0</v>
      </c>
      <c r="U4422">
        <v>0</v>
      </c>
      <c r="W4422" t="s">
        <v>52</v>
      </c>
    </row>
    <row r="4423" spans="1:42" x14ac:dyDescent="0.35">
      <c r="A4423" t="s">
        <v>45</v>
      </c>
      <c r="B4423" t="s">
        <v>9618</v>
      </c>
      <c r="C4423" t="s">
        <v>47</v>
      </c>
      <c r="D4423" t="s">
        <v>9931</v>
      </c>
      <c r="E4423" t="s">
        <v>9931</v>
      </c>
      <c r="F4423" t="s">
        <v>142</v>
      </c>
      <c r="G4423" t="s">
        <v>9932</v>
      </c>
      <c r="H4423" t="s">
        <v>9933</v>
      </c>
      <c r="J4423" t="str">
        <f>HYPERLINK("https://www.facebook.com/454965103328545/videos/829922464069988?comment_id=1065188174688670","https://www.facebook.com/454965103328545/videos/829922464069988?comment_id=1065188174688670")</f>
        <v>https://www.facebook.com/454965103328545/videos/829922464069988?comment_id=1065188174688670</v>
      </c>
      <c r="O4423">
        <v>0</v>
      </c>
      <c r="P4423">
        <v>0</v>
      </c>
      <c r="Q4423">
        <v>0</v>
      </c>
      <c r="S4423">
        <v>0</v>
      </c>
      <c r="T4423">
        <v>0</v>
      </c>
      <c r="U4423">
        <v>0</v>
      </c>
      <c r="W4423" t="s">
        <v>62</v>
      </c>
      <c r="AP4423" t="s">
        <v>147</v>
      </c>
    </row>
    <row r="4424" spans="1:42" x14ac:dyDescent="0.35">
      <c r="A4424" t="s">
        <v>45</v>
      </c>
      <c r="B4424" t="s">
        <v>9618</v>
      </c>
      <c r="C4424" t="s">
        <v>47</v>
      </c>
      <c r="D4424" t="s">
        <v>9931</v>
      </c>
      <c r="E4424" t="s">
        <v>9931</v>
      </c>
      <c r="F4424" t="s">
        <v>49</v>
      </c>
      <c r="G4424" t="s">
        <v>459</v>
      </c>
      <c r="H4424" t="s">
        <v>9934</v>
      </c>
      <c r="J4424" t="str">
        <f>HYPERLINK("https://www.facebook.com/454965103328545/videos/829922464069988?comment_id=867571053638462&amp;reply_comment_id=950454023313186","https://www.facebook.com/454965103328545/videos/829922464069988?comment_id=867571053638462&amp;reply_comment_id=950454023313186")</f>
        <v>https://www.facebook.com/454965103328545/videos/829922464069988?comment_id=867571053638462&amp;reply_comment_id=950454023313186</v>
      </c>
      <c r="O4424">
        <v>0</v>
      </c>
      <c r="P4424">
        <v>0</v>
      </c>
      <c r="Q4424">
        <v>0</v>
      </c>
      <c r="S4424">
        <v>0</v>
      </c>
      <c r="T4424">
        <v>0</v>
      </c>
      <c r="U4424">
        <v>0</v>
      </c>
      <c r="W4424" t="s">
        <v>62</v>
      </c>
    </row>
    <row r="4425" spans="1:42" x14ac:dyDescent="0.35">
      <c r="A4425" t="s">
        <v>45</v>
      </c>
      <c r="B4425" t="s">
        <v>9618</v>
      </c>
      <c r="C4425" t="s">
        <v>47</v>
      </c>
      <c r="D4425" t="s">
        <v>9014</v>
      </c>
      <c r="E4425" t="s">
        <v>9014</v>
      </c>
      <c r="F4425" t="s">
        <v>142</v>
      </c>
      <c r="G4425" t="s">
        <v>9935</v>
      </c>
      <c r="H4425" t="s">
        <v>9936</v>
      </c>
      <c r="J4425" t="str">
        <f>HYPERLINK("https://www.facebook.com/454965103328545/posts/763285952496457?comment_id=766226031506205","https://www.facebook.com/454965103328545/posts/763285952496457?comment_id=766226031506205")</f>
        <v>https://www.facebook.com/454965103328545/posts/763285952496457?comment_id=766226031506205</v>
      </c>
      <c r="O4425">
        <v>0</v>
      </c>
      <c r="P4425">
        <v>0</v>
      </c>
      <c r="Q4425">
        <v>0</v>
      </c>
      <c r="S4425">
        <v>0</v>
      </c>
      <c r="T4425">
        <v>0</v>
      </c>
      <c r="U4425">
        <v>0</v>
      </c>
      <c r="W4425" t="s">
        <v>62</v>
      </c>
      <c r="AP4425" t="s">
        <v>147</v>
      </c>
    </row>
    <row r="4426" spans="1:42" x14ac:dyDescent="0.35">
      <c r="A4426" t="s">
        <v>45</v>
      </c>
      <c r="B4426" t="s">
        <v>9618</v>
      </c>
      <c r="C4426" t="s">
        <v>139</v>
      </c>
      <c r="D4426" t="s">
        <v>9937</v>
      </c>
      <c r="E4426" t="s">
        <v>9938</v>
      </c>
      <c r="F4426" t="s">
        <v>49</v>
      </c>
      <c r="G4426" t="s">
        <v>9939</v>
      </c>
      <c r="H4426" t="s">
        <v>9940</v>
      </c>
      <c r="J4426" t="str">
        <f>HYPERLINK("https://twitter.com/anshusa02502815/status/1752884160698708077","https://twitter.com/anshusa02502815/status/1752884160698708077")</f>
        <v>https://twitter.com/anshusa02502815/status/1752884160698708077</v>
      </c>
      <c r="K4426" t="s">
        <v>1769</v>
      </c>
      <c r="O4426">
        <v>0</v>
      </c>
      <c r="P4426">
        <v>0</v>
      </c>
      <c r="Q4426">
        <v>30</v>
      </c>
      <c r="S4426">
        <v>0</v>
      </c>
      <c r="T4426">
        <v>0</v>
      </c>
      <c r="U4426">
        <v>0</v>
      </c>
      <c r="W4426" t="s">
        <v>552</v>
      </c>
    </row>
    <row r="4427" spans="1:42" x14ac:dyDescent="0.35">
      <c r="A4427" t="s">
        <v>45</v>
      </c>
      <c r="B4427" t="s">
        <v>9618</v>
      </c>
      <c r="C4427" t="s">
        <v>47</v>
      </c>
      <c r="D4427" t="s">
        <v>3899</v>
      </c>
      <c r="E4427" t="s">
        <v>3899</v>
      </c>
      <c r="F4427" t="s">
        <v>49</v>
      </c>
      <c r="G4427" t="s">
        <v>4056</v>
      </c>
      <c r="H4427" t="s">
        <v>9941</v>
      </c>
      <c r="J4427" t="str">
        <f>HYPERLINK("https://www.facebook.com/454965103328545/posts/763233329168386?comment_id=727774699447731","https://www.facebook.com/454965103328545/posts/763233329168386?comment_id=727774699447731")</f>
        <v>https://www.facebook.com/454965103328545/posts/763233329168386?comment_id=727774699447731</v>
      </c>
      <c r="O4427">
        <v>0</v>
      </c>
      <c r="P4427">
        <v>0</v>
      </c>
      <c r="Q4427">
        <v>0</v>
      </c>
      <c r="S4427">
        <v>0</v>
      </c>
      <c r="T4427">
        <v>0</v>
      </c>
      <c r="U4427">
        <v>0</v>
      </c>
      <c r="W4427" t="s">
        <v>62</v>
      </c>
    </row>
    <row r="4428" spans="1:42" x14ac:dyDescent="0.35">
      <c r="A4428" t="s">
        <v>45</v>
      </c>
      <c r="B4428" t="s">
        <v>9618</v>
      </c>
      <c r="C4428" t="s">
        <v>47</v>
      </c>
      <c r="D4428" t="s">
        <v>7732</v>
      </c>
      <c r="E4428" t="s">
        <v>7732</v>
      </c>
      <c r="F4428" t="s">
        <v>49</v>
      </c>
      <c r="G4428" t="s">
        <v>9942</v>
      </c>
      <c r="H4428" t="s">
        <v>9943</v>
      </c>
      <c r="J4428" t="str">
        <f>HYPERLINK("https://www.facebook.com/454965103328545/posts/763233329168386?comment_id=272642392511052&amp;reply_comment_id=920648612788855","https://www.facebook.com/454965103328545/posts/763233329168386?comment_id=272642392511052&amp;reply_comment_id=920648612788855")</f>
        <v>https://www.facebook.com/454965103328545/posts/763233329168386?comment_id=272642392511052&amp;reply_comment_id=920648612788855</v>
      </c>
      <c r="O4428">
        <v>0</v>
      </c>
      <c r="P4428">
        <v>0</v>
      </c>
      <c r="Q4428">
        <v>0</v>
      </c>
      <c r="S4428">
        <v>0</v>
      </c>
      <c r="T4428">
        <v>0</v>
      </c>
      <c r="U4428">
        <v>0</v>
      </c>
      <c r="W4428" t="s">
        <v>62</v>
      </c>
    </row>
    <row r="4429" spans="1:42" x14ac:dyDescent="0.35">
      <c r="A4429" t="s">
        <v>45</v>
      </c>
      <c r="B4429" t="s">
        <v>9618</v>
      </c>
      <c r="C4429" t="s">
        <v>58</v>
      </c>
      <c r="D4429" t="s">
        <v>9944</v>
      </c>
      <c r="E4429" t="s">
        <v>9944</v>
      </c>
      <c r="F4429" t="s">
        <v>49</v>
      </c>
      <c r="G4429" t="s">
        <v>9945</v>
      </c>
      <c r="H4429" t="s">
        <v>9946</v>
      </c>
      <c r="J4429" t="str">
        <f>HYPERLINK("https://www.youtube.com/watch?v=UpCtZi1bPBM","https://www.youtube.com/watch?v=UpCtZi1bPBM")</f>
        <v>https://www.youtube.com/watch?v=UpCtZi1bPBM</v>
      </c>
      <c r="O4429">
        <v>0</v>
      </c>
      <c r="P4429">
        <v>0</v>
      </c>
      <c r="Q4429">
        <v>0</v>
      </c>
      <c r="S4429">
        <v>0</v>
      </c>
      <c r="T4429">
        <v>0</v>
      </c>
      <c r="U4429">
        <v>0</v>
      </c>
      <c r="W4429" t="s">
        <v>106</v>
      </c>
    </row>
    <row r="4430" spans="1:42" x14ac:dyDescent="0.35">
      <c r="A4430" t="s">
        <v>45</v>
      </c>
      <c r="B4430" t="s">
        <v>9618</v>
      </c>
      <c r="C4430" t="s">
        <v>58</v>
      </c>
      <c r="D4430" t="s">
        <v>9947</v>
      </c>
      <c r="E4430" t="s">
        <v>9947</v>
      </c>
      <c r="F4430" t="s">
        <v>49</v>
      </c>
      <c r="G4430" t="s">
        <v>9948</v>
      </c>
      <c r="H4430" t="s">
        <v>9949</v>
      </c>
      <c r="J4430" t="str">
        <f>HYPERLINK("https://www.youtube.com/watch?v=Aod9wNHmr_k","https://www.youtube.com/watch?v=Aod9wNHmr_k")</f>
        <v>https://www.youtube.com/watch?v=Aod9wNHmr_k</v>
      </c>
      <c r="O4430">
        <v>0</v>
      </c>
      <c r="P4430">
        <v>0</v>
      </c>
      <c r="Q4430">
        <v>0</v>
      </c>
      <c r="S4430">
        <v>0</v>
      </c>
      <c r="T4430">
        <v>0</v>
      </c>
      <c r="U4430">
        <v>0</v>
      </c>
      <c r="W4430" t="s">
        <v>106</v>
      </c>
    </row>
    <row r="4431" spans="1:42" x14ac:dyDescent="0.35">
      <c r="A4431" t="s">
        <v>45</v>
      </c>
      <c r="B4431" t="s">
        <v>9950</v>
      </c>
      <c r="C4431" t="s">
        <v>47</v>
      </c>
      <c r="D4431" t="s">
        <v>8342</v>
      </c>
      <c r="E4431" t="s">
        <v>8342</v>
      </c>
      <c r="F4431" t="s">
        <v>49</v>
      </c>
      <c r="G4431" t="s">
        <v>9951</v>
      </c>
      <c r="H4431" t="s">
        <v>9952</v>
      </c>
      <c r="J4431" t="str">
        <f>HYPERLINK("https://www.facebook.com/454965103328545/posts/763233329168386?comment_id=352629014230293","https://www.facebook.com/454965103328545/posts/763233329168386?comment_id=352629014230293")</f>
        <v>https://www.facebook.com/454965103328545/posts/763233329168386?comment_id=352629014230293</v>
      </c>
      <c r="O4431">
        <v>0</v>
      </c>
      <c r="P4431">
        <v>0</v>
      </c>
      <c r="Q4431">
        <v>0</v>
      </c>
      <c r="S4431">
        <v>0</v>
      </c>
      <c r="T4431">
        <v>0</v>
      </c>
      <c r="U4431">
        <v>0</v>
      </c>
      <c r="W4431" t="s">
        <v>62</v>
      </c>
      <c r="AP4431" t="s">
        <v>101</v>
      </c>
    </row>
    <row r="4432" spans="1:42" x14ac:dyDescent="0.35">
      <c r="A4432" t="s">
        <v>45</v>
      </c>
      <c r="B4432" t="s">
        <v>9950</v>
      </c>
      <c r="C4432" t="s">
        <v>47</v>
      </c>
      <c r="D4432" t="s">
        <v>8342</v>
      </c>
      <c r="E4432" t="s">
        <v>8342</v>
      </c>
      <c r="F4432" t="s">
        <v>49</v>
      </c>
      <c r="G4432" t="s">
        <v>9953</v>
      </c>
      <c r="H4432" t="s">
        <v>9954</v>
      </c>
      <c r="J4432" t="str">
        <f>HYPERLINK("https://www.facebook.com/454965103328545/posts/763233329168386?comment_id=252941874507104","https://www.facebook.com/454965103328545/posts/763233329168386?comment_id=252941874507104")</f>
        <v>https://www.facebook.com/454965103328545/posts/763233329168386?comment_id=252941874507104</v>
      </c>
      <c r="O4432">
        <v>0</v>
      </c>
      <c r="P4432">
        <v>0</v>
      </c>
      <c r="Q4432">
        <v>0</v>
      </c>
      <c r="S4432">
        <v>0</v>
      </c>
      <c r="T4432">
        <v>0</v>
      </c>
      <c r="U4432">
        <v>0</v>
      </c>
      <c r="W4432" t="s">
        <v>62</v>
      </c>
    </row>
    <row r="4433" spans="1:42" x14ac:dyDescent="0.35">
      <c r="A4433" t="s">
        <v>45</v>
      </c>
      <c r="B4433" t="s">
        <v>9950</v>
      </c>
      <c r="C4433" t="s">
        <v>47</v>
      </c>
      <c r="D4433" t="s">
        <v>120</v>
      </c>
      <c r="E4433" t="s">
        <v>120</v>
      </c>
      <c r="F4433" t="s">
        <v>49</v>
      </c>
      <c r="G4433" t="s">
        <v>9955</v>
      </c>
      <c r="H4433" t="s">
        <v>9956</v>
      </c>
      <c r="J4433" t="str">
        <f>HYPERLINK("https://www.facebook.com/454965103328545/posts/763285952496457?comment_id=1095764365182405","https://www.facebook.com/454965103328545/posts/763285952496457?comment_id=1095764365182405")</f>
        <v>https://www.facebook.com/454965103328545/posts/763285952496457?comment_id=1095764365182405</v>
      </c>
      <c r="O4433">
        <v>0</v>
      </c>
      <c r="P4433">
        <v>0</v>
      </c>
      <c r="Q4433">
        <v>0</v>
      </c>
      <c r="S4433">
        <v>0</v>
      </c>
      <c r="T4433">
        <v>0</v>
      </c>
      <c r="U4433">
        <v>0</v>
      </c>
      <c r="W4433" t="s">
        <v>62</v>
      </c>
      <c r="AP4433" t="s">
        <v>94</v>
      </c>
    </row>
    <row r="4434" spans="1:42" x14ac:dyDescent="0.35">
      <c r="A4434" t="s">
        <v>45</v>
      </c>
      <c r="B4434" t="s">
        <v>9950</v>
      </c>
      <c r="C4434" t="s">
        <v>58</v>
      </c>
      <c r="D4434" t="s">
        <v>9957</v>
      </c>
      <c r="E4434" t="s">
        <v>9957</v>
      </c>
      <c r="F4434" t="s">
        <v>76</v>
      </c>
      <c r="G4434" t="s">
        <v>9958</v>
      </c>
      <c r="H4434" t="s">
        <v>9959</v>
      </c>
      <c r="J4434" t="str">
        <f>HYPERLINK("https://www.youtube.com/watch?v=7fE5KYSML1E","https://www.youtube.com/watch?v=7fE5KYSML1E")</f>
        <v>https://www.youtube.com/watch?v=7fE5KYSML1E</v>
      </c>
      <c r="O4434">
        <v>0</v>
      </c>
      <c r="P4434">
        <v>0</v>
      </c>
      <c r="Q4434">
        <v>0</v>
      </c>
      <c r="S4434">
        <v>0</v>
      </c>
      <c r="T4434">
        <v>0</v>
      </c>
      <c r="U4434">
        <v>0</v>
      </c>
      <c r="W4434" t="s">
        <v>106</v>
      </c>
    </row>
    <row r="4435" spans="1:42" x14ac:dyDescent="0.35">
      <c r="A4435" t="s">
        <v>45</v>
      </c>
      <c r="B4435" t="s">
        <v>9950</v>
      </c>
      <c r="C4435" t="s">
        <v>47</v>
      </c>
      <c r="D4435" t="s">
        <v>3912</v>
      </c>
      <c r="E4435" t="s">
        <v>3912</v>
      </c>
      <c r="F4435" t="s">
        <v>49</v>
      </c>
      <c r="G4435" t="s">
        <v>5959</v>
      </c>
      <c r="H4435" t="s">
        <v>9960</v>
      </c>
      <c r="J4435" t="str">
        <f>HYPERLINK("https://www.facebook.com/357267201017935/inbox/6704881606256431/","https://www.facebook.com/357267201017935/inbox/6704881606256431/")</f>
        <v>https://www.facebook.com/357267201017935/inbox/6704881606256431/</v>
      </c>
      <c r="O4435">
        <v>0</v>
      </c>
      <c r="P4435">
        <v>0</v>
      </c>
      <c r="Q4435">
        <v>0</v>
      </c>
      <c r="S4435">
        <v>0</v>
      </c>
      <c r="T4435">
        <v>0</v>
      </c>
      <c r="U4435">
        <v>0</v>
      </c>
      <c r="W4435" t="s">
        <v>52</v>
      </c>
    </row>
    <row r="4436" spans="1:42" x14ac:dyDescent="0.35">
      <c r="A4436" t="s">
        <v>45</v>
      </c>
      <c r="B4436" t="s">
        <v>9950</v>
      </c>
      <c r="C4436" t="s">
        <v>47</v>
      </c>
      <c r="D4436" t="s">
        <v>9857</v>
      </c>
      <c r="E4436" t="s">
        <v>9857</v>
      </c>
      <c r="F4436" t="s">
        <v>76</v>
      </c>
      <c r="G4436" t="s">
        <v>9961</v>
      </c>
      <c r="H4436" t="s">
        <v>9962</v>
      </c>
      <c r="J4436" t="str">
        <f>HYPERLINK("https://www.facebook.com/454965103328545/posts/763285952496457?comment_id=1115281909818651","https://www.facebook.com/454965103328545/posts/763285952496457?comment_id=1115281909818651")</f>
        <v>https://www.facebook.com/454965103328545/posts/763285952496457?comment_id=1115281909818651</v>
      </c>
      <c r="O4436">
        <v>0</v>
      </c>
      <c r="P4436">
        <v>0</v>
      </c>
      <c r="Q4436">
        <v>0</v>
      </c>
      <c r="S4436">
        <v>0</v>
      </c>
      <c r="T4436">
        <v>0</v>
      </c>
      <c r="U4436">
        <v>0</v>
      </c>
      <c r="W4436" t="s">
        <v>62</v>
      </c>
    </row>
    <row r="4437" spans="1:42" x14ac:dyDescent="0.35">
      <c r="A4437" t="s">
        <v>45</v>
      </c>
      <c r="B4437" t="s">
        <v>9950</v>
      </c>
      <c r="C4437" t="s">
        <v>47</v>
      </c>
      <c r="D4437" t="s">
        <v>9963</v>
      </c>
      <c r="E4437" t="s">
        <v>9963</v>
      </c>
      <c r="F4437" t="s">
        <v>49</v>
      </c>
      <c r="G4437" t="s">
        <v>9964</v>
      </c>
      <c r="H4437" t="s">
        <v>9965</v>
      </c>
      <c r="J4437" t="str">
        <f>HYPERLINK("https://www.facebook.com/454965103328545/posts/763233329168386?comment_id=734746751955192","https://www.facebook.com/454965103328545/posts/763233329168386?comment_id=734746751955192")</f>
        <v>https://www.facebook.com/454965103328545/posts/763233329168386?comment_id=734746751955192</v>
      </c>
      <c r="O4437">
        <v>0</v>
      </c>
      <c r="P4437">
        <v>0</v>
      </c>
      <c r="Q4437">
        <v>0</v>
      </c>
      <c r="S4437">
        <v>0</v>
      </c>
      <c r="T4437">
        <v>0</v>
      </c>
      <c r="U4437">
        <v>0</v>
      </c>
      <c r="W4437" t="s">
        <v>62</v>
      </c>
    </row>
    <row r="4438" spans="1:42" x14ac:dyDescent="0.35">
      <c r="A4438" t="s">
        <v>45</v>
      </c>
      <c r="B4438" t="s">
        <v>9950</v>
      </c>
      <c r="C4438" t="s">
        <v>47</v>
      </c>
      <c r="D4438" t="s">
        <v>9966</v>
      </c>
      <c r="E4438" t="s">
        <v>9966</v>
      </c>
      <c r="F4438" t="s">
        <v>49</v>
      </c>
      <c r="G4438" t="s">
        <v>9967</v>
      </c>
      <c r="H4438" t="s">
        <v>9968</v>
      </c>
      <c r="J4438" t="str">
        <f>HYPERLINK("https://www.facebook.com/454965103328545/posts/757813099710409?comment_id=1932417933822678&amp;reply_comment_id=1071053047306245","https://www.facebook.com/454965103328545/posts/757813099710409?comment_id=1932417933822678&amp;reply_comment_id=1071053047306245")</f>
        <v>https://www.facebook.com/454965103328545/posts/757813099710409?comment_id=1932417933822678&amp;reply_comment_id=1071053047306245</v>
      </c>
      <c r="O4438">
        <v>0</v>
      </c>
      <c r="P4438">
        <v>0</v>
      </c>
      <c r="Q4438">
        <v>0</v>
      </c>
      <c r="S4438">
        <v>0</v>
      </c>
      <c r="T4438">
        <v>0</v>
      </c>
      <c r="U4438">
        <v>0</v>
      </c>
      <c r="W4438" t="s">
        <v>62</v>
      </c>
    </row>
    <row r="4439" spans="1:42" x14ac:dyDescent="0.35">
      <c r="A4439" t="s">
        <v>45</v>
      </c>
      <c r="B4439" t="s">
        <v>9950</v>
      </c>
      <c r="C4439" t="s">
        <v>47</v>
      </c>
      <c r="D4439" t="s">
        <v>9966</v>
      </c>
      <c r="E4439" t="s">
        <v>9966</v>
      </c>
      <c r="F4439" t="s">
        <v>49</v>
      </c>
      <c r="G4439" t="s">
        <v>9969</v>
      </c>
      <c r="H4439" t="s">
        <v>9970</v>
      </c>
      <c r="J4439" t="str">
        <f>HYPERLINK("https://www.facebook.com/454965103328545/posts/757813099710409?comment_id=1932417933822678&amp;reply_comment_id=1334067423972766","https://www.facebook.com/454965103328545/posts/757813099710409?comment_id=1932417933822678&amp;reply_comment_id=1334067423972766")</f>
        <v>https://www.facebook.com/454965103328545/posts/757813099710409?comment_id=1932417933822678&amp;reply_comment_id=1334067423972766</v>
      </c>
      <c r="O4439">
        <v>0</v>
      </c>
      <c r="P4439">
        <v>0</v>
      </c>
      <c r="Q4439">
        <v>0</v>
      </c>
      <c r="S4439">
        <v>0</v>
      </c>
      <c r="T4439">
        <v>0</v>
      </c>
      <c r="U4439">
        <v>0</v>
      </c>
      <c r="W4439" t="s">
        <v>62</v>
      </c>
    </row>
    <row r="4440" spans="1:42" x14ac:dyDescent="0.35">
      <c r="A4440" t="s">
        <v>45</v>
      </c>
      <c r="B4440" t="s">
        <v>9950</v>
      </c>
      <c r="C4440" t="s">
        <v>58</v>
      </c>
      <c r="D4440" t="s">
        <v>9971</v>
      </c>
      <c r="E4440" t="s">
        <v>9971</v>
      </c>
      <c r="F4440" t="s">
        <v>49</v>
      </c>
      <c r="G4440" t="s">
        <v>9972</v>
      </c>
      <c r="H4440" t="s">
        <v>9973</v>
      </c>
      <c r="J4440" t="str">
        <f>HYPERLINK("https://www.youtube.com/watch?v=AdGWDtNskKI","https://www.youtube.com/watch?v=AdGWDtNskKI")</f>
        <v>https://www.youtube.com/watch?v=AdGWDtNskKI</v>
      </c>
      <c r="O4440">
        <v>0</v>
      </c>
      <c r="P4440">
        <v>0</v>
      </c>
      <c r="Q4440">
        <v>0</v>
      </c>
      <c r="S4440">
        <v>0</v>
      </c>
      <c r="T4440">
        <v>0</v>
      </c>
      <c r="U4440">
        <v>0</v>
      </c>
      <c r="W4440" t="s">
        <v>106</v>
      </c>
    </row>
    <row r="4441" spans="1:42" x14ac:dyDescent="0.35">
      <c r="A4441" t="s">
        <v>45</v>
      </c>
      <c r="B4441" t="s">
        <v>9950</v>
      </c>
      <c r="C4441" t="s">
        <v>47</v>
      </c>
      <c r="D4441" t="s">
        <v>9974</v>
      </c>
      <c r="E4441" t="s">
        <v>9974</v>
      </c>
      <c r="F4441" t="s">
        <v>49</v>
      </c>
      <c r="G4441" t="s">
        <v>9975</v>
      </c>
      <c r="H4441" t="s">
        <v>9976</v>
      </c>
      <c r="J4441" t="str">
        <f>HYPERLINK("https://www.facebook.com/357267201017935/inbox/6984850478259541/","https://www.facebook.com/357267201017935/inbox/6984850478259541/")</f>
        <v>https://www.facebook.com/357267201017935/inbox/6984850478259541/</v>
      </c>
      <c r="O4441">
        <v>0</v>
      </c>
      <c r="P4441">
        <v>0</v>
      </c>
      <c r="Q4441">
        <v>0</v>
      </c>
      <c r="S4441">
        <v>0</v>
      </c>
      <c r="T4441">
        <v>0</v>
      </c>
      <c r="U4441">
        <v>0</v>
      </c>
      <c r="W4441" t="s">
        <v>52</v>
      </c>
    </row>
    <row r="4442" spans="1:42" x14ac:dyDescent="0.35">
      <c r="A4442" t="s">
        <v>45</v>
      </c>
      <c r="B4442" t="s">
        <v>9950</v>
      </c>
      <c r="C4442" t="s">
        <v>47</v>
      </c>
      <c r="D4442" t="s">
        <v>9974</v>
      </c>
      <c r="E4442" t="s">
        <v>9974</v>
      </c>
      <c r="F4442" t="s">
        <v>49</v>
      </c>
      <c r="G4442" t="s">
        <v>56</v>
      </c>
      <c r="H4442" t="s">
        <v>9977</v>
      </c>
      <c r="J4442" t="str">
        <f>HYPERLINK("https://www.facebook.com/357267201017935/inbox/6984850478259541/","https://www.facebook.com/357267201017935/inbox/6984850478259541/")</f>
        <v>https://www.facebook.com/357267201017935/inbox/6984850478259541/</v>
      </c>
      <c r="O4442">
        <v>0</v>
      </c>
      <c r="P4442">
        <v>0</v>
      </c>
      <c r="Q4442">
        <v>0</v>
      </c>
      <c r="S4442">
        <v>0</v>
      </c>
      <c r="T4442">
        <v>0</v>
      </c>
      <c r="U4442">
        <v>0</v>
      </c>
      <c r="W4442" t="s">
        <v>52</v>
      </c>
    </row>
    <row r="4443" spans="1:42" x14ac:dyDescent="0.35">
      <c r="A4443" t="s">
        <v>45</v>
      </c>
      <c r="B4443" t="s">
        <v>9950</v>
      </c>
      <c r="C4443" t="s">
        <v>47</v>
      </c>
      <c r="D4443" t="s">
        <v>9978</v>
      </c>
      <c r="E4443" t="s">
        <v>9978</v>
      </c>
      <c r="F4443" t="s">
        <v>49</v>
      </c>
      <c r="G4443" t="s">
        <v>9979</v>
      </c>
      <c r="H4443" t="s">
        <v>9980</v>
      </c>
      <c r="J4443" t="str">
        <f>HYPERLINK("https://www.facebook.com/454965103328545/posts/763285952496457?comment_id=1427861004527257&amp;reply_comment_id=265957916394159","https://www.facebook.com/454965103328545/posts/763285952496457?comment_id=1427861004527257&amp;reply_comment_id=265957916394159")</f>
        <v>https://www.facebook.com/454965103328545/posts/763285952496457?comment_id=1427861004527257&amp;reply_comment_id=265957916394159</v>
      </c>
      <c r="O4443">
        <v>0</v>
      </c>
      <c r="P4443">
        <v>0</v>
      </c>
      <c r="Q4443">
        <v>0</v>
      </c>
      <c r="S4443">
        <v>0</v>
      </c>
      <c r="T4443">
        <v>0</v>
      </c>
      <c r="U4443">
        <v>0</v>
      </c>
      <c r="W4443" t="s">
        <v>62</v>
      </c>
    </row>
    <row r="4444" spans="1:42" x14ac:dyDescent="0.35">
      <c r="A4444" t="s">
        <v>45</v>
      </c>
      <c r="B4444" t="s">
        <v>9950</v>
      </c>
      <c r="C4444" t="s">
        <v>139</v>
      </c>
      <c r="D4444" t="s">
        <v>9981</v>
      </c>
      <c r="E4444" t="s">
        <v>9982</v>
      </c>
      <c r="F4444" t="s">
        <v>49</v>
      </c>
      <c r="G4444" t="s">
        <v>9983</v>
      </c>
      <c r="H4444" t="s">
        <v>9984</v>
      </c>
      <c r="J4444" t="str">
        <f>HYPERLINK("https://twitter.com/KeerthiRed8298/status/1752724230746079575","https://twitter.com/KeerthiRed8298/status/1752724230746079575")</f>
        <v>https://twitter.com/KeerthiRed8298/status/1752724230746079575</v>
      </c>
      <c r="K4444" t="s">
        <v>1769</v>
      </c>
      <c r="O4444">
        <v>0</v>
      </c>
      <c r="P4444">
        <v>0</v>
      </c>
      <c r="Q4444">
        <v>46</v>
      </c>
      <c r="S4444">
        <v>0</v>
      </c>
      <c r="T4444">
        <v>0</v>
      </c>
      <c r="U4444">
        <v>0</v>
      </c>
      <c r="W4444" t="s">
        <v>146</v>
      </c>
    </row>
    <row r="4445" spans="1:42" x14ac:dyDescent="0.35">
      <c r="A4445" t="s">
        <v>45</v>
      </c>
      <c r="B4445" t="s">
        <v>9950</v>
      </c>
      <c r="C4445" t="s">
        <v>102</v>
      </c>
      <c r="D4445" t="s">
        <v>6954</v>
      </c>
      <c r="E4445" t="s">
        <v>6954</v>
      </c>
      <c r="F4445" t="s">
        <v>49</v>
      </c>
      <c r="G4445" t="s">
        <v>9985</v>
      </c>
      <c r="H4445" t="s">
        <v>9986</v>
      </c>
      <c r="J4445" t="str">
        <f>HYPERLINK("https://www.linkedin.com/feed/update/urn:li:share:7158447824953655296/?commentUrn=urn:li:comment:(urn:li:activity:7158447826098610177,7158487849854513153)","https://www.linkedin.com/feed/update/urn:li:share:7158447824953655296/?commentUrn=urn:li:comment:(urn:li:activity:7158447826098610177,7158487849854513153)")</f>
        <v>https://www.linkedin.com/feed/update/urn:li:share:7158447824953655296/?commentUrn=urn:li:comment:(urn:li:activity:7158447826098610177,7158487849854513153)</v>
      </c>
      <c r="K4445" t="s">
        <v>1769</v>
      </c>
      <c r="O4445">
        <v>0</v>
      </c>
      <c r="P4445">
        <v>0</v>
      </c>
      <c r="Q4445">
        <v>0</v>
      </c>
      <c r="S4445">
        <v>0</v>
      </c>
      <c r="T4445">
        <v>0</v>
      </c>
      <c r="U4445">
        <v>0</v>
      </c>
      <c r="W4445" t="s">
        <v>62</v>
      </c>
    </row>
    <row r="4446" spans="1:42" x14ac:dyDescent="0.35">
      <c r="A4446" t="s">
        <v>45</v>
      </c>
      <c r="B4446" t="s">
        <v>9950</v>
      </c>
      <c r="C4446" t="s">
        <v>102</v>
      </c>
      <c r="D4446" t="s">
        <v>6954</v>
      </c>
      <c r="E4446" t="s">
        <v>6954</v>
      </c>
      <c r="F4446" t="s">
        <v>142</v>
      </c>
      <c r="G4446" t="s">
        <v>9987</v>
      </c>
      <c r="H4446" t="s">
        <v>9988</v>
      </c>
      <c r="J4446" t="str">
        <f>HYPERLINK("https://www.linkedin.com/feed/update/urn:li:share:7158447824953655296/?commentUrn=urn:li:comment:(urn:li:activity:7158447826098610177,7158486812011737088)","https://www.linkedin.com/feed/update/urn:li:share:7158447824953655296/?commentUrn=urn:li:comment:(urn:li:activity:7158447826098610177,7158486812011737088)")</f>
        <v>https://www.linkedin.com/feed/update/urn:li:share:7158447824953655296/?commentUrn=urn:li:comment:(urn:li:activity:7158447826098610177,7158486812011737088)</v>
      </c>
      <c r="K4446" t="s">
        <v>1769</v>
      </c>
      <c r="O4446">
        <v>0</v>
      </c>
      <c r="P4446">
        <v>0</v>
      </c>
      <c r="Q4446">
        <v>0</v>
      </c>
      <c r="S4446">
        <v>0</v>
      </c>
      <c r="T4446">
        <v>0</v>
      </c>
      <c r="U4446">
        <v>0</v>
      </c>
      <c r="W4446" t="s">
        <v>62</v>
      </c>
      <c r="AP4446" t="s">
        <v>147</v>
      </c>
    </row>
    <row r="4447" spans="1:42" x14ac:dyDescent="0.35">
      <c r="A4447" t="s">
        <v>45</v>
      </c>
      <c r="B4447" t="s">
        <v>9950</v>
      </c>
      <c r="C4447" t="s">
        <v>102</v>
      </c>
      <c r="D4447" t="s">
        <v>6954</v>
      </c>
      <c r="E4447" t="s">
        <v>6954</v>
      </c>
      <c r="F4447" t="s">
        <v>142</v>
      </c>
      <c r="G4447" t="s">
        <v>9989</v>
      </c>
      <c r="H4447" t="s">
        <v>9990</v>
      </c>
      <c r="J4447" t="str">
        <f>HYPERLINK("https://www.linkedin.com/feed/update/urn:li:share:7119963271742287872/?commentUrn=urn:li:comment:(urn:li:activity:7119963272325324800,7158486523900772354)","https://www.linkedin.com/feed/update/urn:li:share:7119963271742287872/?commentUrn=urn:li:comment:(urn:li:activity:7119963272325324800,7158486523900772354)")</f>
        <v>https://www.linkedin.com/feed/update/urn:li:share:7119963271742287872/?commentUrn=urn:li:comment:(urn:li:activity:7119963272325324800,7158486523900772354)</v>
      </c>
      <c r="K4447" t="s">
        <v>1769</v>
      </c>
      <c r="O4447">
        <v>0</v>
      </c>
      <c r="P4447">
        <v>0</v>
      </c>
      <c r="Q4447">
        <v>0</v>
      </c>
      <c r="S4447">
        <v>0</v>
      </c>
      <c r="T4447">
        <v>0</v>
      </c>
      <c r="U4447">
        <v>0</v>
      </c>
      <c r="W4447" t="s">
        <v>62</v>
      </c>
      <c r="AP4447" t="s">
        <v>147</v>
      </c>
    </row>
    <row r="4448" spans="1:42" x14ac:dyDescent="0.35">
      <c r="A4448" t="s">
        <v>45</v>
      </c>
      <c r="B4448" t="s">
        <v>9950</v>
      </c>
      <c r="C4448" t="s">
        <v>102</v>
      </c>
      <c r="D4448" t="s">
        <v>4327</v>
      </c>
      <c r="E4448" t="s">
        <v>4327</v>
      </c>
      <c r="F4448" t="s">
        <v>49</v>
      </c>
      <c r="G4448" t="s">
        <v>9991</v>
      </c>
      <c r="H4448" t="s">
        <v>9992</v>
      </c>
      <c r="J4448" t="str">
        <f>HYPERLINK("https://www.linkedin.com/feed/update/urn:li:share:7158447824953655296/?commentUrn=urn:li:comment:(urn:li:activity:7158447826098610177,7158486461514735617)","https://www.linkedin.com/feed/update/urn:li:share:7158447824953655296/?commentUrn=urn:li:comment:(urn:li:activity:7158447826098610177,7158486461514735617)")</f>
        <v>https://www.linkedin.com/feed/update/urn:li:share:7158447824953655296/?commentUrn=urn:li:comment:(urn:li:activity:7158447826098610177,7158486461514735617)</v>
      </c>
      <c r="K4448" t="s">
        <v>145</v>
      </c>
      <c r="O4448">
        <v>0</v>
      </c>
      <c r="P4448">
        <v>0</v>
      </c>
      <c r="Q4448">
        <v>0</v>
      </c>
      <c r="S4448">
        <v>0</v>
      </c>
      <c r="T4448">
        <v>0</v>
      </c>
      <c r="U4448">
        <v>0</v>
      </c>
      <c r="W4448" t="s">
        <v>62</v>
      </c>
    </row>
    <row r="4449" spans="1:45" x14ac:dyDescent="0.35">
      <c r="A4449" t="s">
        <v>45</v>
      </c>
      <c r="B4449" t="s">
        <v>9950</v>
      </c>
      <c r="C4449" t="s">
        <v>102</v>
      </c>
      <c r="D4449" t="s">
        <v>6954</v>
      </c>
      <c r="E4449" t="s">
        <v>6954</v>
      </c>
      <c r="F4449" t="s">
        <v>142</v>
      </c>
      <c r="G4449" t="s">
        <v>9993</v>
      </c>
      <c r="H4449" t="s">
        <v>9994</v>
      </c>
      <c r="J4449" t="str">
        <f>HYPERLINK("https://www.linkedin.com/feed/update/urn:li:ugcPost:7137323226237444096/?commentUrn=urn:li:comment:(urn:li:ugcPost:7137323226237444096,7158486396146462722)","https://www.linkedin.com/feed/update/urn:li:ugcPost:7137323226237444096/?commentUrn=urn:li:comment:(urn:li:ugcPost:7137323226237444096,7158486396146462722)")</f>
        <v>https://www.linkedin.com/feed/update/urn:li:ugcPost:7137323226237444096/?commentUrn=urn:li:comment:(urn:li:ugcPost:7137323226237444096,7158486396146462722)</v>
      </c>
      <c r="K4449" t="s">
        <v>1769</v>
      </c>
      <c r="O4449">
        <v>0</v>
      </c>
      <c r="P4449">
        <v>0</v>
      </c>
      <c r="Q4449">
        <v>0</v>
      </c>
      <c r="S4449">
        <v>0</v>
      </c>
      <c r="T4449">
        <v>0</v>
      </c>
      <c r="U4449">
        <v>0</v>
      </c>
      <c r="W4449" t="s">
        <v>62</v>
      </c>
      <c r="AP4449" t="s">
        <v>147</v>
      </c>
    </row>
    <row r="4450" spans="1:45" x14ac:dyDescent="0.35">
      <c r="A4450" t="s">
        <v>45</v>
      </c>
      <c r="B4450" t="s">
        <v>9950</v>
      </c>
      <c r="C4450" t="s">
        <v>58</v>
      </c>
      <c r="D4450" t="s">
        <v>9995</v>
      </c>
      <c r="E4450" t="s">
        <v>9995</v>
      </c>
      <c r="F4450" t="s">
        <v>76</v>
      </c>
      <c r="G4450" t="s">
        <v>501</v>
      </c>
      <c r="H4450" t="s">
        <v>9996</v>
      </c>
      <c r="J4450" t="str">
        <f>HYPERLINK("https://www.youtube.com/watch?v=e4A2A7R9V5Q&amp;lc=UgxSQXIODfxC97OYxyh4AaABAg","https://www.youtube.com/watch?v=e4A2A7R9V5Q&amp;lc=UgxSQXIODfxC97OYxyh4AaABAg")</f>
        <v>https://www.youtube.com/watch?v=e4A2A7R9V5Q&amp;lc=UgxSQXIODfxC97OYxyh4AaABAg</v>
      </c>
      <c r="O4450">
        <v>0</v>
      </c>
      <c r="P4450">
        <v>0</v>
      </c>
      <c r="Q4450">
        <v>0</v>
      </c>
      <c r="S4450">
        <v>0</v>
      </c>
      <c r="T4450">
        <v>0</v>
      </c>
      <c r="U4450">
        <v>0</v>
      </c>
      <c r="W4450" t="s">
        <v>62</v>
      </c>
    </row>
    <row r="4451" spans="1:45" x14ac:dyDescent="0.35">
      <c r="A4451" t="s">
        <v>45</v>
      </c>
      <c r="B4451" t="s">
        <v>9950</v>
      </c>
      <c r="C4451" t="s">
        <v>102</v>
      </c>
      <c r="D4451" t="s">
        <v>6954</v>
      </c>
      <c r="E4451" t="s">
        <v>6954</v>
      </c>
      <c r="F4451" t="s">
        <v>142</v>
      </c>
      <c r="G4451" t="s">
        <v>9997</v>
      </c>
      <c r="H4451" t="s">
        <v>9998</v>
      </c>
      <c r="J4451" t="str">
        <f>HYPERLINK("https://www.linkedin.com/feed/update/urn:li:ugcPost:7122180396464664576/?commentUrn=urn:li:comment:(urn:li:ugcPost:7122180396464664576,7158486237522100225)","https://www.linkedin.com/feed/update/urn:li:ugcPost:7122180396464664576/?commentUrn=urn:li:comment:(urn:li:ugcPost:7122180396464664576,7158486237522100225)")</f>
        <v>https://www.linkedin.com/feed/update/urn:li:ugcPost:7122180396464664576/?commentUrn=urn:li:comment:(urn:li:ugcPost:7122180396464664576,7158486237522100225)</v>
      </c>
      <c r="K4451" t="s">
        <v>1769</v>
      </c>
      <c r="O4451">
        <v>0</v>
      </c>
      <c r="P4451">
        <v>0</v>
      </c>
      <c r="Q4451">
        <v>0</v>
      </c>
      <c r="S4451">
        <v>0</v>
      </c>
      <c r="T4451">
        <v>0</v>
      </c>
      <c r="U4451">
        <v>0</v>
      </c>
      <c r="W4451" t="s">
        <v>62</v>
      </c>
      <c r="AP4451" t="s">
        <v>147</v>
      </c>
    </row>
    <row r="4452" spans="1:45" x14ac:dyDescent="0.35">
      <c r="A4452" t="s">
        <v>45</v>
      </c>
      <c r="B4452" t="s">
        <v>9950</v>
      </c>
      <c r="C4452" t="s">
        <v>47</v>
      </c>
      <c r="D4452" t="s">
        <v>9999</v>
      </c>
      <c r="E4452" t="s">
        <v>9999</v>
      </c>
      <c r="F4452" t="s">
        <v>49</v>
      </c>
      <c r="G4452" t="s">
        <v>10000</v>
      </c>
      <c r="H4452" t="s">
        <v>10001</v>
      </c>
      <c r="J4452" t="str">
        <f>HYPERLINK("https://www.facebook.com/454965103328545/posts/763233329168386?comment_id=1771955466655268","https://www.facebook.com/454965103328545/posts/763233329168386?comment_id=1771955466655268")</f>
        <v>https://www.facebook.com/454965103328545/posts/763233329168386?comment_id=1771955466655268</v>
      </c>
      <c r="O4452">
        <v>0</v>
      </c>
      <c r="P4452">
        <v>0</v>
      </c>
      <c r="Q4452">
        <v>0</v>
      </c>
      <c r="S4452">
        <v>0</v>
      </c>
      <c r="T4452">
        <v>0</v>
      </c>
      <c r="U4452">
        <v>0</v>
      </c>
      <c r="W4452" t="s">
        <v>62</v>
      </c>
    </row>
    <row r="4453" spans="1:45" x14ac:dyDescent="0.35">
      <c r="A4453" t="s">
        <v>45</v>
      </c>
      <c r="B4453" t="s">
        <v>9950</v>
      </c>
      <c r="C4453" t="s">
        <v>58</v>
      </c>
      <c r="D4453" t="s">
        <v>10002</v>
      </c>
      <c r="E4453" t="s">
        <v>10002</v>
      </c>
      <c r="F4453" t="s">
        <v>49</v>
      </c>
      <c r="G4453" t="s">
        <v>10003</v>
      </c>
      <c r="H4453" t="s">
        <v>10004</v>
      </c>
      <c r="J4453" t="str">
        <f>HYPERLINK("https://www.youtube.com/watch?v=J_YbSdg5lJY","https://www.youtube.com/watch?v=J_YbSdg5lJY")</f>
        <v>https://www.youtube.com/watch?v=J_YbSdg5lJY</v>
      </c>
      <c r="O4453">
        <v>0</v>
      </c>
      <c r="P4453">
        <v>0</v>
      </c>
      <c r="Q4453">
        <v>0</v>
      </c>
      <c r="S4453">
        <v>0</v>
      </c>
      <c r="T4453">
        <v>0</v>
      </c>
      <c r="U4453">
        <v>0</v>
      </c>
      <c r="W4453" t="s">
        <v>106</v>
      </c>
    </row>
    <row r="4454" spans="1:45" x14ac:dyDescent="0.35">
      <c r="A4454" t="s">
        <v>45</v>
      </c>
      <c r="B4454" t="s">
        <v>9950</v>
      </c>
      <c r="C4454" t="s">
        <v>47</v>
      </c>
      <c r="D4454" t="s">
        <v>7596</v>
      </c>
      <c r="E4454" t="s">
        <v>7596</v>
      </c>
      <c r="F4454" t="s">
        <v>49</v>
      </c>
      <c r="G4454" t="s">
        <v>10005</v>
      </c>
      <c r="H4454" t="s">
        <v>10006</v>
      </c>
      <c r="J4454" t="str">
        <f>HYPERLINK("https://www.facebook.com/454965103328545/posts/763285952496457?comment_id=7970700666278342","https://www.facebook.com/454965103328545/posts/763285952496457?comment_id=7970700666278342")</f>
        <v>https://www.facebook.com/454965103328545/posts/763285952496457?comment_id=7970700666278342</v>
      </c>
      <c r="O4454">
        <v>0</v>
      </c>
      <c r="P4454">
        <v>0</v>
      </c>
      <c r="Q4454">
        <v>0</v>
      </c>
      <c r="S4454">
        <v>0</v>
      </c>
      <c r="T4454">
        <v>0</v>
      </c>
      <c r="U4454">
        <v>0</v>
      </c>
      <c r="W4454" t="s">
        <v>62</v>
      </c>
    </row>
    <row r="4455" spans="1:45" x14ac:dyDescent="0.35">
      <c r="A4455" t="s">
        <v>45</v>
      </c>
      <c r="B4455" t="s">
        <v>9950</v>
      </c>
      <c r="C4455" t="s">
        <v>139</v>
      </c>
      <c r="D4455" t="s">
        <v>8291</v>
      </c>
      <c r="E4455" t="s">
        <v>8292</v>
      </c>
      <c r="F4455" t="s">
        <v>49</v>
      </c>
      <c r="G4455" t="s">
        <v>10007</v>
      </c>
      <c r="H4455" t="s">
        <v>10008</v>
      </c>
      <c r="J4455" t="str">
        <f>HYPERLINK("https://twitter.com/ShendeDhamma/status/1752714116484174220","https://twitter.com/ShendeDhamma/status/1752714116484174220")</f>
        <v>https://twitter.com/ShendeDhamma/status/1752714116484174220</v>
      </c>
      <c r="K4455" t="s">
        <v>145</v>
      </c>
      <c r="O4455">
        <v>0</v>
      </c>
      <c r="P4455">
        <v>0</v>
      </c>
      <c r="Q4455">
        <v>0</v>
      </c>
      <c r="S4455">
        <v>0</v>
      </c>
      <c r="T4455">
        <v>0</v>
      </c>
      <c r="U4455">
        <v>0</v>
      </c>
      <c r="W4455" t="s">
        <v>146</v>
      </c>
    </row>
    <row r="4456" spans="1:45" x14ac:dyDescent="0.35">
      <c r="A4456" t="s">
        <v>45</v>
      </c>
      <c r="B4456" t="s">
        <v>9950</v>
      </c>
      <c r="C4456" t="s">
        <v>139</v>
      </c>
      <c r="D4456" t="s">
        <v>8291</v>
      </c>
      <c r="E4456" t="s">
        <v>8292</v>
      </c>
      <c r="F4456" t="s">
        <v>49</v>
      </c>
      <c r="G4456" t="s">
        <v>10009</v>
      </c>
      <c r="H4456" t="s">
        <v>10010</v>
      </c>
      <c r="J4456" t="str">
        <f>HYPERLINK("https://twitter.com/ShendeDhamma/status/1752713928940142646","https://twitter.com/ShendeDhamma/status/1752713928940142646")</f>
        <v>https://twitter.com/ShendeDhamma/status/1752713928940142646</v>
      </c>
      <c r="K4456" t="s">
        <v>145</v>
      </c>
      <c r="O4456">
        <v>0</v>
      </c>
      <c r="P4456">
        <v>0</v>
      </c>
      <c r="Q4456">
        <v>0</v>
      </c>
      <c r="S4456">
        <v>0</v>
      </c>
      <c r="T4456">
        <v>0</v>
      </c>
      <c r="U4456">
        <v>0</v>
      </c>
      <c r="W4456" t="s">
        <v>146</v>
      </c>
    </row>
    <row r="4457" spans="1:45" x14ac:dyDescent="0.35">
      <c r="A4457" t="s">
        <v>45</v>
      </c>
      <c r="B4457" t="s">
        <v>9950</v>
      </c>
      <c r="C4457" t="s">
        <v>139</v>
      </c>
      <c r="D4457" t="s">
        <v>8291</v>
      </c>
      <c r="E4457" t="s">
        <v>8292</v>
      </c>
      <c r="F4457" t="s">
        <v>49</v>
      </c>
      <c r="G4457" t="s">
        <v>10011</v>
      </c>
      <c r="H4457" t="s">
        <v>10012</v>
      </c>
      <c r="J4457" t="str">
        <f>HYPERLINK("https://twitter.com/ShendeDhamma/status/1752713352374362485","https://twitter.com/ShendeDhamma/status/1752713352374362485")</f>
        <v>https://twitter.com/ShendeDhamma/status/1752713352374362485</v>
      </c>
      <c r="K4457" t="s">
        <v>145</v>
      </c>
      <c r="O4457">
        <v>0</v>
      </c>
      <c r="P4457">
        <v>0</v>
      </c>
      <c r="Q4457">
        <v>0</v>
      </c>
      <c r="S4457">
        <v>0</v>
      </c>
      <c r="T4457">
        <v>0</v>
      </c>
      <c r="U4457">
        <v>0</v>
      </c>
      <c r="W4457" t="s">
        <v>146</v>
      </c>
    </row>
    <row r="4458" spans="1:45" x14ac:dyDescent="0.35">
      <c r="A4458" t="s">
        <v>45</v>
      </c>
      <c r="B4458" t="s">
        <v>9950</v>
      </c>
      <c r="C4458" t="s">
        <v>47</v>
      </c>
      <c r="D4458" t="s">
        <v>8096</v>
      </c>
      <c r="E4458" t="s">
        <v>8096</v>
      </c>
      <c r="F4458" t="s">
        <v>76</v>
      </c>
      <c r="G4458" t="s">
        <v>10013</v>
      </c>
      <c r="H4458" t="s">
        <v>10014</v>
      </c>
      <c r="J4458" t="str">
        <f>HYPERLINK("https://www.facebook.com/454965103328545/posts/763233329168386?comment_id=2496086463911578","https://www.facebook.com/454965103328545/posts/763233329168386?comment_id=2496086463911578")</f>
        <v>https://www.facebook.com/454965103328545/posts/763233329168386?comment_id=2496086463911578</v>
      </c>
      <c r="O4458">
        <v>0</v>
      </c>
      <c r="P4458">
        <v>0</v>
      </c>
      <c r="Q4458">
        <v>0</v>
      </c>
      <c r="S4458">
        <v>0</v>
      </c>
      <c r="T4458">
        <v>0</v>
      </c>
      <c r="U4458">
        <v>0</v>
      </c>
      <c r="W4458" t="s">
        <v>62</v>
      </c>
      <c r="AP4458" t="s">
        <v>101</v>
      </c>
      <c r="AS4458" t="s">
        <v>375</v>
      </c>
    </row>
    <row r="4459" spans="1:45" x14ac:dyDescent="0.35">
      <c r="A4459" t="s">
        <v>45</v>
      </c>
      <c r="B4459" t="s">
        <v>9950</v>
      </c>
      <c r="C4459" t="s">
        <v>47</v>
      </c>
      <c r="D4459" t="s">
        <v>10015</v>
      </c>
      <c r="E4459" t="s">
        <v>10015</v>
      </c>
      <c r="F4459" t="s">
        <v>49</v>
      </c>
      <c r="G4459" t="s">
        <v>10016</v>
      </c>
      <c r="H4459" t="s">
        <v>10017</v>
      </c>
      <c r="J4459" t="str">
        <f>HYPERLINK("https://www.facebook.com/454965103328545/posts/734813295343723?comment_id=1451331749100583","https://www.facebook.com/454965103328545/posts/734813295343723?comment_id=1451331749100583")</f>
        <v>https://www.facebook.com/454965103328545/posts/734813295343723?comment_id=1451331749100583</v>
      </c>
      <c r="O4459">
        <v>0</v>
      </c>
      <c r="P4459">
        <v>0</v>
      </c>
      <c r="Q4459">
        <v>0</v>
      </c>
      <c r="S4459">
        <v>0</v>
      </c>
      <c r="T4459">
        <v>0</v>
      </c>
      <c r="U4459">
        <v>0</v>
      </c>
      <c r="W4459" t="s">
        <v>62</v>
      </c>
    </row>
    <row r="4460" spans="1:45" x14ac:dyDescent="0.35">
      <c r="A4460" t="s">
        <v>45</v>
      </c>
      <c r="B4460" t="s">
        <v>9950</v>
      </c>
      <c r="C4460" t="s">
        <v>58</v>
      </c>
      <c r="D4460" t="s">
        <v>10018</v>
      </c>
      <c r="E4460" t="s">
        <v>10018</v>
      </c>
      <c r="F4460" t="s">
        <v>49</v>
      </c>
      <c r="G4460" t="s">
        <v>10019</v>
      </c>
      <c r="H4460" t="s">
        <v>10020</v>
      </c>
      <c r="J4460" t="str">
        <f>HYPERLINK("https://www.youtube.com/watch?v=5qflepr1X4c","https://www.youtube.com/watch?v=5qflepr1X4c")</f>
        <v>https://www.youtube.com/watch?v=5qflepr1X4c</v>
      </c>
      <c r="O4460">
        <v>0</v>
      </c>
      <c r="P4460">
        <v>0</v>
      </c>
      <c r="Q4460">
        <v>0</v>
      </c>
      <c r="S4460">
        <v>0</v>
      </c>
      <c r="T4460">
        <v>0</v>
      </c>
      <c r="U4460">
        <v>0</v>
      </c>
      <c r="W4460" t="s">
        <v>106</v>
      </c>
    </row>
    <row r="4461" spans="1:45" x14ac:dyDescent="0.35">
      <c r="A4461" t="s">
        <v>45</v>
      </c>
      <c r="B4461" t="s">
        <v>9950</v>
      </c>
      <c r="C4461" t="s">
        <v>102</v>
      </c>
      <c r="D4461" t="s">
        <v>10021</v>
      </c>
      <c r="E4461" t="s">
        <v>10021</v>
      </c>
      <c r="F4461" t="s">
        <v>49</v>
      </c>
      <c r="G4461" t="s">
        <v>10022</v>
      </c>
      <c r="H4461" t="s">
        <v>10023</v>
      </c>
      <c r="J4461" t="str">
        <f>HYPERLINK("https://www.linkedin.com/feed/update/urn:li:share:7158447824953655296/?commentUrn=urn:li:comment:(urn:li:activity:7158447826098610177,7158469207536369665)","https://www.linkedin.com/feed/update/urn:li:share:7158447824953655296/?commentUrn=urn:li:comment:(urn:li:activity:7158447826098610177,7158469207536369665)")</f>
        <v>https://www.linkedin.com/feed/update/urn:li:share:7158447824953655296/?commentUrn=urn:li:comment:(urn:li:activity:7158447826098610177,7158469207536369665)</v>
      </c>
      <c r="K4461" t="s">
        <v>1769</v>
      </c>
      <c r="O4461">
        <v>0</v>
      </c>
      <c r="P4461">
        <v>0</v>
      </c>
      <c r="Q4461">
        <v>0</v>
      </c>
      <c r="S4461">
        <v>0</v>
      </c>
      <c r="T4461">
        <v>0</v>
      </c>
      <c r="U4461">
        <v>0</v>
      </c>
      <c r="W4461" t="s">
        <v>62</v>
      </c>
    </row>
    <row r="4462" spans="1:45" x14ac:dyDescent="0.35">
      <c r="A4462" t="s">
        <v>45</v>
      </c>
      <c r="B4462" t="s">
        <v>9950</v>
      </c>
      <c r="C4462" t="s">
        <v>102</v>
      </c>
      <c r="D4462" t="s">
        <v>10024</v>
      </c>
      <c r="E4462" t="s">
        <v>10024</v>
      </c>
      <c r="F4462" t="s">
        <v>49</v>
      </c>
      <c r="G4462" t="s">
        <v>10025</v>
      </c>
      <c r="H4462" t="s">
        <v>10026</v>
      </c>
      <c r="J4462" t="str">
        <f>HYPERLINK("https://www.linkedin.com/feed/update/urn:li:share:7158447824953655296/?commentUrn=urn:li:comment:(urn:li:activity:7158447826098610177,7158467137886433281)","https://www.linkedin.com/feed/update/urn:li:share:7158447824953655296/?commentUrn=urn:li:comment:(urn:li:activity:7158447826098610177,7158467137886433281)")</f>
        <v>https://www.linkedin.com/feed/update/urn:li:share:7158447824953655296/?commentUrn=urn:li:comment:(urn:li:activity:7158447826098610177,7158467137886433281)</v>
      </c>
      <c r="K4462" t="s">
        <v>145</v>
      </c>
      <c r="O4462">
        <v>0</v>
      </c>
      <c r="P4462">
        <v>0</v>
      </c>
      <c r="Q4462">
        <v>0</v>
      </c>
      <c r="S4462">
        <v>0</v>
      </c>
      <c r="T4462">
        <v>0</v>
      </c>
      <c r="U4462">
        <v>0</v>
      </c>
      <c r="W4462" t="s">
        <v>62</v>
      </c>
    </row>
    <row r="4463" spans="1:45" x14ac:dyDescent="0.35">
      <c r="A4463" t="s">
        <v>45</v>
      </c>
      <c r="B4463" t="s">
        <v>9950</v>
      </c>
      <c r="C4463" t="s">
        <v>47</v>
      </c>
      <c r="D4463" t="s">
        <v>1117</v>
      </c>
      <c r="E4463" t="s">
        <v>1117</v>
      </c>
      <c r="F4463" t="s">
        <v>49</v>
      </c>
      <c r="G4463" t="s">
        <v>10027</v>
      </c>
      <c r="H4463" t="s">
        <v>10028</v>
      </c>
      <c r="J4463" t="str">
        <f>HYPERLINK("https://www.facebook.com/454965103328545/posts/763285952496457?comment_id=1427861004527257","https://www.facebook.com/454965103328545/posts/763285952496457?comment_id=1427861004527257")</f>
        <v>https://www.facebook.com/454965103328545/posts/763285952496457?comment_id=1427861004527257</v>
      </c>
      <c r="O4463">
        <v>0</v>
      </c>
      <c r="P4463">
        <v>0</v>
      </c>
      <c r="Q4463">
        <v>0</v>
      </c>
      <c r="S4463">
        <v>0</v>
      </c>
      <c r="T4463">
        <v>0</v>
      </c>
      <c r="U4463">
        <v>0</v>
      </c>
      <c r="W4463" t="s">
        <v>62</v>
      </c>
    </row>
    <row r="4464" spans="1:45" x14ac:dyDescent="0.35">
      <c r="A4464" t="s">
        <v>45</v>
      </c>
      <c r="B4464" t="s">
        <v>9950</v>
      </c>
      <c r="C4464" t="s">
        <v>47</v>
      </c>
      <c r="D4464" t="s">
        <v>10029</v>
      </c>
      <c r="E4464" t="s">
        <v>10029</v>
      </c>
      <c r="F4464" t="s">
        <v>49</v>
      </c>
      <c r="G4464" t="s">
        <v>10030</v>
      </c>
      <c r="H4464" t="s">
        <v>10031</v>
      </c>
      <c r="J4464" t="str">
        <f>HYPERLINK("https://www.facebook.com/454965103328545/posts/763233329168386?comment_id=272642392511052&amp;reply_comment_id=1147905146577059","https://www.facebook.com/454965103328545/posts/763233329168386?comment_id=272642392511052&amp;reply_comment_id=1147905146577059")</f>
        <v>https://www.facebook.com/454965103328545/posts/763233329168386?comment_id=272642392511052&amp;reply_comment_id=1147905146577059</v>
      </c>
      <c r="O4464">
        <v>0</v>
      </c>
      <c r="P4464">
        <v>0</v>
      </c>
      <c r="Q4464">
        <v>0</v>
      </c>
      <c r="S4464">
        <v>0</v>
      </c>
      <c r="T4464">
        <v>0</v>
      </c>
      <c r="U4464">
        <v>0</v>
      </c>
      <c r="W4464" t="s">
        <v>62</v>
      </c>
    </row>
    <row r="4465" spans="1:45" x14ac:dyDescent="0.35">
      <c r="A4465" t="s">
        <v>45</v>
      </c>
      <c r="B4465" t="s">
        <v>9950</v>
      </c>
      <c r="C4465" t="s">
        <v>47</v>
      </c>
      <c r="D4465" t="s">
        <v>7732</v>
      </c>
      <c r="E4465" t="s">
        <v>7732</v>
      </c>
      <c r="F4465" t="s">
        <v>49</v>
      </c>
      <c r="G4465" t="s">
        <v>10032</v>
      </c>
      <c r="H4465" t="s">
        <v>10033</v>
      </c>
      <c r="J4465" t="str">
        <f>HYPERLINK("https://www.facebook.com/454965103328545/posts/763233329168386?comment_id=272642392511052","https://www.facebook.com/454965103328545/posts/763233329168386?comment_id=272642392511052")</f>
        <v>https://www.facebook.com/454965103328545/posts/763233329168386?comment_id=272642392511052</v>
      </c>
      <c r="O4465">
        <v>0</v>
      </c>
      <c r="P4465">
        <v>0</v>
      </c>
      <c r="Q4465">
        <v>0</v>
      </c>
      <c r="S4465">
        <v>0</v>
      </c>
      <c r="T4465">
        <v>0</v>
      </c>
      <c r="U4465">
        <v>0</v>
      </c>
      <c r="W4465" t="s">
        <v>62</v>
      </c>
    </row>
    <row r="4466" spans="1:45" x14ac:dyDescent="0.35">
      <c r="A4466" t="s">
        <v>45</v>
      </c>
      <c r="B4466" t="s">
        <v>9950</v>
      </c>
      <c r="C4466" t="s">
        <v>47</v>
      </c>
      <c r="D4466" t="s">
        <v>10034</v>
      </c>
      <c r="E4466" t="s">
        <v>10034</v>
      </c>
      <c r="F4466" t="s">
        <v>49</v>
      </c>
      <c r="G4466" t="s">
        <v>10035</v>
      </c>
      <c r="H4466" t="s">
        <v>10036</v>
      </c>
      <c r="J4466" t="str">
        <f>HYPERLINK("https://www.facebook.com/357267201017935/inbox/6984395414971714/","https://www.facebook.com/357267201017935/inbox/6984395414971714/")</f>
        <v>https://www.facebook.com/357267201017935/inbox/6984395414971714/</v>
      </c>
      <c r="O4466">
        <v>0</v>
      </c>
      <c r="P4466">
        <v>0</v>
      </c>
      <c r="Q4466">
        <v>0</v>
      </c>
      <c r="S4466">
        <v>0</v>
      </c>
      <c r="T4466">
        <v>0</v>
      </c>
      <c r="U4466">
        <v>0</v>
      </c>
      <c r="W4466" t="s">
        <v>52</v>
      </c>
    </row>
    <row r="4467" spans="1:45" x14ac:dyDescent="0.35">
      <c r="A4467" t="s">
        <v>45</v>
      </c>
      <c r="B4467" t="s">
        <v>9950</v>
      </c>
      <c r="C4467" t="s">
        <v>47</v>
      </c>
      <c r="D4467" t="s">
        <v>10037</v>
      </c>
      <c r="E4467" t="s">
        <v>10037</v>
      </c>
      <c r="F4467" t="s">
        <v>49</v>
      </c>
      <c r="G4467" t="s">
        <v>861</v>
      </c>
      <c r="H4467" t="s">
        <v>10038</v>
      </c>
      <c r="J4467" t="str">
        <f>HYPERLINK("https://www.facebook.com/357267201017935/inbox/6984389561638966/","https://www.facebook.com/357267201017935/inbox/6984389561638966/")</f>
        <v>https://www.facebook.com/357267201017935/inbox/6984389561638966/</v>
      </c>
      <c r="O4467">
        <v>0</v>
      </c>
      <c r="P4467">
        <v>0</v>
      </c>
      <c r="Q4467">
        <v>0</v>
      </c>
      <c r="S4467">
        <v>0</v>
      </c>
      <c r="T4467">
        <v>0</v>
      </c>
      <c r="U4467">
        <v>0</v>
      </c>
      <c r="W4467" t="s">
        <v>52</v>
      </c>
    </row>
    <row r="4468" spans="1:45" x14ac:dyDescent="0.35">
      <c r="A4468" t="s">
        <v>45</v>
      </c>
      <c r="B4468" t="s">
        <v>9950</v>
      </c>
      <c r="C4468" t="s">
        <v>47</v>
      </c>
      <c r="D4468" t="s">
        <v>9090</v>
      </c>
      <c r="E4468" t="s">
        <v>9090</v>
      </c>
      <c r="F4468" t="s">
        <v>49</v>
      </c>
      <c r="G4468" t="s">
        <v>10039</v>
      </c>
      <c r="H4468" t="s">
        <v>10040</v>
      </c>
      <c r="J4468" t="str">
        <f>HYPERLINK("https://www.facebook.com/454965103328545/posts/763285952496457?comment_id=8098700280159076","https://www.facebook.com/454965103328545/posts/763285952496457?comment_id=8098700280159076")</f>
        <v>https://www.facebook.com/454965103328545/posts/763285952496457?comment_id=8098700280159076</v>
      </c>
      <c r="O4468">
        <v>0</v>
      </c>
      <c r="P4468">
        <v>0</v>
      </c>
      <c r="Q4468">
        <v>0</v>
      </c>
      <c r="S4468">
        <v>0</v>
      </c>
      <c r="T4468">
        <v>0</v>
      </c>
      <c r="U4468">
        <v>0</v>
      </c>
      <c r="W4468" t="s">
        <v>62</v>
      </c>
    </row>
    <row r="4469" spans="1:45" x14ac:dyDescent="0.35">
      <c r="A4469" t="s">
        <v>45</v>
      </c>
      <c r="B4469" t="s">
        <v>9950</v>
      </c>
      <c r="C4469" t="s">
        <v>47</v>
      </c>
      <c r="D4469" t="s">
        <v>5108</v>
      </c>
      <c r="E4469" t="s">
        <v>5108</v>
      </c>
      <c r="F4469" t="s">
        <v>76</v>
      </c>
      <c r="G4469" t="s">
        <v>2121</v>
      </c>
      <c r="H4469" t="s">
        <v>10041</v>
      </c>
      <c r="J4469" t="str">
        <f>HYPERLINK("https://www.facebook.com/454965103328545/posts/763285952496457?comment_id=6781036258671804","https://www.facebook.com/454965103328545/posts/763285952496457?comment_id=6781036258671804")</f>
        <v>https://www.facebook.com/454965103328545/posts/763285952496457?comment_id=6781036258671804</v>
      </c>
      <c r="O4469">
        <v>0</v>
      </c>
      <c r="P4469">
        <v>0</v>
      </c>
      <c r="Q4469">
        <v>0</v>
      </c>
      <c r="S4469">
        <v>0</v>
      </c>
      <c r="T4469">
        <v>0</v>
      </c>
      <c r="U4469">
        <v>0</v>
      </c>
      <c r="W4469" t="s">
        <v>62</v>
      </c>
    </row>
    <row r="4470" spans="1:45" x14ac:dyDescent="0.35">
      <c r="A4470" t="s">
        <v>45</v>
      </c>
      <c r="B4470" t="s">
        <v>9950</v>
      </c>
      <c r="C4470" t="s">
        <v>47</v>
      </c>
      <c r="D4470" t="s">
        <v>45</v>
      </c>
      <c r="E4470" t="s">
        <v>45</v>
      </c>
      <c r="F4470" t="s">
        <v>49</v>
      </c>
      <c r="G4470" t="s">
        <v>10042</v>
      </c>
      <c r="H4470" t="s">
        <v>10043</v>
      </c>
      <c r="J4470" t="str">
        <f>HYPERLINK("https://www.facebook.com/454965103328545/posts/763307319160987","https://www.facebook.com/454965103328545/posts/763307319160987")</f>
        <v>https://www.facebook.com/454965103328545/posts/763307319160987</v>
      </c>
      <c r="O4470">
        <v>0</v>
      </c>
      <c r="P4470">
        <v>0</v>
      </c>
      <c r="Q4470">
        <v>0</v>
      </c>
      <c r="S4470">
        <v>10</v>
      </c>
      <c r="T4470">
        <v>353</v>
      </c>
      <c r="U4470">
        <v>0</v>
      </c>
      <c r="W4470" t="s">
        <v>106</v>
      </c>
      <c r="AS4470" t="s">
        <v>115</v>
      </c>
    </row>
    <row r="4471" spans="1:45" x14ac:dyDescent="0.35">
      <c r="A4471" t="s">
        <v>45</v>
      </c>
      <c r="B4471" t="s">
        <v>9950</v>
      </c>
      <c r="C4471" t="s">
        <v>102</v>
      </c>
      <c r="D4471" t="s">
        <v>965</v>
      </c>
      <c r="E4471" t="s">
        <v>965</v>
      </c>
      <c r="F4471" t="s">
        <v>49</v>
      </c>
      <c r="G4471" t="s">
        <v>10044</v>
      </c>
      <c r="H4471" t="s">
        <v>10045</v>
      </c>
      <c r="J4471" t="str">
        <f>HYPERLINK("https://www.linkedin.com/feed/update/urn:li:share:7158447824953655296","https://www.linkedin.com/feed/update/urn:li:share:7158447824953655296")</f>
        <v>https://www.linkedin.com/feed/update/urn:li:share:7158447824953655296</v>
      </c>
      <c r="O4471">
        <v>0</v>
      </c>
      <c r="P4471">
        <v>0</v>
      </c>
      <c r="Q4471">
        <v>0</v>
      </c>
      <c r="S4471">
        <v>15</v>
      </c>
      <c r="T4471">
        <v>235</v>
      </c>
      <c r="U4471">
        <v>0</v>
      </c>
      <c r="W4471" t="s">
        <v>106</v>
      </c>
    </row>
    <row r="4472" spans="1:45" x14ac:dyDescent="0.35">
      <c r="A4472" t="s">
        <v>45</v>
      </c>
      <c r="B4472" t="s">
        <v>9950</v>
      </c>
      <c r="C4472" t="s">
        <v>47</v>
      </c>
      <c r="D4472" t="s">
        <v>10046</v>
      </c>
      <c r="E4472" t="s">
        <v>10046</v>
      </c>
      <c r="F4472" t="s">
        <v>49</v>
      </c>
      <c r="G4472" t="s">
        <v>56</v>
      </c>
      <c r="H4472" t="s">
        <v>10047</v>
      </c>
      <c r="J4472" t="str">
        <f>HYPERLINK("https://www.facebook.com/357267201017935/inbox/6717567618321163/","https://www.facebook.com/357267201017935/inbox/6717567618321163/")</f>
        <v>https://www.facebook.com/357267201017935/inbox/6717567618321163/</v>
      </c>
      <c r="O4472">
        <v>0</v>
      </c>
      <c r="P4472">
        <v>0</v>
      </c>
      <c r="Q4472">
        <v>0</v>
      </c>
      <c r="S4472">
        <v>0</v>
      </c>
      <c r="T4472">
        <v>0</v>
      </c>
      <c r="U4472">
        <v>0</v>
      </c>
      <c r="W4472" t="s">
        <v>52</v>
      </c>
    </row>
    <row r="4473" spans="1:45" x14ac:dyDescent="0.35">
      <c r="A4473" t="s">
        <v>45</v>
      </c>
      <c r="B4473" t="s">
        <v>9950</v>
      </c>
      <c r="C4473" t="s">
        <v>47</v>
      </c>
      <c r="D4473" t="s">
        <v>10046</v>
      </c>
      <c r="E4473" t="s">
        <v>10046</v>
      </c>
      <c r="F4473" t="s">
        <v>49</v>
      </c>
      <c r="G4473" t="s">
        <v>50</v>
      </c>
      <c r="H4473" t="s">
        <v>10048</v>
      </c>
      <c r="J4473" t="str">
        <f>HYPERLINK("https://www.facebook.com/357267201017935/inbox/6717567618321163/","https://www.facebook.com/357267201017935/inbox/6717567618321163/")</f>
        <v>https://www.facebook.com/357267201017935/inbox/6717567618321163/</v>
      </c>
      <c r="O4473">
        <v>0</v>
      </c>
      <c r="P4473">
        <v>0</v>
      </c>
      <c r="Q4473">
        <v>0</v>
      </c>
      <c r="S4473">
        <v>0</v>
      </c>
      <c r="T4473">
        <v>0</v>
      </c>
      <c r="U4473">
        <v>0</v>
      </c>
      <c r="W4473" t="s">
        <v>52</v>
      </c>
    </row>
    <row r="4474" spans="1:45" x14ac:dyDescent="0.35">
      <c r="A4474" t="s">
        <v>45</v>
      </c>
      <c r="B4474" t="s">
        <v>9950</v>
      </c>
      <c r="C4474" t="s">
        <v>47</v>
      </c>
      <c r="D4474" t="s">
        <v>10049</v>
      </c>
      <c r="E4474" t="s">
        <v>10049</v>
      </c>
      <c r="F4474" t="s">
        <v>76</v>
      </c>
      <c r="G4474" t="s">
        <v>10050</v>
      </c>
      <c r="H4474" t="s">
        <v>10051</v>
      </c>
      <c r="J4474" t="str">
        <f>HYPERLINK("https://www.facebook.com/530505755340218/posts/933596021697854","https://www.facebook.com/530505755340218/posts/933596021697854")</f>
        <v>https://www.facebook.com/530505755340218/posts/933596021697854</v>
      </c>
      <c r="O4474">
        <v>0</v>
      </c>
      <c r="P4474">
        <v>0</v>
      </c>
      <c r="Q4474">
        <v>0</v>
      </c>
      <c r="S4474">
        <v>0</v>
      </c>
      <c r="T4474">
        <v>8</v>
      </c>
      <c r="U4474">
        <v>0</v>
      </c>
      <c r="W4474" t="s">
        <v>106</v>
      </c>
    </row>
    <row r="4475" spans="1:45" x14ac:dyDescent="0.35">
      <c r="A4475" t="s">
        <v>45</v>
      </c>
      <c r="B4475" t="s">
        <v>9950</v>
      </c>
      <c r="C4475" t="s">
        <v>47</v>
      </c>
      <c r="D4475" t="s">
        <v>10052</v>
      </c>
      <c r="E4475" t="s">
        <v>10052</v>
      </c>
      <c r="F4475" t="s">
        <v>49</v>
      </c>
      <c r="G4475" t="s">
        <v>10053</v>
      </c>
      <c r="H4475" t="s">
        <v>10054</v>
      </c>
      <c r="J4475" t="str">
        <f>HYPERLINK("https://www.facebook.com/454965103328545/posts/763285952496457?comment_id=1063361274721673","https://www.facebook.com/454965103328545/posts/763285952496457?comment_id=1063361274721673")</f>
        <v>https://www.facebook.com/454965103328545/posts/763285952496457?comment_id=1063361274721673</v>
      </c>
      <c r="O4475">
        <v>0</v>
      </c>
      <c r="P4475">
        <v>0</v>
      </c>
      <c r="Q4475">
        <v>0</v>
      </c>
      <c r="S4475">
        <v>0</v>
      </c>
      <c r="T4475">
        <v>0</v>
      </c>
      <c r="U4475">
        <v>0</v>
      </c>
      <c r="W4475" t="s">
        <v>62</v>
      </c>
      <c r="AP4475" t="s">
        <v>101</v>
      </c>
    </row>
    <row r="4476" spans="1:45" x14ac:dyDescent="0.35">
      <c r="A4476" t="s">
        <v>45</v>
      </c>
      <c r="B4476" t="s">
        <v>9950</v>
      </c>
      <c r="C4476" t="s">
        <v>47</v>
      </c>
      <c r="D4476" t="s">
        <v>45</v>
      </c>
      <c r="E4476" t="s">
        <v>45</v>
      </c>
      <c r="F4476" t="s">
        <v>49</v>
      </c>
      <c r="G4476" t="s">
        <v>10055</v>
      </c>
      <c r="H4476" t="s">
        <v>10056</v>
      </c>
      <c r="J4476" t="str">
        <f>HYPERLINK("https://www.facebook.com/357267201017935_763285952496457","https://www.facebook.com/357267201017935_763285952496457")</f>
        <v>https://www.facebook.com/357267201017935_763285952496457</v>
      </c>
      <c r="O4476">
        <v>0</v>
      </c>
      <c r="P4476">
        <v>0</v>
      </c>
      <c r="Q4476">
        <v>0</v>
      </c>
      <c r="S4476">
        <v>20</v>
      </c>
      <c r="T4476">
        <v>192</v>
      </c>
      <c r="U4476">
        <v>8</v>
      </c>
      <c r="W4476" t="s">
        <v>106</v>
      </c>
    </row>
    <row r="4477" spans="1:45" x14ac:dyDescent="0.35">
      <c r="A4477" t="s">
        <v>45</v>
      </c>
      <c r="B4477" t="s">
        <v>9950</v>
      </c>
      <c r="C4477" t="s">
        <v>47</v>
      </c>
      <c r="D4477" t="s">
        <v>4119</v>
      </c>
      <c r="E4477" t="s">
        <v>4119</v>
      </c>
      <c r="F4477" t="s">
        <v>49</v>
      </c>
      <c r="G4477" t="s">
        <v>10057</v>
      </c>
      <c r="H4477" t="s">
        <v>10058</v>
      </c>
      <c r="J4477" t="str">
        <f>HYPERLINK("https://www.facebook.com/454965103328545/posts/763233329168386?comment_id=1866805043736218","https://www.facebook.com/454965103328545/posts/763233329168386?comment_id=1866805043736218")</f>
        <v>https://www.facebook.com/454965103328545/posts/763233329168386?comment_id=1866805043736218</v>
      </c>
      <c r="O4477">
        <v>0</v>
      </c>
      <c r="P4477">
        <v>0</v>
      </c>
      <c r="Q4477">
        <v>0</v>
      </c>
      <c r="S4477">
        <v>0</v>
      </c>
      <c r="T4477">
        <v>0</v>
      </c>
      <c r="U4477">
        <v>0</v>
      </c>
      <c r="W4477" t="s">
        <v>62</v>
      </c>
    </row>
    <row r="4478" spans="1:45" x14ac:dyDescent="0.35">
      <c r="A4478" t="s">
        <v>45</v>
      </c>
      <c r="B4478" t="s">
        <v>9950</v>
      </c>
      <c r="C4478" t="s">
        <v>47</v>
      </c>
      <c r="D4478" t="s">
        <v>45</v>
      </c>
      <c r="E4478" t="s">
        <v>45</v>
      </c>
      <c r="F4478" t="s">
        <v>49</v>
      </c>
      <c r="G4478" t="s">
        <v>1757</v>
      </c>
      <c r="H4478" t="s">
        <v>10059</v>
      </c>
      <c r="J4478" t="str">
        <f>HYPERLINK("https://www.facebook.com/454965103328545/posts/763274915830894","https://www.facebook.com/454965103328545/posts/763274915830894")</f>
        <v>https://www.facebook.com/454965103328545/posts/763274915830894</v>
      </c>
      <c r="O4478">
        <v>0</v>
      </c>
      <c r="P4478">
        <v>0</v>
      </c>
      <c r="Q4478">
        <v>0</v>
      </c>
      <c r="S4478">
        <v>6</v>
      </c>
      <c r="T4478">
        <v>626</v>
      </c>
      <c r="U4478">
        <v>6</v>
      </c>
      <c r="W4478" t="s">
        <v>106</v>
      </c>
      <c r="AS4478" t="s">
        <v>115</v>
      </c>
    </row>
    <row r="4479" spans="1:45" x14ac:dyDescent="0.35">
      <c r="A4479" t="s">
        <v>45</v>
      </c>
      <c r="B4479" t="s">
        <v>9950</v>
      </c>
      <c r="C4479" t="s">
        <v>47</v>
      </c>
      <c r="D4479" t="s">
        <v>10060</v>
      </c>
      <c r="E4479" t="s">
        <v>10060</v>
      </c>
      <c r="F4479" t="s">
        <v>49</v>
      </c>
      <c r="G4479" t="s">
        <v>10061</v>
      </c>
      <c r="H4479" t="s">
        <v>10062</v>
      </c>
      <c r="J4479" t="str">
        <f>HYPERLINK("https://www.facebook.com/454965103328545/posts/763233329168386?comment_id=1858307091268076","https://www.facebook.com/454965103328545/posts/763233329168386?comment_id=1858307091268076")</f>
        <v>https://www.facebook.com/454965103328545/posts/763233329168386?comment_id=1858307091268076</v>
      </c>
      <c r="O4479">
        <v>0</v>
      </c>
      <c r="P4479">
        <v>0</v>
      </c>
      <c r="Q4479">
        <v>0</v>
      </c>
      <c r="S4479">
        <v>0</v>
      </c>
      <c r="T4479">
        <v>0</v>
      </c>
      <c r="U4479">
        <v>0</v>
      </c>
      <c r="W4479" t="s">
        <v>62</v>
      </c>
    </row>
    <row r="4480" spans="1:45" x14ac:dyDescent="0.35">
      <c r="A4480" t="s">
        <v>45</v>
      </c>
      <c r="B4480" t="s">
        <v>9950</v>
      </c>
      <c r="C4480" t="s">
        <v>47</v>
      </c>
      <c r="D4480" t="s">
        <v>8505</v>
      </c>
      <c r="E4480" t="s">
        <v>8505</v>
      </c>
      <c r="F4480" t="s">
        <v>49</v>
      </c>
      <c r="H4480" t="s">
        <v>10063</v>
      </c>
      <c r="J4480" t="str">
        <f>HYPERLINK("https://www.facebook.com/454965103328545/posts/763233329168386?comment_id=755890842729695","https://www.facebook.com/454965103328545/posts/763233329168386?comment_id=755890842729695")</f>
        <v>https://www.facebook.com/454965103328545/posts/763233329168386?comment_id=755890842729695</v>
      </c>
      <c r="O4480">
        <v>0</v>
      </c>
      <c r="P4480">
        <v>0</v>
      </c>
      <c r="Q4480">
        <v>0</v>
      </c>
      <c r="S4480">
        <v>0</v>
      </c>
      <c r="T4480">
        <v>0</v>
      </c>
      <c r="U4480">
        <v>0</v>
      </c>
      <c r="W4480" t="s">
        <v>62</v>
      </c>
    </row>
    <row r="4481" spans="1:42" x14ac:dyDescent="0.35">
      <c r="A4481" t="s">
        <v>45</v>
      </c>
      <c r="B4481" t="s">
        <v>9950</v>
      </c>
      <c r="C4481" t="s">
        <v>63</v>
      </c>
      <c r="D4481" t="s">
        <v>186</v>
      </c>
      <c r="E4481" t="s">
        <v>186</v>
      </c>
      <c r="F4481" t="s">
        <v>49</v>
      </c>
      <c r="G4481" t="s">
        <v>10064</v>
      </c>
      <c r="H4481" t="s">
        <v>10065</v>
      </c>
      <c r="J4481" t="str">
        <f>HYPERLINK("https://www.instagram.com/p/C2w1VPWu8mX/","https://www.instagram.com/p/C2w1VPWu8mX/")</f>
        <v>https://www.instagram.com/p/C2w1VPWu8mX/</v>
      </c>
      <c r="O4481">
        <v>0</v>
      </c>
      <c r="P4481">
        <v>0</v>
      </c>
      <c r="Q4481">
        <v>0</v>
      </c>
      <c r="S4481">
        <v>0</v>
      </c>
      <c r="T4481">
        <v>54</v>
      </c>
      <c r="U4481">
        <v>0</v>
      </c>
      <c r="W4481" t="s">
        <v>106</v>
      </c>
      <c r="AP4481" t="s">
        <v>147</v>
      </c>
    </row>
    <row r="4482" spans="1:42" x14ac:dyDescent="0.35">
      <c r="A4482" t="s">
        <v>45</v>
      </c>
      <c r="B4482" t="s">
        <v>9950</v>
      </c>
      <c r="C4482" t="s">
        <v>139</v>
      </c>
      <c r="D4482" t="s">
        <v>190</v>
      </c>
      <c r="E4482" t="s">
        <v>45</v>
      </c>
      <c r="F4482" t="s">
        <v>49</v>
      </c>
      <c r="G4482" t="s">
        <v>10066</v>
      </c>
      <c r="H4482" t="s">
        <v>10067</v>
      </c>
      <c r="J4482" t="str">
        <f>HYPERLINK("https://twitter.com/FinoPaymntsBank/status/1752655464792252838","https://twitter.com/FinoPaymntsBank/status/1752655464792252838")</f>
        <v>https://twitter.com/FinoPaymntsBank/status/1752655464792252838</v>
      </c>
      <c r="K4482" t="s">
        <v>145</v>
      </c>
      <c r="O4482">
        <v>0</v>
      </c>
      <c r="P4482">
        <v>0</v>
      </c>
      <c r="Q4482">
        <v>8348</v>
      </c>
      <c r="R4482" t="s">
        <v>193</v>
      </c>
      <c r="S4482">
        <v>0</v>
      </c>
      <c r="T4482">
        <v>0</v>
      </c>
      <c r="U4482">
        <v>0</v>
      </c>
      <c r="W4482" t="s">
        <v>146</v>
      </c>
      <c r="AP4482" t="s">
        <v>147</v>
      </c>
    </row>
    <row r="4483" spans="1:42" x14ac:dyDescent="0.35">
      <c r="A4483" t="s">
        <v>45</v>
      </c>
      <c r="B4483" t="s">
        <v>9950</v>
      </c>
      <c r="C4483" t="s">
        <v>47</v>
      </c>
      <c r="D4483" t="s">
        <v>2335</v>
      </c>
      <c r="E4483" t="s">
        <v>2335</v>
      </c>
      <c r="F4483" t="s">
        <v>49</v>
      </c>
      <c r="H4483" t="s">
        <v>10068</v>
      </c>
      <c r="J4483" t="str">
        <f>HYPERLINK("https://www.facebook.com/454965103328545/posts/763233329168386?comment_id=366571129508779","https://www.facebook.com/454965103328545/posts/763233329168386?comment_id=366571129508779")</f>
        <v>https://www.facebook.com/454965103328545/posts/763233329168386?comment_id=366571129508779</v>
      </c>
      <c r="O4483">
        <v>0</v>
      </c>
      <c r="P4483">
        <v>0</v>
      </c>
      <c r="Q4483">
        <v>0</v>
      </c>
      <c r="S4483">
        <v>0</v>
      </c>
      <c r="T4483">
        <v>0</v>
      </c>
      <c r="U4483">
        <v>0</v>
      </c>
      <c r="W4483" t="s">
        <v>62</v>
      </c>
    </row>
    <row r="4484" spans="1:42" x14ac:dyDescent="0.35">
      <c r="A4484" t="s">
        <v>45</v>
      </c>
      <c r="B4484" t="s">
        <v>9950</v>
      </c>
      <c r="C4484" t="s">
        <v>58</v>
      </c>
      <c r="D4484" t="s">
        <v>10069</v>
      </c>
      <c r="E4484" t="s">
        <v>10069</v>
      </c>
      <c r="F4484" t="s">
        <v>49</v>
      </c>
      <c r="G4484" t="s">
        <v>10070</v>
      </c>
      <c r="H4484" t="s">
        <v>10071</v>
      </c>
      <c r="J4484" t="str">
        <f>HYPERLINK("https://www.youtube.com/watch?v=dFOJoU1UOWc","https://www.youtube.com/watch?v=dFOJoU1UOWc")</f>
        <v>https://www.youtube.com/watch?v=dFOJoU1UOWc</v>
      </c>
      <c r="O4484">
        <v>0</v>
      </c>
      <c r="P4484">
        <v>0</v>
      </c>
      <c r="Q4484">
        <v>0</v>
      </c>
      <c r="S4484">
        <v>0</v>
      </c>
      <c r="T4484">
        <v>0</v>
      </c>
      <c r="U4484">
        <v>0</v>
      </c>
      <c r="W4484" t="s">
        <v>106</v>
      </c>
    </row>
    <row r="4485" spans="1:42" x14ac:dyDescent="0.35">
      <c r="A4485" t="s">
        <v>45</v>
      </c>
      <c r="B4485" t="s">
        <v>9950</v>
      </c>
      <c r="C4485" t="s">
        <v>47</v>
      </c>
      <c r="D4485" t="s">
        <v>45</v>
      </c>
      <c r="E4485" t="s">
        <v>45</v>
      </c>
      <c r="F4485" t="s">
        <v>49</v>
      </c>
      <c r="G4485" t="s">
        <v>10072</v>
      </c>
      <c r="H4485" t="s">
        <v>10073</v>
      </c>
      <c r="J4485" t="str">
        <f>HYPERLINK("https://www.facebook.com/357267201017935_763233329168386","https://www.facebook.com/357267201017935_763233329168386")</f>
        <v>https://www.facebook.com/357267201017935_763233329168386</v>
      </c>
      <c r="O4485">
        <v>0</v>
      </c>
      <c r="P4485">
        <v>0</v>
      </c>
      <c r="Q4485">
        <v>0</v>
      </c>
      <c r="S4485">
        <v>27</v>
      </c>
      <c r="T4485">
        <v>182</v>
      </c>
      <c r="U4485">
        <v>8</v>
      </c>
      <c r="W4485" t="s">
        <v>106</v>
      </c>
    </row>
    <row r="4486" spans="1:42" x14ac:dyDescent="0.35">
      <c r="A4486" t="s">
        <v>45</v>
      </c>
      <c r="B4486" t="s">
        <v>9950</v>
      </c>
      <c r="C4486" t="s">
        <v>139</v>
      </c>
      <c r="D4486" t="s">
        <v>190</v>
      </c>
      <c r="E4486" t="s">
        <v>45</v>
      </c>
      <c r="F4486" t="s">
        <v>49</v>
      </c>
      <c r="G4486" t="s">
        <v>9939</v>
      </c>
      <c r="H4486" t="s">
        <v>10074</v>
      </c>
      <c r="J4486" t="str">
        <f>HYPERLINK("https://twitter.com/FinoPaymntsBank/status/1752647937283461201","https://twitter.com/FinoPaymntsBank/status/1752647937283461201")</f>
        <v>https://twitter.com/FinoPaymntsBank/status/1752647937283461201</v>
      </c>
      <c r="K4486" t="s">
        <v>145</v>
      </c>
      <c r="O4486">
        <v>0</v>
      </c>
      <c r="P4486">
        <v>0</v>
      </c>
      <c r="Q4486">
        <v>8347</v>
      </c>
      <c r="R4486" t="s">
        <v>193</v>
      </c>
      <c r="S4486">
        <v>0</v>
      </c>
      <c r="T4486">
        <v>0</v>
      </c>
      <c r="U4486">
        <v>0</v>
      </c>
      <c r="W4486" t="s">
        <v>146</v>
      </c>
    </row>
    <row r="4487" spans="1:42" x14ac:dyDescent="0.35">
      <c r="A4487" t="s">
        <v>45</v>
      </c>
      <c r="B4487" t="s">
        <v>9950</v>
      </c>
      <c r="C4487" t="s">
        <v>139</v>
      </c>
      <c r="D4487" t="s">
        <v>10075</v>
      </c>
      <c r="E4487" t="s">
        <v>10076</v>
      </c>
      <c r="F4487" t="s">
        <v>76</v>
      </c>
      <c r="G4487" t="s">
        <v>10077</v>
      </c>
      <c r="H4487" t="s">
        <v>10078</v>
      </c>
      <c r="J4487" t="str">
        <f>HYPERLINK("https://twitter.com/NirmalBang/status/1752645939381129353","https://twitter.com/NirmalBang/status/1752645939381129353")</f>
        <v>https://twitter.com/NirmalBang/status/1752645939381129353</v>
      </c>
      <c r="K4487" t="s">
        <v>145</v>
      </c>
      <c r="O4487">
        <v>0</v>
      </c>
      <c r="P4487">
        <v>0</v>
      </c>
      <c r="Q4487">
        <v>29596</v>
      </c>
      <c r="R4487" t="s">
        <v>1868</v>
      </c>
      <c r="S4487">
        <v>0</v>
      </c>
      <c r="T4487">
        <v>0</v>
      </c>
      <c r="U4487">
        <v>0</v>
      </c>
      <c r="V4487" t="s">
        <v>642</v>
      </c>
      <c r="W4487" t="s">
        <v>146</v>
      </c>
    </row>
    <row r="4488" spans="1:42" x14ac:dyDescent="0.35">
      <c r="A4488" t="s">
        <v>45</v>
      </c>
      <c r="B4488" t="s">
        <v>9950</v>
      </c>
      <c r="C4488" t="s">
        <v>139</v>
      </c>
      <c r="D4488" t="s">
        <v>10079</v>
      </c>
      <c r="E4488" t="s">
        <v>10079</v>
      </c>
      <c r="F4488" t="s">
        <v>49</v>
      </c>
      <c r="G4488" t="s">
        <v>10080</v>
      </c>
      <c r="H4488" t="s">
        <v>10081</v>
      </c>
      <c r="J4488" t="str">
        <f>HYPERLINK("https://twitter.com/SafeGainz/status/1752636497730408728","https://twitter.com/SafeGainz/status/1752636497730408728")</f>
        <v>https://twitter.com/SafeGainz/status/1752636497730408728</v>
      </c>
      <c r="O4488">
        <v>0</v>
      </c>
      <c r="P4488">
        <v>0</v>
      </c>
      <c r="Q4488">
        <v>53</v>
      </c>
      <c r="R4488" t="s">
        <v>10082</v>
      </c>
      <c r="S4488">
        <v>0</v>
      </c>
      <c r="T4488">
        <v>0</v>
      </c>
      <c r="U4488">
        <v>0</v>
      </c>
      <c r="W4488" t="s">
        <v>146</v>
      </c>
    </row>
    <row r="4489" spans="1:42" x14ac:dyDescent="0.35">
      <c r="A4489" t="s">
        <v>45</v>
      </c>
      <c r="B4489" t="s">
        <v>9950</v>
      </c>
      <c r="C4489" t="s">
        <v>139</v>
      </c>
      <c r="D4489" t="s">
        <v>10083</v>
      </c>
      <c r="E4489" t="s">
        <v>10084</v>
      </c>
      <c r="F4489" t="s">
        <v>49</v>
      </c>
      <c r="G4489" t="s">
        <v>10085</v>
      </c>
      <c r="H4489" t="s">
        <v>10086</v>
      </c>
      <c r="J4489" t="str">
        <f>HYPERLINK("https://twitter.com/1k0nftN93826/status/1752630526215622684","https://twitter.com/1k0nftN93826/status/1752630526215622684")</f>
        <v>https://twitter.com/1k0nftN93826/status/1752630526215622684</v>
      </c>
      <c r="O4489">
        <v>0</v>
      </c>
      <c r="P4489">
        <v>0</v>
      </c>
      <c r="Q4489">
        <v>0</v>
      </c>
      <c r="S4489">
        <v>0</v>
      </c>
      <c r="T4489">
        <v>0</v>
      </c>
      <c r="U4489">
        <v>0</v>
      </c>
      <c r="W4489" t="s">
        <v>146</v>
      </c>
    </row>
    <row r="4490" spans="1:42" x14ac:dyDescent="0.35">
      <c r="A4490" t="s">
        <v>45</v>
      </c>
      <c r="B4490" t="s">
        <v>9950</v>
      </c>
      <c r="C4490" t="s">
        <v>139</v>
      </c>
      <c r="D4490" t="s">
        <v>10087</v>
      </c>
      <c r="E4490" t="s">
        <v>8524</v>
      </c>
      <c r="F4490" t="s">
        <v>49</v>
      </c>
      <c r="G4490" t="s">
        <v>10088</v>
      </c>
      <c r="H4490" t="s">
        <v>10089</v>
      </c>
      <c r="J4490" t="str">
        <f>HYPERLINK("https://twitter.com/Gorakhpuriyan/status/1752630503637766599","https://twitter.com/Gorakhpuriyan/status/1752630503637766599")</f>
        <v>https://twitter.com/Gorakhpuriyan/status/1752630503637766599</v>
      </c>
      <c r="K4490" t="s">
        <v>145</v>
      </c>
      <c r="O4490">
        <v>0</v>
      </c>
      <c r="P4490">
        <v>0</v>
      </c>
      <c r="Q4490">
        <v>1054</v>
      </c>
      <c r="R4490" t="s">
        <v>10090</v>
      </c>
      <c r="S4490">
        <v>0</v>
      </c>
      <c r="T4490">
        <v>0</v>
      </c>
      <c r="U4490">
        <v>0</v>
      </c>
      <c r="W4490" t="s">
        <v>146</v>
      </c>
    </row>
    <row r="4491" spans="1:42" x14ac:dyDescent="0.35">
      <c r="A4491" t="s">
        <v>45</v>
      </c>
      <c r="B4491" t="s">
        <v>9950</v>
      </c>
      <c r="C4491" t="s">
        <v>139</v>
      </c>
      <c r="D4491" t="s">
        <v>9837</v>
      </c>
      <c r="E4491" t="s">
        <v>9838</v>
      </c>
      <c r="F4491" t="s">
        <v>76</v>
      </c>
      <c r="G4491" t="s">
        <v>10091</v>
      </c>
      <c r="H4491" t="s">
        <v>10092</v>
      </c>
      <c r="J4491" t="str">
        <f>HYPERLINK("https://twitter.com/scoutquest/status/1752629105160269869","https://twitter.com/scoutquest/status/1752629105160269869")</f>
        <v>https://twitter.com/scoutquest/status/1752629105160269869</v>
      </c>
      <c r="O4491">
        <v>0</v>
      </c>
      <c r="P4491">
        <v>0</v>
      </c>
      <c r="Q4491">
        <v>2327</v>
      </c>
      <c r="R4491" t="s">
        <v>1247</v>
      </c>
      <c r="S4491">
        <v>0</v>
      </c>
      <c r="T4491">
        <v>0</v>
      </c>
      <c r="U4491">
        <v>0</v>
      </c>
      <c r="V4491" t="s">
        <v>642</v>
      </c>
      <c r="W4491" t="s">
        <v>146</v>
      </c>
    </row>
    <row r="4492" spans="1:42" x14ac:dyDescent="0.35">
      <c r="A4492" t="s">
        <v>45</v>
      </c>
      <c r="B4492" t="s">
        <v>9950</v>
      </c>
      <c r="C4492" t="s">
        <v>58</v>
      </c>
      <c r="D4492" t="s">
        <v>10093</v>
      </c>
      <c r="E4492" t="s">
        <v>10093</v>
      </c>
      <c r="F4492" t="s">
        <v>49</v>
      </c>
      <c r="G4492" t="s">
        <v>10094</v>
      </c>
      <c r="H4492" t="s">
        <v>10095</v>
      </c>
      <c r="J4492" t="str">
        <f>HYPERLINK("https://www.youtube.com/watch?v=B8kssl5RIBg","https://www.youtube.com/watch?v=B8kssl5RIBg")</f>
        <v>https://www.youtube.com/watch?v=B8kssl5RIBg</v>
      </c>
      <c r="O4492">
        <v>0</v>
      </c>
      <c r="P4492">
        <v>0</v>
      </c>
      <c r="Q4492">
        <v>0</v>
      </c>
      <c r="S4492">
        <v>0</v>
      </c>
      <c r="T4492">
        <v>0</v>
      </c>
      <c r="U4492">
        <v>0</v>
      </c>
      <c r="W4492" t="s">
        <v>106</v>
      </c>
    </row>
    <row r="4493" spans="1:42" x14ac:dyDescent="0.35">
      <c r="A4493" t="s">
        <v>45</v>
      </c>
      <c r="B4493" t="s">
        <v>9950</v>
      </c>
      <c r="C4493" t="s">
        <v>139</v>
      </c>
      <c r="D4493" t="s">
        <v>10096</v>
      </c>
      <c r="E4493" t="s">
        <v>10097</v>
      </c>
      <c r="F4493" t="s">
        <v>49</v>
      </c>
      <c r="G4493" t="s">
        <v>10098</v>
      </c>
      <c r="H4493" t="s">
        <v>10099</v>
      </c>
      <c r="J4493" t="str">
        <f>HYPERLINK("https://twitter.com/pankaj9725/status/1752601287185813866","https://twitter.com/pankaj9725/status/1752601287185813866")</f>
        <v>https://twitter.com/pankaj9725/status/1752601287185813866</v>
      </c>
      <c r="K4493" t="s">
        <v>145</v>
      </c>
      <c r="O4493">
        <v>0</v>
      </c>
      <c r="P4493">
        <v>0</v>
      </c>
      <c r="Q4493">
        <v>18</v>
      </c>
      <c r="R4493" t="s">
        <v>7952</v>
      </c>
      <c r="S4493">
        <v>0</v>
      </c>
      <c r="T4493">
        <v>0</v>
      </c>
      <c r="U4493">
        <v>0</v>
      </c>
      <c r="W4493" t="s">
        <v>146</v>
      </c>
    </row>
    <row r="4494" spans="1:42" x14ac:dyDescent="0.35">
      <c r="A4494" t="s">
        <v>45</v>
      </c>
      <c r="B4494" t="s">
        <v>9950</v>
      </c>
      <c r="C4494" t="s">
        <v>139</v>
      </c>
      <c r="D4494" t="s">
        <v>10096</v>
      </c>
      <c r="E4494" t="s">
        <v>10097</v>
      </c>
      <c r="F4494" t="s">
        <v>49</v>
      </c>
      <c r="G4494" t="s">
        <v>10100</v>
      </c>
      <c r="H4494" t="s">
        <v>10101</v>
      </c>
      <c r="J4494" t="str">
        <f>HYPERLINK("https://twitter.com/pankaj9725/status/1752589283989606785","https://twitter.com/pankaj9725/status/1752589283989606785")</f>
        <v>https://twitter.com/pankaj9725/status/1752589283989606785</v>
      </c>
      <c r="K4494" t="s">
        <v>145</v>
      </c>
      <c r="O4494">
        <v>0</v>
      </c>
      <c r="P4494">
        <v>0</v>
      </c>
      <c r="Q4494">
        <v>18</v>
      </c>
      <c r="R4494" t="s">
        <v>7952</v>
      </c>
      <c r="S4494">
        <v>0</v>
      </c>
      <c r="T4494">
        <v>0</v>
      </c>
      <c r="U4494">
        <v>0</v>
      </c>
      <c r="W4494" t="s">
        <v>146</v>
      </c>
    </row>
    <row r="4495" spans="1:42" x14ac:dyDescent="0.35">
      <c r="A4495" t="s">
        <v>45</v>
      </c>
      <c r="B4495" t="s">
        <v>9950</v>
      </c>
      <c r="C4495" t="s">
        <v>139</v>
      </c>
      <c r="D4495" t="s">
        <v>10096</v>
      </c>
      <c r="E4495" t="s">
        <v>10097</v>
      </c>
      <c r="F4495" t="s">
        <v>49</v>
      </c>
      <c r="G4495" t="s">
        <v>10102</v>
      </c>
      <c r="H4495" t="s">
        <v>10103</v>
      </c>
      <c r="J4495" t="str">
        <f>HYPERLINK("https://twitter.com/pankaj9725/status/1752588981622186193","https://twitter.com/pankaj9725/status/1752588981622186193")</f>
        <v>https://twitter.com/pankaj9725/status/1752588981622186193</v>
      </c>
      <c r="K4495" t="s">
        <v>145</v>
      </c>
      <c r="O4495">
        <v>0</v>
      </c>
      <c r="P4495">
        <v>0</v>
      </c>
      <c r="Q4495">
        <v>18</v>
      </c>
      <c r="R4495" t="s">
        <v>7952</v>
      </c>
      <c r="S4495">
        <v>0</v>
      </c>
      <c r="T4495">
        <v>0</v>
      </c>
      <c r="U4495">
        <v>0</v>
      </c>
      <c r="W4495" t="s">
        <v>552</v>
      </c>
    </row>
    <row r="4496" spans="1:42" x14ac:dyDescent="0.35">
      <c r="A4496" t="s">
        <v>45</v>
      </c>
      <c r="B4496" t="s">
        <v>9950</v>
      </c>
      <c r="C4496" t="s">
        <v>139</v>
      </c>
      <c r="D4496" t="s">
        <v>10096</v>
      </c>
      <c r="E4496" t="s">
        <v>10097</v>
      </c>
      <c r="F4496" t="s">
        <v>49</v>
      </c>
      <c r="G4496" t="s">
        <v>10102</v>
      </c>
      <c r="H4496" t="s">
        <v>10104</v>
      </c>
      <c r="J4496" t="str">
        <f>HYPERLINK("https://twitter.com/pankaj9725/status/1752588879075611100","https://twitter.com/pankaj9725/status/1752588879075611100")</f>
        <v>https://twitter.com/pankaj9725/status/1752588879075611100</v>
      </c>
      <c r="K4496" t="s">
        <v>145</v>
      </c>
      <c r="O4496">
        <v>0</v>
      </c>
      <c r="P4496">
        <v>0</v>
      </c>
      <c r="Q4496">
        <v>18</v>
      </c>
      <c r="R4496" t="s">
        <v>7952</v>
      </c>
      <c r="S4496">
        <v>0</v>
      </c>
      <c r="T4496">
        <v>0</v>
      </c>
      <c r="U4496">
        <v>0</v>
      </c>
      <c r="W4496" t="s">
        <v>146</v>
      </c>
    </row>
    <row r="4497" spans="1:42" x14ac:dyDescent="0.35">
      <c r="A4497" t="s">
        <v>45</v>
      </c>
      <c r="B4497" t="s">
        <v>9950</v>
      </c>
      <c r="C4497" t="s">
        <v>139</v>
      </c>
      <c r="D4497" t="s">
        <v>10105</v>
      </c>
      <c r="E4497" t="s">
        <v>10106</v>
      </c>
      <c r="F4497" t="s">
        <v>76</v>
      </c>
      <c r="G4497" t="s">
        <v>10107</v>
      </c>
      <c r="H4497" t="s">
        <v>10108</v>
      </c>
      <c r="J4497" t="str">
        <f>HYPERLINK("https://twitter.com/marketswithsam/status/1752582419369123866","https://twitter.com/marketswithsam/status/1752582419369123866")</f>
        <v>https://twitter.com/marketswithsam/status/1752582419369123866</v>
      </c>
      <c r="K4497" t="s">
        <v>145</v>
      </c>
      <c r="O4497">
        <v>0</v>
      </c>
      <c r="P4497">
        <v>0</v>
      </c>
      <c r="Q4497">
        <v>117</v>
      </c>
      <c r="S4497">
        <v>0</v>
      </c>
      <c r="T4497">
        <v>0</v>
      </c>
      <c r="U4497">
        <v>0</v>
      </c>
      <c r="W4497" t="s">
        <v>146</v>
      </c>
    </row>
    <row r="4498" spans="1:42" x14ac:dyDescent="0.35">
      <c r="A4498" t="s">
        <v>45</v>
      </c>
      <c r="B4498" t="s">
        <v>9950</v>
      </c>
      <c r="C4498" t="s">
        <v>58</v>
      </c>
      <c r="D4498" t="s">
        <v>10109</v>
      </c>
      <c r="E4498" t="s">
        <v>10109</v>
      </c>
      <c r="F4498" t="s">
        <v>49</v>
      </c>
      <c r="G4498" t="s">
        <v>10110</v>
      </c>
      <c r="H4498" t="s">
        <v>10111</v>
      </c>
      <c r="J4498" t="str">
        <f>HYPERLINK("https://www.youtube.com/watch?v=moYhvzEu2h0","https://www.youtube.com/watch?v=moYhvzEu2h0")</f>
        <v>https://www.youtube.com/watch?v=moYhvzEu2h0</v>
      </c>
      <c r="O4498">
        <v>0</v>
      </c>
      <c r="P4498">
        <v>0</v>
      </c>
      <c r="Q4498">
        <v>0</v>
      </c>
      <c r="S4498">
        <v>0</v>
      </c>
      <c r="T4498">
        <v>0</v>
      </c>
      <c r="U4498">
        <v>0</v>
      </c>
      <c r="W4498" t="s">
        <v>106</v>
      </c>
    </row>
    <row r="4499" spans="1:42" x14ac:dyDescent="0.35">
      <c r="A4499" t="s">
        <v>45</v>
      </c>
      <c r="B4499" t="s">
        <v>9950</v>
      </c>
      <c r="C4499" t="s">
        <v>58</v>
      </c>
      <c r="D4499" t="s">
        <v>10112</v>
      </c>
      <c r="E4499" t="s">
        <v>10112</v>
      </c>
      <c r="F4499" t="s">
        <v>49</v>
      </c>
      <c r="G4499" t="s">
        <v>10113</v>
      </c>
      <c r="H4499" t="s">
        <v>10114</v>
      </c>
      <c r="J4499" t="str">
        <f>HYPERLINK("https://www.youtube.com/watch?v=UW5vp34GkaU","https://www.youtube.com/watch?v=UW5vp34GkaU")</f>
        <v>https://www.youtube.com/watch?v=UW5vp34GkaU</v>
      </c>
      <c r="O4499">
        <v>0</v>
      </c>
      <c r="P4499">
        <v>0</v>
      </c>
      <c r="Q4499">
        <v>0</v>
      </c>
      <c r="S4499">
        <v>0</v>
      </c>
      <c r="T4499">
        <v>0</v>
      </c>
      <c r="U4499">
        <v>0</v>
      </c>
      <c r="W4499" t="s">
        <v>106</v>
      </c>
      <c r="AP4499" t="s">
        <v>94</v>
      </c>
    </row>
    <row r="4500" spans="1:42" x14ac:dyDescent="0.35">
      <c r="A4500" t="s">
        <v>45</v>
      </c>
      <c r="B4500" t="s">
        <v>9950</v>
      </c>
      <c r="C4500" t="s">
        <v>139</v>
      </c>
      <c r="D4500" t="s">
        <v>10115</v>
      </c>
      <c r="E4500" t="s">
        <v>10116</v>
      </c>
      <c r="F4500" t="s">
        <v>142</v>
      </c>
      <c r="G4500" t="s">
        <v>10117</v>
      </c>
      <c r="H4500" t="s">
        <v>10118</v>
      </c>
      <c r="J4500" t="str">
        <f>HYPERLINK("https://twitter.com/Hiren69dhakan/status/1752568100401328395","https://twitter.com/Hiren69dhakan/status/1752568100401328395")</f>
        <v>https://twitter.com/Hiren69dhakan/status/1752568100401328395</v>
      </c>
      <c r="K4500" t="s">
        <v>145</v>
      </c>
      <c r="O4500">
        <v>0</v>
      </c>
      <c r="P4500">
        <v>0</v>
      </c>
      <c r="Q4500">
        <v>352</v>
      </c>
      <c r="R4500" t="s">
        <v>1868</v>
      </c>
      <c r="S4500">
        <v>0</v>
      </c>
      <c r="T4500">
        <v>0</v>
      </c>
      <c r="U4500">
        <v>0</v>
      </c>
      <c r="W4500" t="s">
        <v>146</v>
      </c>
    </row>
    <row r="4501" spans="1:42" x14ac:dyDescent="0.35">
      <c r="A4501" t="s">
        <v>45</v>
      </c>
      <c r="B4501" t="s">
        <v>9950</v>
      </c>
      <c r="C4501" t="s">
        <v>139</v>
      </c>
      <c r="D4501" t="s">
        <v>10119</v>
      </c>
      <c r="E4501" t="s">
        <v>10120</v>
      </c>
      <c r="F4501" t="s">
        <v>49</v>
      </c>
      <c r="G4501" t="s">
        <v>10121</v>
      </c>
      <c r="H4501" t="s">
        <v>10122</v>
      </c>
      <c r="J4501" t="str">
        <f>HYPERLINK("https://twitter.com/Flattradein/status/1752557337938907342","https://twitter.com/Flattradein/status/1752557337938907342")</f>
        <v>https://twitter.com/Flattradein/status/1752557337938907342</v>
      </c>
      <c r="O4501">
        <v>0</v>
      </c>
      <c r="P4501">
        <v>0</v>
      </c>
      <c r="Q4501">
        <v>1189</v>
      </c>
      <c r="R4501" t="s">
        <v>582</v>
      </c>
      <c r="S4501">
        <v>0</v>
      </c>
      <c r="T4501">
        <v>0</v>
      </c>
      <c r="U4501">
        <v>0</v>
      </c>
      <c r="W4501" t="s">
        <v>146</v>
      </c>
    </row>
    <row r="4502" spans="1:42" x14ac:dyDescent="0.35">
      <c r="A4502" t="s">
        <v>45</v>
      </c>
      <c r="B4502" t="s">
        <v>9950</v>
      </c>
      <c r="C4502" t="s">
        <v>139</v>
      </c>
      <c r="D4502" t="s">
        <v>10123</v>
      </c>
      <c r="E4502" t="s">
        <v>10124</v>
      </c>
      <c r="F4502" t="s">
        <v>76</v>
      </c>
      <c r="G4502" t="s">
        <v>10125</v>
      </c>
      <c r="H4502" t="s">
        <v>10126</v>
      </c>
      <c r="J4502" t="str">
        <f>HYPERLINK("https://twitter.com/Sk502054/status/1752551384963326399","https://twitter.com/Sk502054/status/1752551384963326399")</f>
        <v>https://twitter.com/Sk502054/status/1752551384963326399</v>
      </c>
      <c r="K4502" t="s">
        <v>145</v>
      </c>
      <c r="O4502">
        <v>0</v>
      </c>
      <c r="P4502">
        <v>0</v>
      </c>
      <c r="Q4502">
        <v>8</v>
      </c>
      <c r="R4502" t="s">
        <v>1810</v>
      </c>
      <c r="S4502">
        <v>0</v>
      </c>
      <c r="T4502">
        <v>0</v>
      </c>
      <c r="U4502">
        <v>0</v>
      </c>
      <c r="W4502" t="s">
        <v>146</v>
      </c>
    </row>
    <row r="4503" spans="1:42" x14ac:dyDescent="0.35">
      <c r="A4503" t="s">
        <v>45</v>
      </c>
      <c r="B4503" t="s">
        <v>9950</v>
      </c>
      <c r="C4503" t="s">
        <v>139</v>
      </c>
      <c r="D4503" t="s">
        <v>10127</v>
      </c>
      <c r="E4503" t="s">
        <v>10128</v>
      </c>
      <c r="F4503" t="s">
        <v>49</v>
      </c>
      <c r="G4503" t="s">
        <v>10129</v>
      </c>
      <c r="H4503" t="s">
        <v>10130</v>
      </c>
      <c r="J4503" t="str">
        <f>HYPERLINK("https://twitter.com/PushkarInv/status/1752536086604100090","https://twitter.com/PushkarInv/status/1752536086604100090")</f>
        <v>https://twitter.com/PushkarInv/status/1752536086604100090</v>
      </c>
      <c r="O4503">
        <v>0</v>
      </c>
      <c r="P4503">
        <v>0</v>
      </c>
      <c r="Q4503">
        <v>2781</v>
      </c>
      <c r="R4503" t="s">
        <v>10131</v>
      </c>
      <c r="S4503">
        <v>0</v>
      </c>
      <c r="T4503">
        <v>0</v>
      </c>
      <c r="U4503">
        <v>0</v>
      </c>
      <c r="V4503" t="s">
        <v>642</v>
      </c>
      <c r="W4503" t="s">
        <v>146</v>
      </c>
    </row>
    <row r="4504" spans="1:42" x14ac:dyDescent="0.35">
      <c r="A4504" t="s">
        <v>45</v>
      </c>
      <c r="B4504" t="s">
        <v>9950</v>
      </c>
      <c r="C4504" t="s">
        <v>139</v>
      </c>
      <c r="D4504" t="s">
        <v>10132</v>
      </c>
      <c r="E4504" t="s">
        <v>10133</v>
      </c>
      <c r="F4504" t="s">
        <v>49</v>
      </c>
      <c r="G4504" t="s">
        <v>10134</v>
      </c>
      <c r="H4504" t="s">
        <v>10135</v>
      </c>
      <c r="J4504" t="str">
        <f>HYPERLINK("https://twitter.com/moneycontrolcom/status/1752535921659089377","https://twitter.com/moneycontrolcom/status/1752535921659089377")</f>
        <v>https://twitter.com/moneycontrolcom/status/1752535921659089377</v>
      </c>
      <c r="O4504">
        <v>0</v>
      </c>
      <c r="P4504">
        <v>0</v>
      </c>
      <c r="Q4504">
        <v>1429471</v>
      </c>
      <c r="R4504" t="s">
        <v>1868</v>
      </c>
      <c r="S4504">
        <v>0</v>
      </c>
      <c r="T4504">
        <v>0</v>
      </c>
      <c r="U4504">
        <v>0</v>
      </c>
      <c r="V4504" t="s">
        <v>642</v>
      </c>
      <c r="W4504" t="s">
        <v>146</v>
      </c>
    </row>
    <row r="4505" spans="1:42" x14ac:dyDescent="0.35">
      <c r="A4505" t="s">
        <v>45</v>
      </c>
      <c r="B4505" t="s">
        <v>9950</v>
      </c>
      <c r="C4505" t="s">
        <v>139</v>
      </c>
      <c r="D4505" t="s">
        <v>10136</v>
      </c>
      <c r="E4505" t="s">
        <v>10137</v>
      </c>
      <c r="F4505" t="s">
        <v>49</v>
      </c>
      <c r="G4505" t="s">
        <v>10138</v>
      </c>
      <c r="H4505" t="s">
        <v>10139</v>
      </c>
      <c r="J4505" t="str">
        <f>HYPERLINK("https://twitter.com/arivomsandhai/status/1752535015005749585","https://twitter.com/arivomsandhai/status/1752535015005749585")</f>
        <v>https://twitter.com/arivomsandhai/status/1752535015005749585</v>
      </c>
      <c r="O4505">
        <v>0</v>
      </c>
      <c r="P4505">
        <v>0</v>
      </c>
      <c r="Q4505">
        <v>571</v>
      </c>
      <c r="R4505" t="s">
        <v>10140</v>
      </c>
      <c r="S4505">
        <v>0</v>
      </c>
      <c r="T4505">
        <v>0</v>
      </c>
      <c r="U4505">
        <v>0</v>
      </c>
      <c r="W4505" t="s">
        <v>146</v>
      </c>
    </row>
    <row r="4506" spans="1:42" x14ac:dyDescent="0.35">
      <c r="A4506" t="s">
        <v>45</v>
      </c>
      <c r="B4506" t="s">
        <v>9950</v>
      </c>
      <c r="C4506" t="s">
        <v>58</v>
      </c>
      <c r="D4506" t="s">
        <v>10141</v>
      </c>
      <c r="E4506" t="s">
        <v>10141</v>
      </c>
      <c r="F4506" t="s">
        <v>49</v>
      </c>
      <c r="G4506" t="s">
        <v>10142</v>
      </c>
      <c r="H4506" t="s">
        <v>10143</v>
      </c>
      <c r="J4506" t="str">
        <f>HYPERLINK("https://www.youtube.com/watch?v=ImR0PvFl1L4","https://www.youtube.com/watch?v=ImR0PvFl1L4")</f>
        <v>https://www.youtube.com/watch?v=ImR0PvFl1L4</v>
      </c>
      <c r="O4506">
        <v>0</v>
      </c>
      <c r="P4506">
        <v>0</v>
      </c>
      <c r="Q4506">
        <v>0</v>
      </c>
      <c r="S4506">
        <v>0</v>
      </c>
      <c r="T4506">
        <v>0</v>
      </c>
      <c r="U4506">
        <v>0</v>
      </c>
      <c r="W4506" t="s">
        <v>106</v>
      </c>
    </row>
    <row r="4507" spans="1:42" x14ac:dyDescent="0.35">
      <c r="A4507" t="s">
        <v>45</v>
      </c>
      <c r="B4507" t="s">
        <v>9950</v>
      </c>
      <c r="C4507" t="s">
        <v>139</v>
      </c>
      <c r="D4507" t="s">
        <v>10144</v>
      </c>
      <c r="E4507" t="s">
        <v>10145</v>
      </c>
      <c r="F4507" t="s">
        <v>142</v>
      </c>
      <c r="G4507" t="s">
        <v>10146</v>
      </c>
      <c r="H4507" t="s">
        <v>10147</v>
      </c>
      <c r="J4507" t="str">
        <f>HYPERLINK("https://twitter.com/ICICIBANK_ICIC/status/1752519936302596145","https://twitter.com/ICICIBANK_ICIC/status/1752519936302596145")</f>
        <v>https://twitter.com/ICICIBANK_ICIC/status/1752519936302596145</v>
      </c>
      <c r="K4507" t="s">
        <v>145</v>
      </c>
      <c r="O4507">
        <v>0</v>
      </c>
      <c r="P4507">
        <v>0</v>
      </c>
      <c r="Q4507">
        <v>0</v>
      </c>
      <c r="S4507">
        <v>0</v>
      </c>
      <c r="T4507">
        <v>0</v>
      </c>
      <c r="U4507">
        <v>0</v>
      </c>
      <c r="W4507" t="s">
        <v>146</v>
      </c>
      <c r="AP4507" t="s">
        <v>147</v>
      </c>
    </row>
    <row r="4508" spans="1:42" x14ac:dyDescent="0.35">
      <c r="A4508" t="s">
        <v>45</v>
      </c>
      <c r="B4508" t="s">
        <v>9950</v>
      </c>
      <c r="C4508" t="s">
        <v>139</v>
      </c>
      <c r="D4508" t="s">
        <v>670</v>
      </c>
      <c r="E4508" t="s">
        <v>671</v>
      </c>
      <c r="F4508" t="s">
        <v>49</v>
      </c>
      <c r="G4508" t="s">
        <v>10148</v>
      </c>
      <c r="H4508" t="s">
        <v>10149</v>
      </c>
      <c r="J4508" t="str">
        <f>HYPERLINK("https://twitter.com/marketsday/status/1752515027909878075","https://twitter.com/marketsday/status/1752515027909878075")</f>
        <v>https://twitter.com/marketsday/status/1752515027909878075</v>
      </c>
      <c r="O4508">
        <v>0</v>
      </c>
      <c r="P4508">
        <v>0</v>
      </c>
      <c r="Q4508">
        <v>14488</v>
      </c>
      <c r="R4508" t="s">
        <v>674</v>
      </c>
      <c r="S4508">
        <v>0</v>
      </c>
      <c r="T4508">
        <v>0</v>
      </c>
      <c r="U4508">
        <v>0</v>
      </c>
      <c r="W4508" t="s">
        <v>146</v>
      </c>
    </row>
    <row r="4509" spans="1:42" x14ac:dyDescent="0.35">
      <c r="A4509" t="s">
        <v>45</v>
      </c>
      <c r="B4509" t="s">
        <v>9950</v>
      </c>
      <c r="C4509" t="s">
        <v>139</v>
      </c>
      <c r="D4509" t="s">
        <v>10150</v>
      </c>
      <c r="E4509" t="s">
        <v>10151</v>
      </c>
      <c r="F4509" t="s">
        <v>49</v>
      </c>
      <c r="G4509" t="s">
        <v>10152</v>
      </c>
      <c r="H4509" t="s">
        <v>10153</v>
      </c>
      <c r="J4509" t="str">
        <f>HYPERLINK("https://twitter.com/Kollisfinserv/status/1752508897192259864","https://twitter.com/Kollisfinserv/status/1752508897192259864")</f>
        <v>https://twitter.com/Kollisfinserv/status/1752508897192259864</v>
      </c>
      <c r="O4509">
        <v>0</v>
      </c>
      <c r="P4509">
        <v>0</v>
      </c>
      <c r="Q4509">
        <v>867</v>
      </c>
      <c r="R4509" t="s">
        <v>10154</v>
      </c>
      <c r="S4509">
        <v>0</v>
      </c>
      <c r="T4509">
        <v>0</v>
      </c>
      <c r="U4509">
        <v>0</v>
      </c>
      <c r="W4509" t="s">
        <v>146</v>
      </c>
    </row>
    <row r="4510" spans="1:42" x14ac:dyDescent="0.35">
      <c r="A4510" t="s">
        <v>45</v>
      </c>
      <c r="B4510" t="s">
        <v>9950</v>
      </c>
      <c r="C4510" t="s">
        <v>47</v>
      </c>
      <c r="F4510" t="s">
        <v>76</v>
      </c>
      <c r="G4510" t="s">
        <v>10155</v>
      </c>
      <c r="H4510" t="s">
        <v>10156</v>
      </c>
      <c r="J4510" t="str">
        <f>HYPERLINK("https://www.facebook.com/6820763411346178_10233123197052597","https://www.facebook.com/6820763411346178_10233123197052597")</f>
        <v>https://www.facebook.com/6820763411346178_10233123197052597</v>
      </c>
      <c r="O4510">
        <v>0</v>
      </c>
      <c r="P4510">
        <v>0</v>
      </c>
      <c r="Q4510">
        <v>0</v>
      </c>
      <c r="S4510">
        <v>0</v>
      </c>
      <c r="T4510">
        <v>0</v>
      </c>
      <c r="U4510">
        <v>0</v>
      </c>
      <c r="W4510" t="s">
        <v>106</v>
      </c>
    </row>
    <row r="4511" spans="1:42" x14ac:dyDescent="0.35">
      <c r="A4511" t="s">
        <v>45</v>
      </c>
      <c r="B4511" t="s">
        <v>9950</v>
      </c>
      <c r="C4511" t="s">
        <v>58</v>
      </c>
      <c r="D4511" t="s">
        <v>10157</v>
      </c>
      <c r="E4511" t="s">
        <v>10157</v>
      </c>
      <c r="F4511" t="s">
        <v>49</v>
      </c>
      <c r="G4511" t="s">
        <v>10158</v>
      </c>
      <c r="H4511" t="s">
        <v>10159</v>
      </c>
      <c r="J4511" t="str">
        <f>HYPERLINK("https://www.youtube.com/watch?v=d9KPMIkG72I","https://www.youtube.com/watch?v=d9KPMIkG72I")</f>
        <v>https://www.youtube.com/watch?v=d9KPMIkG72I</v>
      </c>
      <c r="O4511">
        <v>0</v>
      </c>
      <c r="P4511">
        <v>0</v>
      </c>
      <c r="Q4511">
        <v>0</v>
      </c>
      <c r="S4511">
        <v>0</v>
      </c>
      <c r="T4511">
        <v>0</v>
      </c>
      <c r="U4511">
        <v>0</v>
      </c>
      <c r="W4511" t="s">
        <v>106</v>
      </c>
    </row>
    <row r="4512" spans="1:42" x14ac:dyDescent="0.35">
      <c r="A4512" t="s">
        <v>45</v>
      </c>
      <c r="B4512" t="s">
        <v>9950</v>
      </c>
      <c r="C4512" t="s">
        <v>139</v>
      </c>
      <c r="D4512" t="s">
        <v>10160</v>
      </c>
      <c r="E4512" t="s">
        <v>10161</v>
      </c>
      <c r="F4512" t="s">
        <v>142</v>
      </c>
      <c r="G4512" t="s">
        <v>10162</v>
      </c>
      <c r="H4512" t="s">
        <v>10163</v>
      </c>
      <c r="J4512" t="str">
        <f>HYPERLINK("https://twitter.com/RaushanKumarKa7/status/1752438515747746097","https://twitter.com/RaushanKumarKa7/status/1752438515747746097")</f>
        <v>https://twitter.com/RaushanKumarKa7/status/1752438515747746097</v>
      </c>
      <c r="K4512" t="s">
        <v>145</v>
      </c>
      <c r="O4512">
        <v>0</v>
      </c>
      <c r="P4512">
        <v>0</v>
      </c>
      <c r="Q4512">
        <v>2</v>
      </c>
      <c r="S4512">
        <v>0</v>
      </c>
      <c r="T4512">
        <v>0</v>
      </c>
      <c r="U4512">
        <v>0</v>
      </c>
      <c r="W4512" t="s">
        <v>146</v>
      </c>
      <c r="AP4512" t="s">
        <v>147</v>
      </c>
    </row>
    <row r="4513" spans="1:42" x14ac:dyDescent="0.35">
      <c r="A4513" t="s">
        <v>45</v>
      </c>
      <c r="B4513" t="s">
        <v>9950</v>
      </c>
      <c r="C4513" t="s">
        <v>139</v>
      </c>
      <c r="D4513" t="s">
        <v>10160</v>
      </c>
      <c r="E4513" t="s">
        <v>10161</v>
      </c>
      <c r="F4513" t="s">
        <v>49</v>
      </c>
      <c r="G4513" t="s">
        <v>10164</v>
      </c>
      <c r="H4513" t="s">
        <v>10165</v>
      </c>
      <c r="J4513" t="str">
        <f>HYPERLINK("https://twitter.com/RaushanKumarKa7/status/1752436883668570276","https://twitter.com/RaushanKumarKa7/status/1752436883668570276")</f>
        <v>https://twitter.com/RaushanKumarKa7/status/1752436883668570276</v>
      </c>
      <c r="K4513" t="s">
        <v>145</v>
      </c>
      <c r="O4513">
        <v>0</v>
      </c>
      <c r="P4513">
        <v>0</v>
      </c>
      <c r="Q4513">
        <v>2</v>
      </c>
      <c r="S4513">
        <v>0</v>
      </c>
      <c r="T4513">
        <v>0</v>
      </c>
      <c r="U4513">
        <v>0</v>
      </c>
      <c r="W4513" t="s">
        <v>146</v>
      </c>
      <c r="AP4513" t="s">
        <v>147</v>
      </c>
    </row>
    <row r="4514" spans="1:42" x14ac:dyDescent="0.35">
      <c r="A4514" t="s">
        <v>45</v>
      </c>
      <c r="B4514" t="s">
        <v>9950</v>
      </c>
      <c r="C4514" t="s">
        <v>139</v>
      </c>
      <c r="D4514" t="s">
        <v>10166</v>
      </c>
      <c r="E4514" t="s">
        <v>10167</v>
      </c>
      <c r="F4514" t="s">
        <v>142</v>
      </c>
      <c r="G4514" t="s">
        <v>10168</v>
      </c>
      <c r="H4514" t="s">
        <v>10169</v>
      </c>
      <c r="J4514" t="str">
        <f>HYPERLINK("https://twitter.com/SrishtiNarayan3/status/1752406358614520234","https://twitter.com/SrishtiNarayan3/status/1752406358614520234")</f>
        <v>https://twitter.com/SrishtiNarayan3/status/1752406358614520234</v>
      </c>
      <c r="K4514" t="s">
        <v>1769</v>
      </c>
      <c r="O4514">
        <v>0</v>
      </c>
      <c r="P4514">
        <v>0</v>
      </c>
      <c r="Q4514">
        <v>5</v>
      </c>
      <c r="R4514" t="s">
        <v>1810</v>
      </c>
      <c r="S4514">
        <v>0</v>
      </c>
      <c r="T4514">
        <v>0</v>
      </c>
      <c r="U4514">
        <v>0</v>
      </c>
      <c r="W4514" t="s">
        <v>146</v>
      </c>
    </row>
    <row r="4515" spans="1:42" x14ac:dyDescent="0.35">
      <c r="A4515" t="s">
        <v>45</v>
      </c>
      <c r="B4515" t="s">
        <v>10170</v>
      </c>
      <c r="C4515" t="s">
        <v>47</v>
      </c>
      <c r="D4515" t="s">
        <v>7785</v>
      </c>
      <c r="E4515" t="s">
        <v>7785</v>
      </c>
      <c r="F4515" t="s">
        <v>76</v>
      </c>
      <c r="G4515" t="s">
        <v>10171</v>
      </c>
      <c r="H4515" t="s">
        <v>10172</v>
      </c>
      <c r="J4515" t="str">
        <f>HYPERLINK("https://www.facebook.com/454965103328545/posts/760895469402172?comment_id=768449015151513","https://www.facebook.com/454965103328545/posts/760895469402172?comment_id=768449015151513")</f>
        <v>https://www.facebook.com/454965103328545/posts/760895469402172?comment_id=768449015151513</v>
      </c>
      <c r="O4515">
        <v>0</v>
      </c>
      <c r="P4515">
        <v>0</v>
      </c>
      <c r="Q4515">
        <v>0</v>
      </c>
      <c r="S4515">
        <v>0</v>
      </c>
      <c r="T4515">
        <v>0</v>
      </c>
      <c r="U4515">
        <v>0</v>
      </c>
      <c r="W4515" t="s">
        <v>62</v>
      </c>
    </row>
    <row r="4516" spans="1:42" x14ac:dyDescent="0.35">
      <c r="A4516" t="s">
        <v>45</v>
      </c>
      <c r="B4516" t="s">
        <v>10170</v>
      </c>
      <c r="C4516" t="s">
        <v>47</v>
      </c>
      <c r="D4516" t="s">
        <v>8096</v>
      </c>
      <c r="E4516" t="s">
        <v>8096</v>
      </c>
      <c r="F4516" t="s">
        <v>49</v>
      </c>
      <c r="G4516" t="s">
        <v>10173</v>
      </c>
      <c r="H4516" t="s">
        <v>10174</v>
      </c>
      <c r="J4516" t="str">
        <f>HYPERLINK("https://www.facebook.com/357267201017935/inbox/6933954390015817/","https://www.facebook.com/357267201017935/inbox/6933954390015817/")</f>
        <v>https://www.facebook.com/357267201017935/inbox/6933954390015817/</v>
      </c>
      <c r="O4516">
        <v>0</v>
      </c>
      <c r="P4516">
        <v>0</v>
      </c>
      <c r="Q4516">
        <v>0</v>
      </c>
      <c r="S4516">
        <v>0</v>
      </c>
      <c r="T4516">
        <v>0</v>
      </c>
      <c r="U4516">
        <v>0</v>
      </c>
      <c r="W4516" t="s">
        <v>52</v>
      </c>
    </row>
    <row r="4517" spans="1:42" x14ac:dyDescent="0.35">
      <c r="A4517" t="s">
        <v>45</v>
      </c>
      <c r="B4517" t="s">
        <v>10170</v>
      </c>
      <c r="C4517" t="s">
        <v>47</v>
      </c>
      <c r="D4517" t="s">
        <v>8096</v>
      </c>
      <c r="E4517" t="s">
        <v>8096</v>
      </c>
      <c r="F4517" t="s">
        <v>49</v>
      </c>
      <c r="G4517" t="s">
        <v>10175</v>
      </c>
      <c r="H4517" t="s">
        <v>10176</v>
      </c>
      <c r="J4517" t="str">
        <f>HYPERLINK("https://www.facebook.com/454965103328545/posts/758440022981050?comment_id=682954497365534&amp;reply_comment_id=1069539187432802","https://www.facebook.com/454965103328545/posts/758440022981050?comment_id=682954497365534&amp;reply_comment_id=1069539187432802")</f>
        <v>https://www.facebook.com/454965103328545/posts/758440022981050?comment_id=682954497365534&amp;reply_comment_id=1069539187432802</v>
      </c>
      <c r="O4517">
        <v>0</v>
      </c>
      <c r="P4517">
        <v>0</v>
      </c>
      <c r="Q4517">
        <v>0</v>
      </c>
      <c r="S4517">
        <v>0</v>
      </c>
      <c r="T4517">
        <v>0</v>
      </c>
      <c r="U4517">
        <v>0</v>
      </c>
      <c r="W4517" t="s">
        <v>62</v>
      </c>
    </row>
    <row r="4518" spans="1:42" x14ac:dyDescent="0.35">
      <c r="A4518" t="s">
        <v>45</v>
      </c>
      <c r="B4518" t="s">
        <v>10170</v>
      </c>
      <c r="C4518" t="s">
        <v>47</v>
      </c>
      <c r="D4518" t="s">
        <v>10177</v>
      </c>
      <c r="E4518" t="s">
        <v>10177</v>
      </c>
      <c r="F4518" t="s">
        <v>49</v>
      </c>
      <c r="G4518" t="s">
        <v>10178</v>
      </c>
      <c r="H4518" t="s">
        <v>10179</v>
      </c>
      <c r="J4518" t="str">
        <f>HYPERLINK("https://www.facebook.com/357267201017935/inbox/6980708952007027/","https://www.facebook.com/357267201017935/inbox/6980708952007027/")</f>
        <v>https://www.facebook.com/357267201017935/inbox/6980708952007027/</v>
      </c>
      <c r="O4518">
        <v>0</v>
      </c>
      <c r="P4518">
        <v>0</v>
      </c>
      <c r="Q4518">
        <v>0</v>
      </c>
      <c r="S4518">
        <v>0</v>
      </c>
      <c r="T4518">
        <v>0</v>
      </c>
      <c r="U4518">
        <v>0</v>
      </c>
      <c r="W4518" t="s">
        <v>52</v>
      </c>
    </row>
    <row r="4519" spans="1:42" x14ac:dyDescent="0.35">
      <c r="A4519" t="s">
        <v>45</v>
      </c>
      <c r="B4519" t="s">
        <v>10170</v>
      </c>
      <c r="C4519" t="s">
        <v>47</v>
      </c>
      <c r="D4519" t="s">
        <v>10177</v>
      </c>
      <c r="E4519" t="s">
        <v>10177</v>
      </c>
      <c r="F4519" t="s">
        <v>49</v>
      </c>
      <c r="G4519" t="s">
        <v>10180</v>
      </c>
      <c r="H4519" t="s">
        <v>10181</v>
      </c>
      <c r="J4519" t="str">
        <f>HYPERLINK("https://www.facebook.com/357267201017935/inbox/6980708952007027/","https://www.facebook.com/357267201017935/inbox/6980708952007027/")</f>
        <v>https://www.facebook.com/357267201017935/inbox/6980708952007027/</v>
      </c>
      <c r="O4519">
        <v>0</v>
      </c>
      <c r="P4519">
        <v>0</v>
      </c>
      <c r="Q4519">
        <v>0</v>
      </c>
      <c r="S4519">
        <v>0</v>
      </c>
      <c r="T4519">
        <v>0</v>
      </c>
      <c r="U4519">
        <v>0</v>
      </c>
      <c r="W4519" t="s">
        <v>52</v>
      </c>
    </row>
    <row r="4520" spans="1:42" x14ac:dyDescent="0.35">
      <c r="A4520" t="s">
        <v>45</v>
      </c>
      <c r="B4520" t="s">
        <v>10170</v>
      </c>
      <c r="C4520" t="s">
        <v>58</v>
      </c>
      <c r="D4520" t="s">
        <v>1369</v>
      </c>
      <c r="E4520" t="s">
        <v>1369</v>
      </c>
      <c r="F4520" t="s">
        <v>49</v>
      </c>
      <c r="G4520" t="s">
        <v>10182</v>
      </c>
      <c r="H4520" t="s">
        <v>10183</v>
      </c>
      <c r="J4520" t="str">
        <f>HYPERLINK("https://www.youtube.com/watch?v=pPpiagE17ZQ","https://www.youtube.com/watch?v=pPpiagE17ZQ")</f>
        <v>https://www.youtube.com/watch?v=pPpiagE17ZQ</v>
      </c>
      <c r="O4520">
        <v>0</v>
      </c>
      <c r="P4520">
        <v>0</v>
      </c>
      <c r="Q4520">
        <v>0</v>
      </c>
      <c r="S4520">
        <v>0</v>
      </c>
      <c r="T4520">
        <v>0</v>
      </c>
      <c r="U4520">
        <v>0</v>
      </c>
      <c r="W4520" t="s">
        <v>106</v>
      </c>
    </row>
    <row r="4521" spans="1:42" x14ac:dyDescent="0.35">
      <c r="A4521" t="s">
        <v>45</v>
      </c>
      <c r="B4521" t="s">
        <v>10170</v>
      </c>
      <c r="C4521" t="s">
        <v>139</v>
      </c>
      <c r="D4521" t="s">
        <v>10184</v>
      </c>
      <c r="E4521" t="s">
        <v>10185</v>
      </c>
      <c r="F4521" t="s">
        <v>49</v>
      </c>
      <c r="G4521" t="s">
        <v>10186</v>
      </c>
      <c r="H4521" t="s">
        <v>10187</v>
      </c>
      <c r="J4521" t="str">
        <f>HYPERLINK("https://twitter.com/BhushanNit61043/status/1752347738057117949","https://twitter.com/BhushanNit61043/status/1752347738057117949")</f>
        <v>https://twitter.com/BhushanNit61043/status/1752347738057117949</v>
      </c>
      <c r="K4521" t="s">
        <v>1769</v>
      </c>
      <c r="O4521">
        <v>0</v>
      </c>
      <c r="P4521">
        <v>0</v>
      </c>
      <c r="Q4521">
        <v>0</v>
      </c>
      <c r="S4521">
        <v>0</v>
      </c>
      <c r="T4521">
        <v>0</v>
      </c>
      <c r="U4521">
        <v>0</v>
      </c>
      <c r="W4521" t="s">
        <v>146</v>
      </c>
    </row>
    <row r="4522" spans="1:42" x14ac:dyDescent="0.35">
      <c r="A4522" t="s">
        <v>45</v>
      </c>
      <c r="B4522" t="s">
        <v>10170</v>
      </c>
      <c r="C4522" t="s">
        <v>47</v>
      </c>
      <c r="D4522" t="s">
        <v>120</v>
      </c>
      <c r="E4522" t="s">
        <v>120</v>
      </c>
      <c r="F4522" t="s">
        <v>49</v>
      </c>
      <c r="G4522" t="s">
        <v>10188</v>
      </c>
      <c r="H4522" t="s">
        <v>10189</v>
      </c>
      <c r="J4522" t="str">
        <f>HYPERLINK("https://www.facebook.com/454965103328545/posts/760895469402172?comment_id=1297029350977263","https://www.facebook.com/454965103328545/posts/760895469402172?comment_id=1297029350977263")</f>
        <v>https://www.facebook.com/454965103328545/posts/760895469402172?comment_id=1297029350977263</v>
      </c>
      <c r="O4522">
        <v>0</v>
      </c>
      <c r="P4522">
        <v>0</v>
      </c>
      <c r="Q4522">
        <v>0</v>
      </c>
      <c r="S4522">
        <v>0</v>
      </c>
      <c r="T4522">
        <v>0</v>
      </c>
      <c r="U4522">
        <v>0</v>
      </c>
      <c r="W4522" t="s">
        <v>62</v>
      </c>
    </row>
    <row r="4523" spans="1:42" x14ac:dyDescent="0.35">
      <c r="A4523" t="s">
        <v>45</v>
      </c>
      <c r="B4523" t="s">
        <v>10170</v>
      </c>
      <c r="C4523" t="s">
        <v>58</v>
      </c>
      <c r="D4523" t="s">
        <v>10157</v>
      </c>
      <c r="E4523" t="s">
        <v>10157</v>
      </c>
      <c r="F4523" t="s">
        <v>49</v>
      </c>
      <c r="G4523" t="s">
        <v>10190</v>
      </c>
      <c r="H4523" t="s">
        <v>10191</v>
      </c>
      <c r="J4523" t="str">
        <f>HYPERLINK("https://www.youtube.com/watch?v=DjigMSQC90I","https://www.youtube.com/watch?v=DjigMSQC90I")</f>
        <v>https://www.youtube.com/watch?v=DjigMSQC90I</v>
      </c>
      <c r="O4523">
        <v>0</v>
      </c>
      <c r="P4523">
        <v>0</v>
      </c>
      <c r="Q4523">
        <v>0</v>
      </c>
      <c r="S4523">
        <v>0</v>
      </c>
      <c r="T4523">
        <v>0</v>
      </c>
      <c r="U4523">
        <v>0</v>
      </c>
      <c r="W4523" t="s">
        <v>106</v>
      </c>
    </row>
    <row r="4524" spans="1:42" x14ac:dyDescent="0.35">
      <c r="A4524" t="s">
        <v>45</v>
      </c>
      <c r="B4524" t="s">
        <v>10170</v>
      </c>
      <c r="C4524" t="s">
        <v>139</v>
      </c>
      <c r="D4524" t="s">
        <v>8291</v>
      </c>
      <c r="E4524" t="s">
        <v>8292</v>
      </c>
      <c r="F4524" t="s">
        <v>49</v>
      </c>
      <c r="G4524" t="s">
        <v>10192</v>
      </c>
      <c r="H4524" t="s">
        <v>10193</v>
      </c>
      <c r="J4524" t="str">
        <f>HYPERLINK("https://twitter.com/ShendeDhamma/status/1752341101531525240","https://twitter.com/ShendeDhamma/status/1752341101531525240")</f>
        <v>https://twitter.com/ShendeDhamma/status/1752341101531525240</v>
      </c>
      <c r="K4524" t="s">
        <v>145</v>
      </c>
      <c r="O4524">
        <v>0</v>
      </c>
      <c r="P4524">
        <v>0</v>
      </c>
      <c r="Q4524">
        <v>0</v>
      </c>
      <c r="S4524">
        <v>0</v>
      </c>
      <c r="T4524">
        <v>0</v>
      </c>
      <c r="U4524">
        <v>0</v>
      </c>
      <c r="W4524" t="s">
        <v>146</v>
      </c>
    </row>
    <row r="4525" spans="1:42" x14ac:dyDescent="0.35">
      <c r="A4525" t="s">
        <v>45</v>
      </c>
      <c r="B4525" t="s">
        <v>10170</v>
      </c>
      <c r="C4525" t="s">
        <v>58</v>
      </c>
      <c r="D4525" t="s">
        <v>9726</v>
      </c>
      <c r="E4525" t="s">
        <v>9726</v>
      </c>
      <c r="F4525" t="s">
        <v>49</v>
      </c>
      <c r="G4525" t="s">
        <v>10194</v>
      </c>
      <c r="H4525" t="s">
        <v>10195</v>
      </c>
      <c r="J4525" t="str">
        <f>HYPERLINK("https://www.youtube.com/watch?v=LrrQL3pGdqQ","https://www.youtube.com/watch?v=LrrQL3pGdqQ")</f>
        <v>https://www.youtube.com/watch?v=LrrQL3pGdqQ</v>
      </c>
      <c r="O4525">
        <v>0</v>
      </c>
      <c r="P4525">
        <v>0</v>
      </c>
      <c r="Q4525">
        <v>0</v>
      </c>
      <c r="S4525">
        <v>0</v>
      </c>
      <c r="T4525">
        <v>0</v>
      </c>
      <c r="U4525">
        <v>0</v>
      </c>
      <c r="W4525" t="s">
        <v>106</v>
      </c>
    </row>
    <row r="4526" spans="1:42" x14ac:dyDescent="0.35">
      <c r="A4526" t="s">
        <v>45</v>
      </c>
      <c r="B4526" t="s">
        <v>10170</v>
      </c>
      <c r="C4526" t="s">
        <v>58</v>
      </c>
      <c r="D4526" t="s">
        <v>1068</v>
      </c>
      <c r="E4526" t="s">
        <v>1068</v>
      </c>
      <c r="F4526" t="s">
        <v>49</v>
      </c>
      <c r="G4526" t="s">
        <v>10196</v>
      </c>
      <c r="H4526" t="s">
        <v>10197</v>
      </c>
      <c r="J4526" t="str">
        <f>HYPERLINK("https://www.youtube.com/watch?v=cZfVkG4PZTk","https://www.youtube.com/watch?v=cZfVkG4PZTk")</f>
        <v>https://www.youtube.com/watch?v=cZfVkG4PZTk</v>
      </c>
      <c r="O4526">
        <v>0</v>
      </c>
      <c r="P4526">
        <v>0</v>
      </c>
      <c r="Q4526">
        <v>0</v>
      </c>
      <c r="S4526">
        <v>0</v>
      </c>
      <c r="T4526">
        <v>0</v>
      </c>
      <c r="U4526">
        <v>0</v>
      </c>
      <c r="W4526" t="s">
        <v>106</v>
      </c>
    </row>
    <row r="4527" spans="1:42" x14ac:dyDescent="0.35">
      <c r="A4527" t="s">
        <v>45</v>
      </c>
      <c r="B4527" t="s">
        <v>10170</v>
      </c>
      <c r="C4527" t="s">
        <v>58</v>
      </c>
      <c r="D4527" t="s">
        <v>3921</v>
      </c>
      <c r="E4527" t="s">
        <v>3921</v>
      </c>
      <c r="F4527" t="s">
        <v>49</v>
      </c>
      <c r="G4527" t="s">
        <v>10198</v>
      </c>
      <c r="H4527" t="s">
        <v>10199</v>
      </c>
      <c r="J4527" t="str">
        <f>HYPERLINK("https://www.youtube.com/watch?v=BKHjlfjV4J0","https://www.youtube.com/watch?v=BKHjlfjV4J0")</f>
        <v>https://www.youtube.com/watch?v=BKHjlfjV4J0</v>
      </c>
      <c r="O4527">
        <v>0</v>
      </c>
      <c r="P4527">
        <v>0</v>
      </c>
      <c r="Q4527">
        <v>0</v>
      </c>
      <c r="S4527">
        <v>0</v>
      </c>
      <c r="T4527">
        <v>0</v>
      </c>
      <c r="U4527">
        <v>0</v>
      </c>
      <c r="W4527" t="s">
        <v>106</v>
      </c>
      <c r="AO4527" t="s">
        <v>119</v>
      </c>
      <c r="AP4527" t="s">
        <v>94</v>
      </c>
    </row>
    <row r="4528" spans="1:42" x14ac:dyDescent="0.35">
      <c r="A4528" t="s">
        <v>45</v>
      </c>
      <c r="B4528" t="s">
        <v>10170</v>
      </c>
      <c r="C4528" t="s">
        <v>102</v>
      </c>
      <c r="D4528" t="s">
        <v>10200</v>
      </c>
      <c r="E4528" t="s">
        <v>10200</v>
      </c>
      <c r="F4528" t="s">
        <v>49</v>
      </c>
      <c r="G4528" t="s">
        <v>10201</v>
      </c>
      <c r="H4528" t="s">
        <v>10202</v>
      </c>
      <c r="J4528" t="str">
        <f>HYPERLINK("https://www.linkedin.com/feed/update/urn:li:ugcPost:7156998250124697600?commentUrn=urn:li:comment:(ugcPost:7156998250124697600,7157461996378984448)&amp;replyUrn=urn:li:comment:(ugcPost:7156998250124697600,7158084625762816000)","https://www.linkedin.com/feed/update/urn:li:ugcPost:7156998250124697600?commentUrn=urn:li:comment:(ugcPost:7156998250124697600,7157461996378984448)&amp;replyUrn=urn:li:comment:(ugcPost:7156998250124697600,7158084625762816000)")</f>
        <v>https://www.linkedin.com/feed/update/urn:li:ugcPost:7156998250124697600?commentUrn=urn:li:comment:(ugcPost:7156998250124697600,7157461996378984448)&amp;replyUrn=urn:li:comment:(ugcPost:7156998250124697600,7158084625762816000)</v>
      </c>
      <c r="K4528" t="s">
        <v>145</v>
      </c>
      <c r="O4528">
        <v>0</v>
      </c>
      <c r="P4528">
        <v>0</v>
      </c>
      <c r="Q4528">
        <v>0</v>
      </c>
      <c r="S4528">
        <v>0</v>
      </c>
      <c r="T4528">
        <v>0</v>
      </c>
      <c r="U4528">
        <v>0</v>
      </c>
      <c r="W4528" t="s">
        <v>62</v>
      </c>
    </row>
    <row r="4529" spans="1:42" x14ac:dyDescent="0.35">
      <c r="A4529" t="s">
        <v>45</v>
      </c>
      <c r="B4529" t="s">
        <v>10170</v>
      </c>
      <c r="C4529" t="s">
        <v>139</v>
      </c>
      <c r="D4529" t="s">
        <v>10203</v>
      </c>
      <c r="E4529" t="s">
        <v>10204</v>
      </c>
      <c r="F4529" t="s">
        <v>49</v>
      </c>
      <c r="G4529" t="s">
        <v>10205</v>
      </c>
      <c r="H4529" t="s">
        <v>10206</v>
      </c>
      <c r="J4529" t="str">
        <f>HYPERLINK("https://twitter.com/ErArunSinghaps/status/1752318915261431997","https://twitter.com/ErArunSinghaps/status/1752318915261431997")</f>
        <v>https://twitter.com/ErArunSinghaps/status/1752318915261431997</v>
      </c>
      <c r="K4529" t="s">
        <v>145</v>
      </c>
      <c r="O4529">
        <v>0</v>
      </c>
      <c r="P4529">
        <v>0</v>
      </c>
      <c r="Q4529">
        <v>5</v>
      </c>
      <c r="S4529">
        <v>0</v>
      </c>
      <c r="T4529">
        <v>0</v>
      </c>
      <c r="U4529">
        <v>0</v>
      </c>
      <c r="W4529" t="s">
        <v>146</v>
      </c>
    </row>
    <row r="4530" spans="1:42" x14ac:dyDescent="0.35">
      <c r="A4530" t="s">
        <v>45</v>
      </c>
      <c r="B4530" t="s">
        <v>10170</v>
      </c>
      <c r="C4530" t="s">
        <v>47</v>
      </c>
      <c r="D4530" t="s">
        <v>10207</v>
      </c>
      <c r="E4530" t="s">
        <v>10207</v>
      </c>
      <c r="F4530" t="s">
        <v>49</v>
      </c>
      <c r="G4530" t="s">
        <v>45</v>
      </c>
      <c r="H4530" t="s">
        <v>10208</v>
      </c>
      <c r="J4530" t="str">
        <f>HYPERLINK("https://www.facebook.com/454965103328545/posts/752509516907434?comment_id=1978313252563456&amp;reply_comment_id=899699818825753","https://www.facebook.com/454965103328545/posts/752509516907434?comment_id=1978313252563456&amp;reply_comment_id=899699818825753")</f>
        <v>https://www.facebook.com/454965103328545/posts/752509516907434?comment_id=1978313252563456&amp;reply_comment_id=899699818825753</v>
      </c>
      <c r="O4530">
        <v>0</v>
      </c>
      <c r="P4530">
        <v>0</v>
      </c>
      <c r="Q4530">
        <v>0</v>
      </c>
      <c r="S4530">
        <v>0</v>
      </c>
      <c r="T4530">
        <v>0</v>
      </c>
      <c r="U4530">
        <v>0</v>
      </c>
      <c r="W4530" t="s">
        <v>62</v>
      </c>
    </row>
    <row r="4531" spans="1:42" x14ac:dyDescent="0.35">
      <c r="A4531" t="s">
        <v>45</v>
      </c>
      <c r="B4531" t="s">
        <v>10170</v>
      </c>
      <c r="C4531" t="s">
        <v>139</v>
      </c>
      <c r="D4531" t="s">
        <v>190</v>
      </c>
      <c r="E4531" t="s">
        <v>45</v>
      </c>
      <c r="F4531" t="s">
        <v>49</v>
      </c>
      <c r="G4531" t="s">
        <v>10209</v>
      </c>
      <c r="H4531" t="s">
        <v>10210</v>
      </c>
      <c r="J4531" t="str">
        <f>HYPERLINK("https://twitter.com/FinoPaymntsBank/status/1752313370412540176","https://twitter.com/FinoPaymntsBank/status/1752313370412540176")</f>
        <v>https://twitter.com/FinoPaymntsBank/status/1752313370412540176</v>
      </c>
      <c r="K4531" t="s">
        <v>145</v>
      </c>
      <c r="O4531">
        <v>0</v>
      </c>
      <c r="P4531">
        <v>0</v>
      </c>
      <c r="Q4531">
        <v>8342</v>
      </c>
      <c r="R4531" t="s">
        <v>193</v>
      </c>
      <c r="S4531">
        <v>0</v>
      </c>
      <c r="T4531">
        <v>0</v>
      </c>
      <c r="U4531">
        <v>0</v>
      </c>
      <c r="W4531" t="s">
        <v>146</v>
      </c>
      <c r="AP4531" t="s">
        <v>101</v>
      </c>
    </row>
    <row r="4532" spans="1:42" x14ac:dyDescent="0.35">
      <c r="A4532" t="s">
        <v>45</v>
      </c>
      <c r="B4532" t="s">
        <v>10170</v>
      </c>
      <c r="C4532" t="s">
        <v>58</v>
      </c>
      <c r="D4532" t="s">
        <v>10211</v>
      </c>
      <c r="E4532" t="s">
        <v>10211</v>
      </c>
      <c r="F4532" t="s">
        <v>49</v>
      </c>
      <c r="G4532" t="s">
        <v>9972</v>
      </c>
      <c r="H4532" t="s">
        <v>10212</v>
      </c>
      <c r="J4532" t="str">
        <f>HYPERLINK("https://www.youtube.com/watch?v=fFU089gfUDo","https://www.youtube.com/watch?v=fFU089gfUDo")</f>
        <v>https://www.youtube.com/watch?v=fFU089gfUDo</v>
      </c>
      <c r="O4532">
        <v>0</v>
      </c>
      <c r="P4532">
        <v>0</v>
      </c>
      <c r="Q4532">
        <v>0</v>
      </c>
      <c r="S4532">
        <v>0</v>
      </c>
      <c r="T4532">
        <v>0</v>
      </c>
      <c r="U4532">
        <v>0</v>
      </c>
      <c r="W4532" t="s">
        <v>106</v>
      </c>
    </row>
    <row r="4533" spans="1:42" x14ac:dyDescent="0.35">
      <c r="A4533" t="s">
        <v>45</v>
      </c>
      <c r="B4533" t="s">
        <v>10170</v>
      </c>
      <c r="C4533" t="s">
        <v>58</v>
      </c>
      <c r="D4533" t="s">
        <v>277</v>
      </c>
      <c r="E4533" t="s">
        <v>277</v>
      </c>
      <c r="F4533" t="s">
        <v>49</v>
      </c>
      <c r="G4533" t="s">
        <v>296</v>
      </c>
      <c r="H4533" t="s">
        <v>10213</v>
      </c>
      <c r="J4533" t="str">
        <f>HYPERLINK("https://www.youtube.com/watch?v=4Z5xcbphLMQ&amp;lc=UgyNAnvi74n0IuOPRvV4AaABAg.9zzNKZWmke8A-Bu4ODrChX","https://www.youtube.com/watch?v=4Z5xcbphLMQ&amp;lc=UgyNAnvi74n0IuOPRvV4AaABAg.9zzNKZWmke8A-Bu4ODrChX")</f>
        <v>https://www.youtube.com/watch?v=4Z5xcbphLMQ&amp;lc=UgyNAnvi74n0IuOPRvV4AaABAg.9zzNKZWmke8A-Bu4ODrChX</v>
      </c>
      <c r="O4533">
        <v>0</v>
      </c>
      <c r="P4533">
        <v>0</v>
      </c>
      <c r="Q4533">
        <v>0</v>
      </c>
      <c r="S4533">
        <v>0</v>
      </c>
      <c r="T4533">
        <v>0</v>
      </c>
      <c r="U4533">
        <v>0</v>
      </c>
      <c r="W4533" t="s">
        <v>62</v>
      </c>
    </row>
    <row r="4534" spans="1:42" x14ac:dyDescent="0.35">
      <c r="A4534" t="s">
        <v>45</v>
      </c>
      <c r="B4534" t="s">
        <v>10170</v>
      </c>
      <c r="C4534" t="s">
        <v>47</v>
      </c>
      <c r="D4534" t="s">
        <v>45</v>
      </c>
      <c r="E4534" t="s">
        <v>45</v>
      </c>
      <c r="F4534" t="s">
        <v>49</v>
      </c>
      <c r="G4534" t="s">
        <v>10214</v>
      </c>
      <c r="H4534" t="s">
        <v>10215</v>
      </c>
      <c r="J4534" t="str">
        <f>HYPERLINK("https://www.facebook.com/357267201017935/inbox/6886451058099484/","https://www.facebook.com/357267201017935/inbox/6886451058099484/")</f>
        <v>https://www.facebook.com/357267201017935/inbox/6886451058099484/</v>
      </c>
      <c r="O4534">
        <v>0</v>
      </c>
      <c r="P4534">
        <v>0</v>
      </c>
      <c r="Q4534">
        <v>0</v>
      </c>
      <c r="S4534">
        <v>0</v>
      </c>
      <c r="T4534">
        <v>0</v>
      </c>
      <c r="U4534">
        <v>0</v>
      </c>
      <c r="W4534" t="s">
        <v>52</v>
      </c>
    </row>
    <row r="4535" spans="1:42" x14ac:dyDescent="0.35">
      <c r="A4535" t="s">
        <v>45</v>
      </c>
      <c r="B4535" t="s">
        <v>10170</v>
      </c>
      <c r="C4535" t="s">
        <v>47</v>
      </c>
      <c r="D4535" t="s">
        <v>45</v>
      </c>
      <c r="E4535" t="s">
        <v>45</v>
      </c>
      <c r="F4535" t="s">
        <v>49</v>
      </c>
      <c r="G4535" t="s">
        <v>10216</v>
      </c>
      <c r="H4535" t="s">
        <v>10217</v>
      </c>
      <c r="J4535" t="str">
        <f>HYPERLINK("https://www.facebook.com/357267201017935/inbox/6960261847385071/","https://www.facebook.com/357267201017935/inbox/6960261847385071/")</f>
        <v>https://www.facebook.com/357267201017935/inbox/6960261847385071/</v>
      </c>
      <c r="O4535">
        <v>0</v>
      </c>
      <c r="P4535">
        <v>0</v>
      </c>
      <c r="Q4535">
        <v>0</v>
      </c>
      <c r="S4535">
        <v>0</v>
      </c>
      <c r="T4535">
        <v>0</v>
      </c>
      <c r="U4535">
        <v>0</v>
      </c>
      <c r="W4535" t="s">
        <v>52</v>
      </c>
    </row>
    <row r="4536" spans="1:42" x14ac:dyDescent="0.35">
      <c r="A4536" t="s">
        <v>45</v>
      </c>
      <c r="B4536" t="s">
        <v>10170</v>
      </c>
      <c r="C4536" t="s">
        <v>139</v>
      </c>
      <c r="D4536" t="s">
        <v>190</v>
      </c>
      <c r="E4536" t="s">
        <v>45</v>
      </c>
      <c r="F4536" t="s">
        <v>49</v>
      </c>
      <c r="G4536" t="s">
        <v>10218</v>
      </c>
      <c r="H4536" t="s">
        <v>10219</v>
      </c>
      <c r="J4536" t="str">
        <f>HYPERLINK("https://twitter.com/FinoPaymntsBank/status/1752311471261044771","https://twitter.com/FinoPaymntsBank/status/1752311471261044771")</f>
        <v>https://twitter.com/FinoPaymntsBank/status/1752311471261044771</v>
      </c>
      <c r="K4536" t="s">
        <v>145</v>
      </c>
      <c r="O4536">
        <v>0</v>
      </c>
      <c r="P4536">
        <v>0</v>
      </c>
      <c r="Q4536">
        <v>8342</v>
      </c>
      <c r="R4536" t="s">
        <v>193</v>
      </c>
      <c r="S4536">
        <v>0</v>
      </c>
      <c r="T4536">
        <v>0</v>
      </c>
      <c r="U4536">
        <v>0</v>
      </c>
      <c r="W4536" t="s">
        <v>146</v>
      </c>
    </row>
    <row r="4537" spans="1:42" x14ac:dyDescent="0.35">
      <c r="A4537" t="s">
        <v>45</v>
      </c>
      <c r="B4537" t="s">
        <v>10170</v>
      </c>
      <c r="C4537" t="s">
        <v>139</v>
      </c>
      <c r="D4537" t="s">
        <v>190</v>
      </c>
      <c r="E4537" t="s">
        <v>45</v>
      </c>
      <c r="F4537" t="s">
        <v>49</v>
      </c>
      <c r="G4537" t="s">
        <v>10220</v>
      </c>
      <c r="H4537" t="s">
        <v>10221</v>
      </c>
      <c r="J4537" t="str">
        <f>HYPERLINK("https://twitter.com/FinoPaymntsBank/status/1752311316998742024","https://twitter.com/FinoPaymntsBank/status/1752311316998742024")</f>
        <v>https://twitter.com/FinoPaymntsBank/status/1752311316998742024</v>
      </c>
      <c r="K4537" t="s">
        <v>145</v>
      </c>
      <c r="O4537">
        <v>0</v>
      </c>
      <c r="P4537">
        <v>0</v>
      </c>
      <c r="Q4537">
        <v>8342</v>
      </c>
      <c r="R4537" t="s">
        <v>193</v>
      </c>
      <c r="S4537">
        <v>0</v>
      </c>
      <c r="T4537">
        <v>0</v>
      </c>
      <c r="U4537">
        <v>0</v>
      </c>
      <c r="W4537" t="s">
        <v>146</v>
      </c>
    </row>
    <row r="4538" spans="1:42" x14ac:dyDescent="0.35">
      <c r="A4538" t="s">
        <v>45</v>
      </c>
      <c r="B4538" t="s">
        <v>10170</v>
      </c>
      <c r="C4538" t="s">
        <v>47</v>
      </c>
      <c r="D4538" t="s">
        <v>45</v>
      </c>
      <c r="E4538" t="s">
        <v>45</v>
      </c>
      <c r="F4538" t="s">
        <v>49</v>
      </c>
      <c r="G4538" t="s">
        <v>10222</v>
      </c>
      <c r="H4538" t="s">
        <v>10223</v>
      </c>
      <c r="J4538" t="str">
        <f>HYPERLINK("https://www.facebook.com/454965103328545/posts/758440022981050?comment_id=682954497365534&amp;reply_comment_id=207182359087992","https://www.facebook.com/454965103328545/posts/758440022981050?comment_id=682954497365534&amp;reply_comment_id=207182359087992")</f>
        <v>https://www.facebook.com/454965103328545/posts/758440022981050?comment_id=682954497365534&amp;reply_comment_id=207182359087992</v>
      </c>
      <c r="O4538">
        <v>0</v>
      </c>
      <c r="P4538">
        <v>0</v>
      </c>
      <c r="Q4538">
        <v>0</v>
      </c>
      <c r="S4538">
        <v>0</v>
      </c>
      <c r="T4538">
        <v>0</v>
      </c>
      <c r="U4538">
        <v>0</v>
      </c>
      <c r="W4538" t="s">
        <v>62</v>
      </c>
      <c r="AP4538" t="s">
        <v>101</v>
      </c>
    </row>
    <row r="4539" spans="1:42" x14ac:dyDescent="0.35">
      <c r="A4539" t="s">
        <v>45</v>
      </c>
      <c r="B4539" t="s">
        <v>10170</v>
      </c>
      <c r="C4539" t="s">
        <v>139</v>
      </c>
      <c r="D4539" t="s">
        <v>4289</v>
      </c>
      <c r="E4539" t="s">
        <v>4290</v>
      </c>
      <c r="F4539" t="s">
        <v>49</v>
      </c>
      <c r="G4539" t="s">
        <v>10224</v>
      </c>
      <c r="H4539" t="s">
        <v>10225</v>
      </c>
      <c r="J4539" t="str">
        <f>HYPERLINK("https://twitter.com/TinkuYadav9334/status/1752310753460432913","https://twitter.com/TinkuYadav9334/status/1752310753460432913")</f>
        <v>https://twitter.com/TinkuYadav9334/status/1752310753460432913</v>
      </c>
      <c r="K4539" t="s">
        <v>145</v>
      </c>
      <c r="O4539">
        <v>0</v>
      </c>
      <c r="P4539">
        <v>0</v>
      </c>
      <c r="Q4539">
        <v>2</v>
      </c>
      <c r="R4539" t="s">
        <v>4293</v>
      </c>
      <c r="S4539">
        <v>0</v>
      </c>
      <c r="T4539">
        <v>0</v>
      </c>
      <c r="U4539">
        <v>0</v>
      </c>
      <c r="W4539" t="s">
        <v>146</v>
      </c>
      <c r="AO4539" t="s">
        <v>119</v>
      </c>
      <c r="AP4539" t="s">
        <v>101</v>
      </c>
    </row>
    <row r="4540" spans="1:42" x14ac:dyDescent="0.35">
      <c r="A4540" t="s">
        <v>45</v>
      </c>
      <c r="B4540" t="s">
        <v>10170</v>
      </c>
      <c r="C4540" t="s">
        <v>47</v>
      </c>
      <c r="D4540" t="s">
        <v>45</v>
      </c>
      <c r="E4540" t="s">
        <v>45</v>
      </c>
      <c r="F4540" t="s">
        <v>49</v>
      </c>
      <c r="G4540" t="s">
        <v>10226</v>
      </c>
      <c r="H4540" t="s">
        <v>10227</v>
      </c>
      <c r="J4540" t="str">
        <f>HYPERLINK("https://www.facebook.com/357267201017935/inbox/6962504270494162/","https://www.facebook.com/357267201017935/inbox/6962504270494162/")</f>
        <v>https://www.facebook.com/357267201017935/inbox/6962504270494162/</v>
      </c>
      <c r="O4540">
        <v>0</v>
      </c>
      <c r="P4540">
        <v>0</v>
      </c>
      <c r="Q4540">
        <v>0</v>
      </c>
      <c r="S4540">
        <v>0</v>
      </c>
      <c r="T4540">
        <v>0</v>
      </c>
      <c r="U4540">
        <v>0</v>
      </c>
      <c r="W4540" t="s">
        <v>52</v>
      </c>
    </row>
    <row r="4541" spans="1:42" x14ac:dyDescent="0.35">
      <c r="A4541" t="s">
        <v>45</v>
      </c>
      <c r="B4541" t="s">
        <v>10170</v>
      </c>
      <c r="C4541" t="s">
        <v>58</v>
      </c>
      <c r="D4541" t="s">
        <v>277</v>
      </c>
      <c r="E4541" t="s">
        <v>277</v>
      </c>
      <c r="F4541" t="s">
        <v>49</v>
      </c>
      <c r="G4541" t="s">
        <v>320</v>
      </c>
      <c r="H4541" t="s">
        <v>10228</v>
      </c>
      <c r="J4541" t="str">
        <f>HYPERLINK("https://www.youtube.com/watch?v=h0bepiiaMS8&amp;lc=Ugw1K4vRjNegI1jfWUd4AaABAg.A-1Vd-ilFRWA-BtFh6423R","https://www.youtube.com/watch?v=h0bepiiaMS8&amp;lc=Ugw1K4vRjNegI1jfWUd4AaABAg.A-1Vd-ilFRWA-BtFh6423R")</f>
        <v>https://www.youtube.com/watch?v=h0bepiiaMS8&amp;lc=Ugw1K4vRjNegI1jfWUd4AaABAg.A-1Vd-ilFRWA-BtFh6423R</v>
      </c>
      <c r="O4541">
        <v>0</v>
      </c>
      <c r="P4541">
        <v>0</v>
      </c>
      <c r="Q4541">
        <v>0</v>
      </c>
      <c r="S4541">
        <v>0</v>
      </c>
      <c r="T4541">
        <v>0</v>
      </c>
      <c r="U4541">
        <v>0</v>
      </c>
      <c r="W4541" t="s">
        <v>62</v>
      </c>
    </row>
    <row r="4542" spans="1:42" x14ac:dyDescent="0.35">
      <c r="A4542" t="s">
        <v>45</v>
      </c>
      <c r="B4542" t="s">
        <v>10170</v>
      </c>
      <c r="C4542" t="s">
        <v>47</v>
      </c>
      <c r="D4542" t="s">
        <v>45</v>
      </c>
      <c r="E4542" t="s">
        <v>45</v>
      </c>
      <c r="F4542" t="s">
        <v>49</v>
      </c>
      <c r="G4542" t="s">
        <v>10229</v>
      </c>
      <c r="H4542" t="s">
        <v>10230</v>
      </c>
      <c r="J4542" t="str">
        <f>HYPERLINK("https://www.facebook.com/454965103328545/posts/759706966187689?comment_id=414219521127175&amp;reply_comment_id=1319401108700511","https://www.facebook.com/454965103328545/posts/759706966187689?comment_id=414219521127175&amp;reply_comment_id=1319401108700511")</f>
        <v>https://www.facebook.com/454965103328545/posts/759706966187689?comment_id=414219521127175&amp;reply_comment_id=1319401108700511</v>
      </c>
      <c r="O4542">
        <v>0</v>
      </c>
      <c r="P4542">
        <v>0</v>
      </c>
      <c r="Q4542">
        <v>0</v>
      </c>
      <c r="S4542">
        <v>0</v>
      </c>
      <c r="T4542">
        <v>0</v>
      </c>
      <c r="U4542">
        <v>0</v>
      </c>
      <c r="W4542" t="s">
        <v>62</v>
      </c>
    </row>
    <row r="4543" spans="1:42" x14ac:dyDescent="0.35">
      <c r="A4543" t="s">
        <v>45</v>
      </c>
      <c r="B4543" t="s">
        <v>10170</v>
      </c>
      <c r="C4543" t="s">
        <v>47</v>
      </c>
      <c r="D4543" t="s">
        <v>45</v>
      </c>
      <c r="E4543" t="s">
        <v>45</v>
      </c>
      <c r="F4543" t="s">
        <v>49</v>
      </c>
      <c r="G4543" t="s">
        <v>10229</v>
      </c>
      <c r="H4543" t="s">
        <v>10231</v>
      </c>
      <c r="J4543" t="str">
        <f>HYPERLINK("https://www.facebook.com/454965103328545/posts/759706966187689?comment_id=414219521127175&amp;reply_comment_id=389038553670394","https://www.facebook.com/454965103328545/posts/759706966187689?comment_id=414219521127175&amp;reply_comment_id=389038553670394")</f>
        <v>https://www.facebook.com/454965103328545/posts/759706966187689?comment_id=414219521127175&amp;reply_comment_id=389038553670394</v>
      </c>
      <c r="O4543">
        <v>0</v>
      </c>
      <c r="P4543">
        <v>0</v>
      </c>
      <c r="Q4543">
        <v>0</v>
      </c>
      <c r="S4543">
        <v>0</v>
      </c>
      <c r="T4543">
        <v>0</v>
      </c>
      <c r="U4543">
        <v>0</v>
      </c>
      <c r="W4543" t="s">
        <v>62</v>
      </c>
    </row>
    <row r="4544" spans="1:42" x14ac:dyDescent="0.35">
      <c r="A4544" t="s">
        <v>45</v>
      </c>
      <c r="B4544" t="s">
        <v>10170</v>
      </c>
      <c r="C4544" t="s">
        <v>47</v>
      </c>
      <c r="D4544" t="s">
        <v>45</v>
      </c>
      <c r="E4544" t="s">
        <v>45</v>
      </c>
      <c r="F4544" t="s">
        <v>49</v>
      </c>
      <c r="G4544" t="s">
        <v>10232</v>
      </c>
      <c r="H4544" t="s">
        <v>10233</v>
      </c>
      <c r="J4544" t="str">
        <f>HYPERLINK("https://www.facebook.com/357267201017935/posts/3418723634872261/?comment_id=2091561264550930&amp;reply_comment_id=1059051325324995","https://www.facebook.com/357267201017935/posts/3418723634872261/?comment_id=2091561264550930&amp;reply_comment_id=1059051325324995")</f>
        <v>https://www.facebook.com/357267201017935/posts/3418723634872261/?comment_id=2091561264550930&amp;reply_comment_id=1059051325324995</v>
      </c>
      <c r="O4544">
        <v>0</v>
      </c>
      <c r="P4544">
        <v>0</v>
      </c>
      <c r="Q4544">
        <v>0</v>
      </c>
      <c r="S4544">
        <v>0</v>
      </c>
      <c r="T4544">
        <v>0</v>
      </c>
      <c r="U4544">
        <v>0</v>
      </c>
      <c r="W4544" t="s">
        <v>62</v>
      </c>
    </row>
    <row r="4545" spans="1:23" x14ac:dyDescent="0.35">
      <c r="A4545" t="s">
        <v>45</v>
      </c>
      <c r="B4545" t="s">
        <v>10170</v>
      </c>
      <c r="C4545" t="s">
        <v>139</v>
      </c>
      <c r="D4545" t="s">
        <v>190</v>
      </c>
      <c r="E4545" t="s">
        <v>45</v>
      </c>
      <c r="F4545" t="s">
        <v>49</v>
      </c>
      <c r="G4545" t="s">
        <v>10234</v>
      </c>
      <c r="H4545" t="s">
        <v>10235</v>
      </c>
      <c r="J4545" t="str">
        <f>HYPERLINK("https://twitter.com/FinoPaymntsBank/status/1752309229250339047","https://twitter.com/FinoPaymntsBank/status/1752309229250339047")</f>
        <v>https://twitter.com/FinoPaymntsBank/status/1752309229250339047</v>
      </c>
      <c r="K4545" t="s">
        <v>145</v>
      </c>
      <c r="O4545">
        <v>0</v>
      </c>
      <c r="P4545">
        <v>0</v>
      </c>
      <c r="Q4545">
        <v>8340</v>
      </c>
      <c r="R4545" t="s">
        <v>193</v>
      </c>
      <c r="S4545">
        <v>0</v>
      </c>
      <c r="T4545">
        <v>0</v>
      </c>
      <c r="U4545">
        <v>0</v>
      </c>
      <c r="W4545" t="s">
        <v>146</v>
      </c>
    </row>
    <row r="4546" spans="1:23" x14ac:dyDescent="0.35">
      <c r="A4546" t="s">
        <v>45</v>
      </c>
      <c r="B4546" t="s">
        <v>10170</v>
      </c>
      <c r="C4546" t="s">
        <v>47</v>
      </c>
      <c r="D4546" t="s">
        <v>45</v>
      </c>
      <c r="E4546" t="s">
        <v>45</v>
      </c>
      <c r="F4546" t="s">
        <v>49</v>
      </c>
      <c r="G4546" t="s">
        <v>10236</v>
      </c>
      <c r="H4546" t="s">
        <v>10237</v>
      </c>
      <c r="J4546" t="str">
        <f>HYPERLINK("https://www.facebook.com/357267201017935/posts/4320033674741248/?comment_id=911037103664487&amp;reply_comment_id=744315850961738","https://www.facebook.com/357267201017935/posts/4320033674741248/?comment_id=911037103664487&amp;reply_comment_id=744315850961738")</f>
        <v>https://www.facebook.com/357267201017935/posts/4320033674741248/?comment_id=911037103664487&amp;reply_comment_id=744315850961738</v>
      </c>
      <c r="O4546">
        <v>0</v>
      </c>
      <c r="P4546">
        <v>0</v>
      </c>
      <c r="Q4546">
        <v>0</v>
      </c>
      <c r="S4546">
        <v>0</v>
      </c>
      <c r="T4546">
        <v>0</v>
      </c>
      <c r="U4546">
        <v>0</v>
      </c>
      <c r="W4546" t="s">
        <v>62</v>
      </c>
    </row>
    <row r="4547" spans="1:23" x14ac:dyDescent="0.35">
      <c r="A4547" t="s">
        <v>45</v>
      </c>
      <c r="B4547" t="s">
        <v>10170</v>
      </c>
      <c r="C4547" t="s">
        <v>47</v>
      </c>
      <c r="D4547" t="s">
        <v>45</v>
      </c>
      <c r="E4547" t="s">
        <v>45</v>
      </c>
      <c r="F4547" t="s">
        <v>49</v>
      </c>
      <c r="G4547" t="s">
        <v>10238</v>
      </c>
      <c r="H4547" t="s">
        <v>10239</v>
      </c>
      <c r="J4547" t="str">
        <f>HYPERLINK("https://www.facebook.com/454965103328545/posts/757813099710409?comment_id=1932417933822678&amp;reply_comment_id=273182375592323","https://www.facebook.com/454965103328545/posts/757813099710409?comment_id=1932417933822678&amp;reply_comment_id=273182375592323")</f>
        <v>https://www.facebook.com/454965103328545/posts/757813099710409?comment_id=1932417933822678&amp;reply_comment_id=273182375592323</v>
      </c>
      <c r="O4547">
        <v>0</v>
      </c>
      <c r="P4547">
        <v>0</v>
      </c>
      <c r="Q4547">
        <v>0</v>
      </c>
      <c r="S4547">
        <v>0</v>
      </c>
      <c r="T4547">
        <v>0</v>
      </c>
      <c r="U4547">
        <v>0</v>
      </c>
      <c r="W4547" t="s">
        <v>62</v>
      </c>
    </row>
    <row r="4548" spans="1:23" x14ac:dyDescent="0.35">
      <c r="A4548" t="s">
        <v>45</v>
      </c>
      <c r="B4548" t="s">
        <v>10170</v>
      </c>
      <c r="C4548" t="s">
        <v>47</v>
      </c>
      <c r="D4548" t="s">
        <v>45</v>
      </c>
      <c r="E4548" t="s">
        <v>45</v>
      </c>
      <c r="F4548" t="s">
        <v>49</v>
      </c>
      <c r="G4548" t="s">
        <v>10240</v>
      </c>
      <c r="H4548" t="s">
        <v>10241</v>
      </c>
      <c r="J4548" t="str">
        <f>HYPERLINK("https://www.facebook.com/357267201017935/posts/1942138352530804/?comment_id=1124374945510810&amp;reply_comment_id=688735730095029","https://www.facebook.com/357267201017935/posts/1942138352530804/?comment_id=1124374945510810&amp;reply_comment_id=688735730095029")</f>
        <v>https://www.facebook.com/357267201017935/posts/1942138352530804/?comment_id=1124374945510810&amp;reply_comment_id=688735730095029</v>
      </c>
      <c r="O4548">
        <v>0</v>
      </c>
      <c r="P4548">
        <v>0</v>
      </c>
      <c r="Q4548">
        <v>0</v>
      </c>
      <c r="S4548">
        <v>0</v>
      </c>
      <c r="T4548">
        <v>0</v>
      </c>
      <c r="U4548">
        <v>0</v>
      </c>
      <c r="W4548" t="s">
        <v>62</v>
      </c>
    </row>
    <row r="4549" spans="1:23" x14ac:dyDescent="0.35">
      <c r="A4549" t="s">
        <v>45</v>
      </c>
      <c r="B4549" t="s">
        <v>10170</v>
      </c>
      <c r="C4549" t="s">
        <v>47</v>
      </c>
      <c r="D4549" t="s">
        <v>45</v>
      </c>
      <c r="E4549" t="s">
        <v>45</v>
      </c>
      <c r="F4549" t="s">
        <v>49</v>
      </c>
      <c r="G4549" t="s">
        <v>10242</v>
      </c>
      <c r="H4549" t="s">
        <v>10243</v>
      </c>
      <c r="J4549" t="str">
        <f>HYPERLINK("https://www.facebook.com/454965103328545/posts/760895469402172?comment_id=752596890112887&amp;reply_comment_id=343867011805293","https://www.facebook.com/454965103328545/posts/760895469402172?comment_id=752596890112887&amp;reply_comment_id=343867011805293")</f>
        <v>https://www.facebook.com/454965103328545/posts/760895469402172?comment_id=752596890112887&amp;reply_comment_id=343867011805293</v>
      </c>
      <c r="O4549">
        <v>0</v>
      </c>
      <c r="P4549">
        <v>0</v>
      </c>
      <c r="Q4549">
        <v>0</v>
      </c>
      <c r="S4549">
        <v>0</v>
      </c>
      <c r="T4549">
        <v>0</v>
      </c>
      <c r="U4549">
        <v>0</v>
      </c>
      <c r="W4549" t="s">
        <v>62</v>
      </c>
    </row>
    <row r="4550" spans="1:23" x14ac:dyDescent="0.35">
      <c r="A4550" t="s">
        <v>45</v>
      </c>
      <c r="B4550" t="s">
        <v>10170</v>
      </c>
      <c r="C4550" t="s">
        <v>47</v>
      </c>
      <c r="D4550" t="s">
        <v>45</v>
      </c>
      <c r="E4550" t="s">
        <v>45</v>
      </c>
      <c r="F4550" t="s">
        <v>49</v>
      </c>
      <c r="G4550" t="s">
        <v>10244</v>
      </c>
      <c r="H4550" t="s">
        <v>10245</v>
      </c>
      <c r="J4550" t="str">
        <f>HYPERLINK("https://www.facebook.com/454965103328545/posts/744159567742429?comment_id=772299864804669&amp;reply_comment_id=343588301833946","https://www.facebook.com/454965103328545/posts/744159567742429?comment_id=772299864804669&amp;reply_comment_id=343588301833946")</f>
        <v>https://www.facebook.com/454965103328545/posts/744159567742429?comment_id=772299864804669&amp;reply_comment_id=343588301833946</v>
      </c>
      <c r="O4550">
        <v>0</v>
      </c>
      <c r="P4550">
        <v>0</v>
      </c>
      <c r="Q4550">
        <v>0</v>
      </c>
      <c r="S4550">
        <v>0</v>
      </c>
      <c r="T4550">
        <v>0</v>
      </c>
      <c r="U4550">
        <v>0</v>
      </c>
      <c r="W4550" t="s">
        <v>62</v>
      </c>
    </row>
    <row r="4551" spans="1:23" x14ac:dyDescent="0.35">
      <c r="A4551" t="s">
        <v>45</v>
      </c>
      <c r="B4551" t="s">
        <v>10170</v>
      </c>
      <c r="C4551" t="s">
        <v>47</v>
      </c>
      <c r="D4551" t="s">
        <v>45</v>
      </c>
      <c r="E4551" t="s">
        <v>45</v>
      </c>
      <c r="F4551" t="s">
        <v>49</v>
      </c>
      <c r="G4551" t="s">
        <v>10246</v>
      </c>
      <c r="H4551" t="s">
        <v>10247</v>
      </c>
      <c r="J4551" t="str">
        <f>HYPERLINK("https://www.facebook.com/454965103328545/posts/490024586489263?comment_id=1138418107503534&amp;reply_comment_id=1083741199622279","https://www.facebook.com/454965103328545/posts/490024586489263?comment_id=1138418107503534&amp;reply_comment_id=1083741199622279")</f>
        <v>https://www.facebook.com/454965103328545/posts/490024586489263?comment_id=1138418107503534&amp;reply_comment_id=1083741199622279</v>
      </c>
      <c r="O4551">
        <v>0</v>
      </c>
      <c r="P4551">
        <v>0</v>
      </c>
      <c r="Q4551">
        <v>0</v>
      </c>
      <c r="S4551">
        <v>0</v>
      </c>
      <c r="T4551">
        <v>0</v>
      </c>
      <c r="U4551">
        <v>0</v>
      </c>
      <c r="W4551" t="s">
        <v>62</v>
      </c>
    </row>
    <row r="4552" spans="1:23" x14ac:dyDescent="0.35">
      <c r="A4552" t="s">
        <v>45</v>
      </c>
      <c r="B4552" t="s">
        <v>10170</v>
      </c>
      <c r="C4552" t="s">
        <v>139</v>
      </c>
      <c r="D4552" t="s">
        <v>190</v>
      </c>
      <c r="E4552" t="s">
        <v>45</v>
      </c>
      <c r="F4552" t="s">
        <v>49</v>
      </c>
      <c r="G4552" t="s">
        <v>10248</v>
      </c>
      <c r="H4552" t="s">
        <v>10249</v>
      </c>
      <c r="J4552" t="str">
        <f>HYPERLINK("https://twitter.com/FinoPaymntsBank/status/1752307028444565774","https://twitter.com/FinoPaymntsBank/status/1752307028444565774")</f>
        <v>https://twitter.com/FinoPaymntsBank/status/1752307028444565774</v>
      </c>
      <c r="K4552" t="s">
        <v>145</v>
      </c>
      <c r="O4552">
        <v>0</v>
      </c>
      <c r="P4552">
        <v>0</v>
      </c>
      <c r="Q4552">
        <v>8340</v>
      </c>
      <c r="R4552" t="s">
        <v>193</v>
      </c>
      <c r="S4552">
        <v>0</v>
      </c>
      <c r="T4552">
        <v>0</v>
      </c>
      <c r="U4552">
        <v>0</v>
      </c>
      <c r="W4552" t="s">
        <v>146</v>
      </c>
    </row>
    <row r="4553" spans="1:23" x14ac:dyDescent="0.35">
      <c r="A4553" t="s">
        <v>45</v>
      </c>
      <c r="B4553" t="s">
        <v>10170</v>
      </c>
      <c r="C4553" t="s">
        <v>47</v>
      </c>
      <c r="D4553" t="s">
        <v>45</v>
      </c>
      <c r="E4553" t="s">
        <v>45</v>
      </c>
      <c r="F4553" t="s">
        <v>49</v>
      </c>
      <c r="G4553" t="s">
        <v>10250</v>
      </c>
      <c r="H4553" t="s">
        <v>10251</v>
      </c>
      <c r="J4553" t="str">
        <f>HYPERLINK("https://www.facebook.com/454965103328545/posts/752509516907434?comment_id=1978313252563456&amp;reply_comment_id=5797116740413445","https://www.facebook.com/454965103328545/posts/752509516907434?comment_id=1978313252563456&amp;reply_comment_id=5797116740413445")</f>
        <v>https://www.facebook.com/454965103328545/posts/752509516907434?comment_id=1978313252563456&amp;reply_comment_id=5797116740413445</v>
      </c>
      <c r="O4553">
        <v>0</v>
      </c>
      <c r="P4553">
        <v>0</v>
      </c>
      <c r="Q4553">
        <v>0</v>
      </c>
      <c r="S4553">
        <v>0</v>
      </c>
      <c r="T4553">
        <v>0</v>
      </c>
      <c r="U4553">
        <v>0</v>
      </c>
      <c r="W4553" t="s">
        <v>62</v>
      </c>
    </row>
    <row r="4554" spans="1:23" x14ac:dyDescent="0.35">
      <c r="A4554" t="s">
        <v>45</v>
      </c>
      <c r="B4554" t="s">
        <v>10170</v>
      </c>
      <c r="C4554" t="s">
        <v>47</v>
      </c>
      <c r="D4554" t="s">
        <v>45</v>
      </c>
      <c r="E4554" t="s">
        <v>45</v>
      </c>
      <c r="F4554" t="s">
        <v>49</v>
      </c>
      <c r="G4554" t="s">
        <v>10252</v>
      </c>
      <c r="H4554" t="s">
        <v>10253</v>
      </c>
      <c r="J4554" t="str">
        <f>HYPERLINK("https://www.facebook.com/357267201017935/posts/3069910089753619/?comment_id=1076426053479268&amp;reply_comment_id=369177502515930","https://www.facebook.com/357267201017935/posts/3069910089753619/?comment_id=1076426053479268&amp;reply_comment_id=369177502515930")</f>
        <v>https://www.facebook.com/357267201017935/posts/3069910089753619/?comment_id=1076426053479268&amp;reply_comment_id=369177502515930</v>
      </c>
      <c r="O4554">
        <v>0</v>
      </c>
      <c r="P4554">
        <v>0</v>
      </c>
      <c r="Q4554">
        <v>0</v>
      </c>
      <c r="S4554">
        <v>0</v>
      </c>
      <c r="T4554">
        <v>0</v>
      </c>
      <c r="U4554">
        <v>0</v>
      </c>
      <c r="W4554" t="s">
        <v>62</v>
      </c>
    </row>
    <row r="4555" spans="1:23" x14ac:dyDescent="0.35">
      <c r="A4555" t="s">
        <v>45</v>
      </c>
      <c r="B4555" t="s">
        <v>10170</v>
      </c>
      <c r="C4555" t="s">
        <v>47</v>
      </c>
      <c r="D4555" t="s">
        <v>45</v>
      </c>
      <c r="E4555" t="s">
        <v>45</v>
      </c>
      <c r="F4555" t="s">
        <v>49</v>
      </c>
      <c r="G4555" t="s">
        <v>10254</v>
      </c>
      <c r="H4555" t="s">
        <v>10255</v>
      </c>
      <c r="J4555" t="str">
        <f>HYPERLINK("https://www.facebook.com/357267201017935/inbox/6976613182416604/","https://www.facebook.com/357267201017935/inbox/6976613182416604/")</f>
        <v>https://www.facebook.com/357267201017935/inbox/6976613182416604/</v>
      </c>
      <c r="O4555">
        <v>0</v>
      </c>
      <c r="P4555">
        <v>0</v>
      </c>
      <c r="Q4555">
        <v>0</v>
      </c>
      <c r="S4555">
        <v>0</v>
      </c>
      <c r="T4555">
        <v>0</v>
      </c>
      <c r="U4555">
        <v>0</v>
      </c>
      <c r="W4555" t="s">
        <v>52</v>
      </c>
    </row>
    <row r="4556" spans="1:23" x14ac:dyDescent="0.35">
      <c r="A4556" t="s">
        <v>45</v>
      </c>
      <c r="B4556" t="s">
        <v>10170</v>
      </c>
      <c r="C4556" t="s">
        <v>63</v>
      </c>
      <c r="D4556" t="s">
        <v>186</v>
      </c>
      <c r="E4556" t="s">
        <v>186</v>
      </c>
      <c r="F4556" t="s">
        <v>49</v>
      </c>
      <c r="G4556" t="s">
        <v>10256</v>
      </c>
      <c r="H4556" t="s">
        <v>10257</v>
      </c>
      <c r="J4556" t="str">
        <f>HYPERLINK("https://www.instagram.com/p/C2uQh1oqlaY/","https://www.instagram.com/p/C2uQh1oqlaY/")</f>
        <v>https://www.instagram.com/p/C2uQh1oqlaY/</v>
      </c>
      <c r="O4556">
        <v>0</v>
      </c>
      <c r="P4556">
        <v>0</v>
      </c>
      <c r="Q4556">
        <v>0</v>
      </c>
      <c r="S4556">
        <v>0</v>
      </c>
      <c r="T4556">
        <v>67</v>
      </c>
      <c r="U4556">
        <v>0</v>
      </c>
      <c r="W4556" t="s">
        <v>106</v>
      </c>
    </row>
    <row r="4557" spans="1:23" x14ac:dyDescent="0.35">
      <c r="A4557" t="s">
        <v>45</v>
      </c>
      <c r="B4557" t="s">
        <v>10170</v>
      </c>
      <c r="C4557" t="s">
        <v>139</v>
      </c>
      <c r="D4557" t="s">
        <v>190</v>
      </c>
      <c r="E4557" t="s">
        <v>45</v>
      </c>
      <c r="F4557" t="s">
        <v>49</v>
      </c>
      <c r="G4557" t="s">
        <v>10258</v>
      </c>
      <c r="H4557" t="s">
        <v>10259</v>
      </c>
      <c r="J4557" t="str">
        <f>HYPERLINK("https://twitter.com/FinoPaymntsBank/status/1752293079921627223","https://twitter.com/FinoPaymntsBank/status/1752293079921627223")</f>
        <v>https://twitter.com/FinoPaymntsBank/status/1752293079921627223</v>
      </c>
      <c r="K4557" t="s">
        <v>145</v>
      </c>
      <c r="O4557">
        <v>0</v>
      </c>
      <c r="P4557">
        <v>0</v>
      </c>
      <c r="Q4557">
        <v>8340</v>
      </c>
      <c r="R4557" t="s">
        <v>193</v>
      </c>
      <c r="S4557">
        <v>0</v>
      </c>
      <c r="T4557">
        <v>0</v>
      </c>
      <c r="U4557">
        <v>0</v>
      </c>
      <c r="W4557" t="s">
        <v>146</v>
      </c>
    </row>
    <row r="4558" spans="1:23" x14ac:dyDescent="0.35">
      <c r="A4558" t="s">
        <v>45</v>
      </c>
      <c r="B4558" t="s">
        <v>10170</v>
      </c>
      <c r="C4558" t="s">
        <v>47</v>
      </c>
      <c r="D4558" t="s">
        <v>45</v>
      </c>
      <c r="E4558" t="s">
        <v>45</v>
      </c>
      <c r="F4558" t="s">
        <v>49</v>
      </c>
      <c r="G4558" t="s">
        <v>10256</v>
      </c>
      <c r="H4558" t="s">
        <v>10259</v>
      </c>
      <c r="J4558" t="str">
        <f>HYPERLINK("https://www.facebook.com/357267201017935_761984255959960","https://www.facebook.com/357267201017935_761984255959960")</f>
        <v>https://www.facebook.com/357267201017935_761984255959960</v>
      </c>
      <c r="O4558">
        <v>0</v>
      </c>
      <c r="P4558">
        <v>0</v>
      </c>
      <c r="Q4558">
        <v>0</v>
      </c>
      <c r="S4558">
        <v>0</v>
      </c>
      <c r="T4558">
        <v>62</v>
      </c>
      <c r="U4558">
        <v>6</v>
      </c>
      <c r="W4558" t="s">
        <v>106</v>
      </c>
    </row>
    <row r="4559" spans="1:23" x14ac:dyDescent="0.35">
      <c r="A4559" t="s">
        <v>45</v>
      </c>
      <c r="B4559" t="s">
        <v>10170</v>
      </c>
      <c r="C4559" t="s">
        <v>58</v>
      </c>
      <c r="D4559" t="s">
        <v>1240</v>
      </c>
      <c r="E4559" t="s">
        <v>1240</v>
      </c>
      <c r="F4559" t="s">
        <v>49</v>
      </c>
      <c r="G4559" t="s">
        <v>10260</v>
      </c>
      <c r="H4559" t="s">
        <v>10261</v>
      </c>
      <c r="J4559" t="str">
        <f>HYPERLINK("https://www.youtube.com/watch?v=5JstxwJn6xM","https://www.youtube.com/watch?v=5JstxwJn6xM")</f>
        <v>https://www.youtube.com/watch?v=5JstxwJn6xM</v>
      </c>
      <c r="O4559">
        <v>0</v>
      </c>
      <c r="P4559">
        <v>0</v>
      </c>
      <c r="Q4559">
        <v>0</v>
      </c>
      <c r="S4559">
        <v>0</v>
      </c>
      <c r="T4559">
        <v>0</v>
      </c>
      <c r="U4559">
        <v>0</v>
      </c>
      <c r="W4559" t="s">
        <v>106</v>
      </c>
    </row>
    <row r="4560" spans="1:23" x14ac:dyDescent="0.35">
      <c r="A4560" t="s">
        <v>45</v>
      </c>
      <c r="B4560" t="s">
        <v>10170</v>
      </c>
      <c r="C4560" t="s">
        <v>47</v>
      </c>
      <c r="D4560" t="s">
        <v>10262</v>
      </c>
      <c r="E4560" t="s">
        <v>10262</v>
      </c>
      <c r="F4560" t="s">
        <v>49</v>
      </c>
      <c r="G4560" t="s">
        <v>253</v>
      </c>
      <c r="H4560" t="s">
        <v>10263</v>
      </c>
      <c r="J4560" t="str">
        <f>HYPERLINK("https://www.facebook.com/357267201017935/inbox/6340497419361520/","https://www.facebook.com/357267201017935/inbox/6340497419361520/")</f>
        <v>https://www.facebook.com/357267201017935/inbox/6340497419361520/</v>
      </c>
      <c r="O4560">
        <v>0</v>
      </c>
      <c r="P4560">
        <v>0</v>
      </c>
      <c r="Q4560">
        <v>0</v>
      </c>
      <c r="S4560">
        <v>0</v>
      </c>
      <c r="T4560">
        <v>0</v>
      </c>
      <c r="U4560">
        <v>0</v>
      </c>
      <c r="W4560" t="s">
        <v>52</v>
      </c>
    </row>
    <row r="4561" spans="1:45" x14ac:dyDescent="0.35">
      <c r="A4561" t="s">
        <v>45</v>
      </c>
      <c r="B4561" t="s">
        <v>10170</v>
      </c>
      <c r="C4561" t="s">
        <v>47</v>
      </c>
      <c r="D4561" t="s">
        <v>10264</v>
      </c>
      <c r="E4561" t="s">
        <v>10264</v>
      </c>
      <c r="F4561" t="s">
        <v>76</v>
      </c>
      <c r="G4561" t="s">
        <v>10265</v>
      </c>
      <c r="H4561" t="s">
        <v>10266</v>
      </c>
      <c r="J4561" t="str">
        <f>HYPERLINK("https://www.facebook.com/357267201017935/inbox/6976613182416604/","https://www.facebook.com/357267201017935/inbox/6976613182416604/")</f>
        <v>https://www.facebook.com/357267201017935/inbox/6976613182416604/</v>
      </c>
      <c r="O4561">
        <v>0</v>
      </c>
      <c r="P4561">
        <v>0</v>
      </c>
      <c r="Q4561">
        <v>0</v>
      </c>
      <c r="S4561">
        <v>0</v>
      </c>
      <c r="T4561">
        <v>0</v>
      </c>
      <c r="U4561">
        <v>0</v>
      </c>
      <c r="W4561" t="s">
        <v>52</v>
      </c>
    </row>
    <row r="4562" spans="1:45" x14ac:dyDescent="0.35">
      <c r="A4562" t="s">
        <v>45</v>
      </c>
      <c r="B4562" t="s">
        <v>10170</v>
      </c>
      <c r="C4562" t="s">
        <v>139</v>
      </c>
      <c r="D4562" t="s">
        <v>4153</v>
      </c>
      <c r="E4562" t="s">
        <v>6255</v>
      </c>
      <c r="F4562" t="s">
        <v>76</v>
      </c>
      <c r="G4562" t="s">
        <v>10267</v>
      </c>
      <c r="H4562" t="s">
        <v>10268</v>
      </c>
      <c r="J4562" t="str">
        <f>HYPERLINK("https://twitter.com/Gr8AdvisorIN/status/1752179358675189891","https://twitter.com/Gr8AdvisorIN/status/1752179358675189891")</f>
        <v>https://twitter.com/Gr8AdvisorIN/status/1752179358675189891</v>
      </c>
      <c r="O4562">
        <v>0</v>
      </c>
      <c r="P4562">
        <v>0</v>
      </c>
      <c r="Q4562">
        <v>49</v>
      </c>
      <c r="S4562">
        <v>0</v>
      </c>
      <c r="T4562">
        <v>0</v>
      </c>
      <c r="U4562">
        <v>0</v>
      </c>
      <c r="W4562" t="s">
        <v>146</v>
      </c>
    </row>
    <row r="4563" spans="1:45" x14ac:dyDescent="0.35">
      <c r="A4563" t="s">
        <v>45</v>
      </c>
      <c r="B4563" t="s">
        <v>10170</v>
      </c>
      <c r="C4563" t="s">
        <v>139</v>
      </c>
      <c r="D4563" t="s">
        <v>4153</v>
      </c>
      <c r="E4563" t="s">
        <v>6255</v>
      </c>
      <c r="F4563" t="s">
        <v>76</v>
      </c>
      <c r="G4563" t="s">
        <v>10269</v>
      </c>
      <c r="H4563" t="s">
        <v>10270</v>
      </c>
      <c r="J4563" t="str">
        <f>HYPERLINK("https://twitter.com/Gr8AdvisorIN/status/1752179324747473317","https://twitter.com/Gr8AdvisorIN/status/1752179324747473317")</f>
        <v>https://twitter.com/Gr8AdvisorIN/status/1752179324747473317</v>
      </c>
      <c r="O4563">
        <v>0</v>
      </c>
      <c r="P4563">
        <v>0</v>
      </c>
      <c r="Q4563">
        <v>49</v>
      </c>
      <c r="S4563">
        <v>0</v>
      </c>
      <c r="T4563">
        <v>0</v>
      </c>
      <c r="U4563">
        <v>0</v>
      </c>
      <c r="W4563" t="s">
        <v>146</v>
      </c>
    </row>
    <row r="4564" spans="1:45" x14ac:dyDescent="0.35">
      <c r="A4564" t="s">
        <v>45</v>
      </c>
      <c r="B4564" t="s">
        <v>10170</v>
      </c>
      <c r="C4564" t="s">
        <v>139</v>
      </c>
      <c r="D4564" t="s">
        <v>4153</v>
      </c>
      <c r="E4564" t="s">
        <v>6255</v>
      </c>
      <c r="F4564" t="s">
        <v>76</v>
      </c>
      <c r="G4564" t="s">
        <v>10271</v>
      </c>
      <c r="H4564" t="s">
        <v>10272</v>
      </c>
      <c r="J4564" t="str">
        <f>HYPERLINK("https://twitter.com/Gr8AdvisorIN/status/1752179265536418096","https://twitter.com/Gr8AdvisorIN/status/1752179265536418096")</f>
        <v>https://twitter.com/Gr8AdvisorIN/status/1752179265536418096</v>
      </c>
      <c r="O4564">
        <v>0</v>
      </c>
      <c r="P4564">
        <v>0</v>
      </c>
      <c r="Q4564">
        <v>49</v>
      </c>
      <c r="S4564">
        <v>0</v>
      </c>
      <c r="T4564">
        <v>0</v>
      </c>
      <c r="U4564">
        <v>0</v>
      </c>
      <c r="W4564" t="s">
        <v>146</v>
      </c>
    </row>
    <row r="4565" spans="1:45" x14ac:dyDescent="0.35">
      <c r="A4565" t="s">
        <v>45</v>
      </c>
      <c r="B4565" t="s">
        <v>10170</v>
      </c>
      <c r="C4565" t="s">
        <v>139</v>
      </c>
      <c r="D4565" t="s">
        <v>4153</v>
      </c>
      <c r="E4565" t="s">
        <v>6255</v>
      </c>
      <c r="F4565" t="s">
        <v>76</v>
      </c>
      <c r="G4565" t="s">
        <v>10273</v>
      </c>
      <c r="H4565" t="s">
        <v>10274</v>
      </c>
      <c r="J4565" t="str">
        <f>HYPERLINK("https://twitter.com/Gr8AdvisorIN/status/1752179160209076554","https://twitter.com/Gr8AdvisorIN/status/1752179160209076554")</f>
        <v>https://twitter.com/Gr8AdvisorIN/status/1752179160209076554</v>
      </c>
      <c r="O4565">
        <v>0</v>
      </c>
      <c r="P4565">
        <v>0</v>
      </c>
      <c r="Q4565">
        <v>49</v>
      </c>
      <c r="S4565">
        <v>0</v>
      </c>
      <c r="T4565">
        <v>0</v>
      </c>
      <c r="U4565">
        <v>0</v>
      </c>
      <c r="W4565" t="s">
        <v>146</v>
      </c>
    </row>
    <row r="4566" spans="1:45" x14ac:dyDescent="0.35">
      <c r="A4566" t="s">
        <v>45</v>
      </c>
      <c r="B4566" t="s">
        <v>10170</v>
      </c>
      <c r="C4566" t="s">
        <v>139</v>
      </c>
      <c r="D4566" t="s">
        <v>4153</v>
      </c>
      <c r="E4566" t="s">
        <v>6255</v>
      </c>
      <c r="F4566" t="s">
        <v>76</v>
      </c>
      <c r="G4566" t="s">
        <v>10275</v>
      </c>
      <c r="H4566" t="s">
        <v>10276</v>
      </c>
      <c r="J4566" t="str">
        <f>HYPERLINK("https://twitter.com/Gr8AdvisorIN/status/1752179073923817846","https://twitter.com/Gr8AdvisorIN/status/1752179073923817846")</f>
        <v>https://twitter.com/Gr8AdvisorIN/status/1752179073923817846</v>
      </c>
      <c r="O4566">
        <v>0</v>
      </c>
      <c r="P4566">
        <v>0</v>
      </c>
      <c r="Q4566">
        <v>49</v>
      </c>
      <c r="S4566">
        <v>0</v>
      </c>
      <c r="T4566">
        <v>0</v>
      </c>
      <c r="U4566">
        <v>0</v>
      </c>
      <c r="W4566" t="s">
        <v>146</v>
      </c>
    </row>
    <row r="4567" spans="1:45" x14ac:dyDescent="0.35">
      <c r="A4567" t="s">
        <v>45</v>
      </c>
      <c r="B4567" t="s">
        <v>10170</v>
      </c>
      <c r="C4567" t="s">
        <v>139</v>
      </c>
      <c r="D4567" t="s">
        <v>4153</v>
      </c>
      <c r="E4567" t="s">
        <v>6255</v>
      </c>
      <c r="F4567" t="s">
        <v>49</v>
      </c>
      <c r="G4567" t="s">
        <v>10277</v>
      </c>
      <c r="H4567" t="s">
        <v>10278</v>
      </c>
      <c r="J4567" t="str">
        <f>HYPERLINK("https://twitter.com/Gr8AdvisorIN/status/1752179016382218708","https://twitter.com/Gr8AdvisorIN/status/1752179016382218708")</f>
        <v>https://twitter.com/Gr8AdvisorIN/status/1752179016382218708</v>
      </c>
      <c r="O4567">
        <v>0</v>
      </c>
      <c r="P4567">
        <v>0</v>
      </c>
      <c r="Q4567">
        <v>49</v>
      </c>
      <c r="S4567">
        <v>0</v>
      </c>
      <c r="T4567">
        <v>0</v>
      </c>
      <c r="U4567">
        <v>0</v>
      </c>
      <c r="W4567" t="s">
        <v>146</v>
      </c>
    </row>
    <row r="4568" spans="1:45" x14ac:dyDescent="0.35">
      <c r="A4568" t="s">
        <v>45</v>
      </c>
      <c r="B4568" t="s">
        <v>10170</v>
      </c>
      <c r="C4568" t="s">
        <v>139</v>
      </c>
      <c r="D4568" t="s">
        <v>4153</v>
      </c>
      <c r="E4568" t="s">
        <v>6255</v>
      </c>
      <c r="F4568" t="s">
        <v>76</v>
      </c>
      <c r="G4568" t="s">
        <v>10279</v>
      </c>
      <c r="H4568" t="s">
        <v>10280</v>
      </c>
      <c r="J4568" t="str">
        <f>HYPERLINK("https://twitter.com/Gr8AdvisorIN/status/1752178921397989391","https://twitter.com/Gr8AdvisorIN/status/1752178921397989391")</f>
        <v>https://twitter.com/Gr8AdvisorIN/status/1752178921397989391</v>
      </c>
      <c r="O4568">
        <v>0</v>
      </c>
      <c r="P4568">
        <v>0</v>
      </c>
      <c r="Q4568">
        <v>49</v>
      </c>
      <c r="S4568">
        <v>0</v>
      </c>
      <c r="T4568">
        <v>0</v>
      </c>
      <c r="U4568">
        <v>0</v>
      </c>
      <c r="W4568" t="s">
        <v>146</v>
      </c>
    </row>
    <row r="4569" spans="1:45" x14ac:dyDescent="0.35">
      <c r="A4569" t="s">
        <v>45</v>
      </c>
      <c r="B4569" t="s">
        <v>10170</v>
      </c>
      <c r="C4569" t="s">
        <v>139</v>
      </c>
      <c r="D4569" t="s">
        <v>4153</v>
      </c>
      <c r="E4569" t="s">
        <v>6255</v>
      </c>
      <c r="F4569" t="s">
        <v>76</v>
      </c>
      <c r="G4569" t="s">
        <v>10281</v>
      </c>
      <c r="H4569" t="s">
        <v>10282</v>
      </c>
      <c r="J4569" t="str">
        <f>HYPERLINK("https://twitter.com/Gr8AdvisorIN/status/1752178869434736943","https://twitter.com/Gr8AdvisorIN/status/1752178869434736943")</f>
        <v>https://twitter.com/Gr8AdvisorIN/status/1752178869434736943</v>
      </c>
      <c r="O4569">
        <v>0</v>
      </c>
      <c r="P4569">
        <v>0</v>
      </c>
      <c r="Q4569">
        <v>49</v>
      </c>
      <c r="S4569">
        <v>0</v>
      </c>
      <c r="T4569">
        <v>0</v>
      </c>
      <c r="U4569">
        <v>0</v>
      </c>
      <c r="W4569" t="s">
        <v>146</v>
      </c>
    </row>
    <row r="4570" spans="1:45" x14ac:dyDescent="0.35">
      <c r="A4570" t="s">
        <v>45</v>
      </c>
      <c r="B4570" t="s">
        <v>10170</v>
      </c>
      <c r="C4570" t="s">
        <v>139</v>
      </c>
      <c r="D4570" t="s">
        <v>4153</v>
      </c>
      <c r="E4570" t="s">
        <v>6255</v>
      </c>
      <c r="F4570" t="s">
        <v>76</v>
      </c>
      <c r="G4570" t="s">
        <v>10283</v>
      </c>
      <c r="H4570" t="s">
        <v>10284</v>
      </c>
      <c r="J4570" t="str">
        <f>HYPERLINK("https://twitter.com/Gr8AdvisorIN/status/1752178762865946787","https://twitter.com/Gr8AdvisorIN/status/1752178762865946787")</f>
        <v>https://twitter.com/Gr8AdvisorIN/status/1752178762865946787</v>
      </c>
      <c r="O4570">
        <v>0</v>
      </c>
      <c r="P4570">
        <v>0</v>
      </c>
      <c r="Q4570">
        <v>49</v>
      </c>
      <c r="S4570">
        <v>0</v>
      </c>
      <c r="T4570">
        <v>0</v>
      </c>
      <c r="U4570">
        <v>0</v>
      </c>
      <c r="W4570" t="s">
        <v>146</v>
      </c>
    </row>
    <row r="4571" spans="1:45" x14ac:dyDescent="0.35">
      <c r="A4571" t="s">
        <v>45</v>
      </c>
      <c r="B4571" t="s">
        <v>10170</v>
      </c>
      <c r="C4571" t="s">
        <v>102</v>
      </c>
      <c r="D4571" t="s">
        <v>10285</v>
      </c>
      <c r="E4571" t="s">
        <v>10285</v>
      </c>
      <c r="F4571" t="s">
        <v>49</v>
      </c>
      <c r="G4571" t="s">
        <v>10286</v>
      </c>
      <c r="H4571" t="s">
        <v>10287</v>
      </c>
      <c r="J4571" t="str">
        <f>HYPERLINK("https://www.linkedin.com/feed/update/urn:li:share:7156273388947189761/?commentUrn=urn:li:comment:(urn:li:activity:7156473344677101568,7157927213802151936)","https://www.linkedin.com/feed/update/urn:li:share:7156273388947189761/?commentUrn=urn:li:comment:(urn:li:activity:7156473344677101568,7157927213802151936)")</f>
        <v>https://www.linkedin.com/feed/update/urn:li:share:7156273388947189761/?commentUrn=urn:li:comment:(urn:li:activity:7156473344677101568,7157927213802151936)</v>
      </c>
      <c r="K4571" t="s">
        <v>145</v>
      </c>
      <c r="O4571">
        <v>0</v>
      </c>
      <c r="P4571">
        <v>0</v>
      </c>
      <c r="Q4571">
        <v>0</v>
      </c>
      <c r="S4571">
        <v>0</v>
      </c>
      <c r="T4571">
        <v>0</v>
      </c>
      <c r="U4571">
        <v>0</v>
      </c>
      <c r="W4571" t="s">
        <v>62</v>
      </c>
      <c r="AO4571" t="s">
        <v>119</v>
      </c>
      <c r="AP4571" t="s">
        <v>94</v>
      </c>
    </row>
    <row r="4572" spans="1:45" x14ac:dyDescent="0.35">
      <c r="A4572" t="s">
        <v>45</v>
      </c>
      <c r="B4572" t="s">
        <v>10288</v>
      </c>
      <c r="C4572" t="s">
        <v>139</v>
      </c>
      <c r="D4572" t="s">
        <v>10289</v>
      </c>
      <c r="E4572" t="s">
        <v>10290</v>
      </c>
      <c r="F4572" t="s">
        <v>76</v>
      </c>
      <c r="G4572" t="s">
        <v>10291</v>
      </c>
      <c r="H4572" t="s">
        <v>10292</v>
      </c>
      <c r="J4572" t="str">
        <f>HYPERLINK("https://twitter.com/P_Shejao/status/1752020880807309802","https://twitter.com/P_Shejao/status/1752020880807309802")</f>
        <v>https://twitter.com/P_Shejao/status/1752020880807309802</v>
      </c>
      <c r="K4572" t="s">
        <v>145</v>
      </c>
      <c r="O4572">
        <v>0</v>
      </c>
      <c r="P4572">
        <v>0</v>
      </c>
      <c r="Q4572">
        <v>88</v>
      </c>
      <c r="S4572">
        <v>0</v>
      </c>
      <c r="T4572">
        <v>0</v>
      </c>
      <c r="U4572">
        <v>0</v>
      </c>
      <c r="W4572" t="s">
        <v>146</v>
      </c>
    </row>
    <row r="4573" spans="1:45" x14ac:dyDescent="0.35">
      <c r="A4573" t="s">
        <v>45</v>
      </c>
      <c r="B4573" t="s">
        <v>10288</v>
      </c>
      <c r="C4573" t="s">
        <v>139</v>
      </c>
      <c r="D4573" t="s">
        <v>2566</v>
      </c>
      <c r="E4573" t="s">
        <v>2567</v>
      </c>
      <c r="F4573" t="s">
        <v>142</v>
      </c>
      <c r="G4573" t="s">
        <v>10293</v>
      </c>
      <c r="H4573" t="s">
        <v>10294</v>
      </c>
      <c r="J4573" t="str">
        <f>HYPERLINK("https://twitter.com/jeet_innocent/status/1752009280189002058","https://twitter.com/jeet_innocent/status/1752009280189002058")</f>
        <v>https://twitter.com/jeet_innocent/status/1752009280189002058</v>
      </c>
      <c r="K4573" t="s">
        <v>145</v>
      </c>
      <c r="O4573">
        <v>0</v>
      </c>
      <c r="P4573">
        <v>0</v>
      </c>
      <c r="Q4573">
        <v>16</v>
      </c>
      <c r="R4573" t="s">
        <v>2570</v>
      </c>
      <c r="S4573">
        <v>0</v>
      </c>
      <c r="T4573">
        <v>0</v>
      </c>
      <c r="U4573">
        <v>0</v>
      </c>
      <c r="W4573" t="s">
        <v>146</v>
      </c>
      <c r="AP4573" t="s">
        <v>101</v>
      </c>
    </row>
    <row r="4574" spans="1:45" x14ac:dyDescent="0.35">
      <c r="A4574" t="s">
        <v>45</v>
      </c>
      <c r="B4574" t="s">
        <v>10288</v>
      </c>
      <c r="C4574" t="s">
        <v>58</v>
      </c>
      <c r="D4574" t="s">
        <v>10002</v>
      </c>
      <c r="E4574" t="s">
        <v>10002</v>
      </c>
      <c r="F4574" t="s">
        <v>49</v>
      </c>
      <c r="G4574" t="s">
        <v>10295</v>
      </c>
      <c r="H4574" t="s">
        <v>10296</v>
      </c>
      <c r="J4574" t="str">
        <f>HYPERLINK("https://www.youtube.com/watch?v=925wDlqlsbU","https://www.youtube.com/watch?v=925wDlqlsbU")</f>
        <v>https://www.youtube.com/watch?v=925wDlqlsbU</v>
      </c>
      <c r="O4574">
        <v>0</v>
      </c>
      <c r="P4574">
        <v>0</v>
      </c>
      <c r="Q4574">
        <v>0</v>
      </c>
      <c r="S4574">
        <v>0</v>
      </c>
      <c r="T4574">
        <v>0</v>
      </c>
      <c r="U4574">
        <v>0</v>
      </c>
      <c r="W4574" t="s">
        <v>106</v>
      </c>
    </row>
    <row r="4575" spans="1:45" x14ac:dyDescent="0.35">
      <c r="A4575" t="s">
        <v>45</v>
      </c>
      <c r="B4575" t="s">
        <v>10288</v>
      </c>
      <c r="C4575" t="s">
        <v>47</v>
      </c>
      <c r="D4575" t="s">
        <v>10264</v>
      </c>
      <c r="E4575" t="s">
        <v>10264</v>
      </c>
      <c r="F4575" t="s">
        <v>49</v>
      </c>
      <c r="G4575" t="s">
        <v>10297</v>
      </c>
      <c r="H4575" t="s">
        <v>10298</v>
      </c>
      <c r="J4575" t="str">
        <f>HYPERLINK("https://www.facebook.com/357267201017935/inbox/6976613182416604/","https://www.facebook.com/357267201017935/inbox/6976613182416604/")</f>
        <v>https://www.facebook.com/357267201017935/inbox/6976613182416604/</v>
      </c>
      <c r="O4575">
        <v>0</v>
      </c>
      <c r="P4575">
        <v>0</v>
      </c>
      <c r="Q4575">
        <v>0</v>
      </c>
      <c r="S4575">
        <v>0</v>
      </c>
      <c r="T4575">
        <v>0</v>
      </c>
      <c r="U4575">
        <v>0</v>
      </c>
      <c r="W4575" t="s">
        <v>52</v>
      </c>
      <c r="AS4575" t="s">
        <v>375</v>
      </c>
    </row>
    <row r="4576" spans="1:45" x14ac:dyDescent="0.35">
      <c r="A4576" t="s">
        <v>45</v>
      </c>
      <c r="B4576" t="s">
        <v>10288</v>
      </c>
      <c r="C4576" t="s">
        <v>47</v>
      </c>
      <c r="D4576" t="s">
        <v>10264</v>
      </c>
      <c r="E4576" t="s">
        <v>10264</v>
      </c>
      <c r="F4576" t="s">
        <v>49</v>
      </c>
      <c r="G4576" t="s">
        <v>3430</v>
      </c>
      <c r="H4576" t="s">
        <v>10299</v>
      </c>
      <c r="J4576" t="str">
        <f>HYPERLINK("https://www.facebook.com/357267201017935/inbox/6976613182416604/","https://www.facebook.com/357267201017935/inbox/6976613182416604/")</f>
        <v>https://www.facebook.com/357267201017935/inbox/6976613182416604/</v>
      </c>
      <c r="O4576">
        <v>0</v>
      </c>
      <c r="P4576">
        <v>0</v>
      </c>
      <c r="Q4576">
        <v>0</v>
      </c>
      <c r="S4576">
        <v>0</v>
      </c>
      <c r="T4576">
        <v>0</v>
      </c>
      <c r="U4576">
        <v>0</v>
      </c>
      <c r="W4576" t="s">
        <v>52</v>
      </c>
    </row>
    <row r="4577" spans="1:45" x14ac:dyDescent="0.35">
      <c r="A4577" t="s">
        <v>45</v>
      </c>
      <c r="B4577" t="s">
        <v>10288</v>
      </c>
      <c r="C4577" t="s">
        <v>47</v>
      </c>
      <c r="D4577" t="s">
        <v>3899</v>
      </c>
      <c r="E4577" t="s">
        <v>3899</v>
      </c>
      <c r="F4577" t="s">
        <v>49</v>
      </c>
      <c r="G4577" t="s">
        <v>10300</v>
      </c>
      <c r="H4577" t="s">
        <v>10301</v>
      </c>
      <c r="J4577" t="str">
        <f>HYPERLINK("https://www.facebook.com/454965103328545/posts/760895469402172?comment_id=752596890112887&amp;reply_comment_id=918439136598789","https://www.facebook.com/454965103328545/posts/760895469402172?comment_id=752596890112887&amp;reply_comment_id=918439136598789")</f>
        <v>https://www.facebook.com/454965103328545/posts/760895469402172?comment_id=752596890112887&amp;reply_comment_id=918439136598789</v>
      </c>
      <c r="O4577">
        <v>0</v>
      </c>
      <c r="P4577">
        <v>0</v>
      </c>
      <c r="Q4577">
        <v>0</v>
      </c>
      <c r="S4577">
        <v>0</v>
      </c>
      <c r="T4577">
        <v>0</v>
      </c>
      <c r="U4577">
        <v>0</v>
      </c>
      <c r="W4577" t="s">
        <v>62</v>
      </c>
    </row>
    <row r="4578" spans="1:45" x14ac:dyDescent="0.35">
      <c r="A4578" t="s">
        <v>45</v>
      </c>
      <c r="B4578" t="s">
        <v>10288</v>
      </c>
      <c r="C4578" t="s">
        <v>47</v>
      </c>
      <c r="D4578" t="s">
        <v>10302</v>
      </c>
      <c r="E4578" t="s">
        <v>10302</v>
      </c>
      <c r="F4578" t="s">
        <v>49</v>
      </c>
      <c r="G4578" t="s">
        <v>459</v>
      </c>
      <c r="H4578" t="s">
        <v>10303</v>
      </c>
      <c r="J4578" t="str">
        <f>HYPERLINK("https://www.facebook.com/357267201017935/posts/3069910089753619/?comment_id=1076426053479268","https://www.facebook.com/357267201017935/posts/3069910089753619/?comment_id=1076426053479268")</f>
        <v>https://www.facebook.com/357267201017935/posts/3069910089753619/?comment_id=1076426053479268</v>
      </c>
      <c r="O4578">
        <v>0</v>
      </c>
      <c r="P4578">
        <v>0</v>
      </c>
      <c r="Q4578">
        <v>0</v>
      </c>
      <c r="S4578">
        <v>0</v>
      </c>
      <c r="T4578">
        <v>0</v>
      </c>
      <c r="U4578">
        <v>0</v>
      </c>
      <c r="W4578" t="s">
        <v>62</v>
      </c>
      <c r="AS4578" t="s">
        <v>375</v>
      </c>
    </row>
    <row r="4579" spans="1:45" x14ac:dyDescent="0.35">
      <c r="A4579" t="s">
        <v>45</v>
      </c>
      <c r="B4579" t="s">
        <v>10288</v>
      </c>
      <c r="C4579" t="s">
        <v>47</v>
      </c>
      <c r="D4579" t="s">
        <v>10302</v>
      </c>
      <c r="E4579" t="s">
        <v>10302</v>
      </c>
      <c r="F4579" t="s">
        <v>49</v>
      </c>
      <c r="G4579" t="s">
        <v>459</v>
      </c>
      <c r="H4579" t="s">
        <v>10304</v>
      </c>
      <c r="J4579" t="str">
        <f>HYPERLINK("https://www.facebook.com/357267201017935/posts/3069910089753619/?comment_id=929849541981704","https://www.facebook.com/357267201017935/posts/3069910089753619/?comment_id=929849541981704")</f>
        <v>https://www.facebook.com/357267201017935/posts/3069910089753619/?comment_id=929849541981704</v>
      </c>
      <c r="O4579">
        <v>0</v>
      </c>
      <c r="P4579">
        <v>0</v>
      </c>
      <c r="Q4579">
        <v>0</v>
      </c>
      <c r="S4579">
        <v>0</v>
      </c>
      <c r="T4579">
        <v>0</v>
      </c>
      <c r="U4579">
        <v>0</v>
      </c>
      <c r="W4579" t="s">
        <v>62</v>
      </c>
    </row>
    <row r="4580" spans="1:45" x14ac:dyDescent="0.35">
      <c r="A4580" t="s">
        <v>45</v>
      </c>
      <c r="B4580" t="s">
        <v>10288</v>
      </c>
      <c r="C4580" t="s">
        <v>47</v>
      </c>
      <c r="D4580" t="s">
        <v>10302</v>
      </c>
      <c r="E4580" t="s">
        <v>10302</v>
      </c>
      <c r="F4580" t="s">
        <v>142</v>
      </c>
      <c r="G4580" t="s">
        <v>10305</v>
      </c>
      <c r="H4580" t="s">
        <v>10306</v>
      </c>
      <c r="J4580" t="str">
        <f>HYPERLINK("https://www.facebook.com/357267201017935/posts/3069910089753619/?comment_id=413190931130619","https://www.facebook.com/357267201017935/posts/3069910089753619/?comment_id=413190931130619")</f>
        <v>https://www.facebook.com/357267201017935/posts/3069910089753619/?comment_id=413190931130619</v>
      </c>
      <c r="O4580">
        <v>0</v>
      </c>
      <c r="P4580">
        <v>0</v>
      </c>
      <c r="Q4580">
        <v>0</v>
      </c>
      <c r="S4580">
        <v>0</v>
      </c>
      <c r="T4580">
        <v>0</v>
      </c>
      <c r="U4580">
        <v>0</v>
      </c>
      <c r="W4580" t="s">
        <v>62</v>
      </c>
    </row>
    <row r="4581" spans="1:45" x14ac:dyDescent="0.35">
      <c r="A4581" t="s">
        <v>45</v>
      </c>
      <c r="B4581" t="s">
        <v>10288</v>
      </c>
      <c r="C4581" t="s">
        <v>47</v>
      </c>
      <c r="D4581" t="s">
        <v>10207</v>
      </c>
      <c r="E4581" t="s">
        <v>10207</v>
      </c>
      <c r="F4581" t="s">
        <v>49</v>
      </c>
      <c r="G4581" t="s">
        <v>10307</v>
      </c>
      <c r="H4581" t="s">
        <v>10308</v>
      </c>
      <c r="J4581" t="str">
        <f>HYPERLINK("https://www.facebook.com/454965103328545/posts/752509516907434?comment_id=1978313252563456","https://www.facebook.com/454965103328545/posts/752509516907434?comment_id=1978313252563456")</f>
        <v>https://www.facebook.com/454965103328545/posts/752509516907434?comment_id=1978313252563456</v>
      </c>
      <c r="O4581">
        <v>0</v>
      </c>
      <c r="P4581">
        <v>0</v>
      </c>
      <c r="Q4581">
        <v>0</v>
      </c>
      <c r="S4581">
        <v>0</v>
      </c>
      <c r="T4581">
        <v>0</v>
      </c>
      <c r="U4581">
        <v>0</v>
      </c>
      <c r="W4581" t="s">
        <v>62</v>
      </c>
      <c r="AS4581" t="s">
        <v>375</v>
      </c>
    </row>
    <row r="4582" spans="1:45" x14ac:dyDescent="0.35">
      <c r="A4582" t="s">
        <v>45</v>
      </c>
      <c r="B4582" t="s">
        <v>10288</v>
      </c>
      <c r="C4582" t="s">
        <v>139</v>
      </c>
      <c r="D4582" t="s">
        <v>10309</v>
      </c>
      <c r="E4582" t="s">
        <v>10310</v>
      </c>
      <c r="F4582" t="s">
        <v>142</v>
      </c>
      <c r="G4582" t="s">
        <v>10311</v>
      </c>
      <c r="H4582" t="s">
        <v>10312</v>
      </c>
      <c r="J4582" t="str">
        <f>HYPERLINK("https://twitter.com/rakarajput1992/status/1751965207042355422","https://twitter.com/rakarajput1992/status/1751965207042355422")</f>
        <v>https://twitter.com/rakarajput1992/status/1751965207042355422</v>
      </c>
      <c r="K4582" t="s">
        <v>145</v>
      </c>
      <c r="O4582">
        <v>0</v>
      </c>
      <c r="P4582">
        <v>0</v>
      </c>
      <c r="Q4582">
        <v>9</v>
      </c>
      <c r="S4582">
        <v>0</v>
      </c>
      <c r="T4582">
        <v>0</v>
      </c>
      <c r="U4582">
        <v>0</v>
      </c>
      <c r="W4582" t="s">
        <v>146</v>
      </c>
      <c r="AS4582" t="s">
        <v>375</v>
      </c>
    </row>
    <row r="4583" spans="1:45" x14ac:dyDescent="0.35">
      <c r="A4583" t="s">
        <v>45</v>
      </c>
      <c r="B4583" t="s">
        <v>10288</v>
      </c>
      <c r="C4583" t="s">
        <v>47</v>
      </c>
      <c r="D4583" t="s">
        <v>45</v>
      </c>
      <c r="E4583" t="s">
        <v>45</v>
      </c>
      <c r="F4583" t="s">
        <v>49</v>
      </c>
      <c r="G4583" t="s">
        <v>10064</v>
      </c>
      <c r="H4583" t="s">
        <v>10313</v>
      </c>
      <c r="J4583" t="str">
        <f>HYPERLINK("https://www.facebook.com/357267201017935_762114689280250","https://www.facebook.com/357267201017935_762114689280250")</f>
        <v>https://www.facebook.com/357267201017935_762114689280250</v>
      </c>
      <c r="O4583">
        <v>0</v>
      </c>
      <c r="P4583">
        <v>0</v>
      </c>
      <c r="Q4583">
        <v>0</v>
      </c>
      <c r="S4583">
        <v>0</v>
      </c>
      <c r="T4583">
        <v>43</v>
      </c>
      <c r="U4583">
        <v>1</v>
      </c>
      <c r="W4583" t="s">
        <v>106</v>
      </c>
      <c r="AP4583" t="s">
        <v>147</v>
      </c>
    </row>
    <row r="4584" spans="1:45" x14ac:dyDescent="0.35">
      <c r="A4584" t="s">
        <v>45</v>
      </c>
      <c r="B4584" t="s">
        <v>10288</v>
      </c>
      <c r="C4584" t="s">
        <v>58</v>
      </c>
      <c r="D4584" t="s">
        <v>10314</v>
      </c>
      <c r="E4584" t="s">
        <v>10314</v>
      </c>
      <c r="F4584" t="s">
        <v>49</v>
      </c>
      <c r="G4584" t="s">
        <v>10315</v>
      </c>
      <c r="H4584" t="s">
        <v>10316</v>
      </c>
      <c r="J4584" t="str">
        <f>HYPERLINK("https://www.youtube.com/watch?v=ZIq-ffxYZ0g&amp;lc=UgxJ_LmAnhW80xFVYVB4AaABAg","https://www.youtube.com/watch?v=ZIq-ffxYZ0g&amp;lc=UgxJ_LmAnhW80xFVYVB4AaABAg")</f>
        <v>https://www.youtube.com/watch?v=ZIq-ffxYZ0g&amp;lc=UgxJ_LmAnhW80xFVYVB4AaABAg</v>
      </c>
      <c r="O4584">
        <v>0</v>
      </c>
      <c r="P4584">
        <v>0</v>
      </c>
      <c r="Q4584">
        <v>0</v>
      </c>
      <c r="S4584">
        <v>0</v>
      </c>
      <c r="T4584">
        <v>0</v>
      </c>
      <c r="U4584">
        <v>0</v>
      </c>
      <c r="W4584" t="s">
        <v>62</v>
      </c>
      <c r="AP4584" t="s">
        <v>101</v>
      </c>
    </row>
    <row r="4585" spans="1:45" x14ac:dyDescent="0.35">
      <c r="A4585" t="s">
        <v>45</v>
      </c>
      <c r="B4585" t="s">
        <v>10288</v>
      </c>
      <c r="C4585" t="s">
        <v>58</v>
      </c>
      <c r="D4585" t="s">
        <v>10211</v>
      </c>
      <c r="E4585" t="s">
        <v>10211</v>
      </c>
      <c r="F4585" t="s">
        <v>49</v>
      </c>
      <c r="G4585" t="s">
        <v>9972</v>
      </c>
      <c r="H4585" t="s">
        <v>10317</v>
      </c>
      <c r="J4585" t="str">
        <f>HYPERLINK("https://www.youtube.com/watch?v=zJBDtq_-WzQ","https://www.youtube.com/watch?v=zJBDtq_-WzQ")</f>
        <v>https://www.youtube.com/watch?v=zJBDtq_-WzQ</v>
      </c>
      <c r="O4585">
        <v>0</v>
      </c>
      <c r="P4585">
        <v>0</v>
      </c>
      <c r="Q4585">
        <v>0</v>
      </c>
      <c r="S4585">
        <v>0</v>
      </c>
      <c r="T4585">
        <v>0</v>
      </c>
      <c r="U4585">
        <v>0</v>
      </c>
      <c r="W4585" t="s">
        <v>106</v>
      </c>
    </row>
    <row r="4586" spans="1:45" x14ac:dyDescent="0.35">
      <c r="A4586" t="s">
        <v>45</v>
      </c>
      <c r="B4586" t="s">
        <v>10288</v>
      </c>
      <c r="C4586" t="s">
        <v>58</v>
      </c>
      <c r="D4586" t="s">
        <v>7133</v>
      </c>
      <c r="E4586" t="s">
        <v>7133</v>
      </c>
      <c r="F4586" t="s">
        <v>49</v>
      </c>
      <c r="G4586" t="s">
        <v>7134</v>
      </c>
      <c r="H4586" t="s">
        <v>10318</v>
      </c>
      <c r="J4586" t="str">
        <f>HYPERLINK("https://www.youtube.com/watch?v=5yNKWoCgDjY","https://www.youtube.com/watch?v=5yNKWoCgDjY")</f>
        <v>https://www.youtube.com/watch?v=5yNKWoCgDjY</v>
      </c>
      <c r="O4586">
        <v>0</v>
      </c>
      <c r="P4586">
        <v>0</v>
      </c>
      <c r="Q4586">
        <v>0</v>
      </c>
      <c r="S4586">
        <v>0</v>
      </c>
      <c r="T4586">
        <v>0</v>
      </c>
      <c r="U4586">
        <v>0</v>
      </c>
      <c r="W4586" t="s">
        <v>106</v>
      </c>
    </row>
    <row r="4587" spans="1:45" x14ac:dyDescent="0.35">
      <c r="A4587" t="s">
        <v>45</v>
      </c>
      <c r="B4587" t="s">
        <v>10288</v>
      </c>
      <c r="C4587" t="s">
        <v>47</v>
      </c>
      <c r="D4587" t="s">
        <v>10319</v>
      </c>
      <c r="E4587" t="s">
        <v>10319</v>
      </c>
      <c r="F4587" t="s">
        <v>49</v>
      </c>
      <c r="G4587" t="s">
        <v>10320</v>
      </c>
      <c r="H4587" t="s">
        <v>10321</v>
      </c>
      <c r="J4587" t="str">
        <f>HYPERLINK("https://www.facebook.com/454965103328545/posts/490024586489263?comment_id=1462159424331294&amp;reply_comment_id=1138418107503534","https://www.facebook.com/454965103328545/posts/490024586489263?comment_id=1462159424331294&amp;reply_comment_id=1138418107503534")</f>
        <v>https://www.facebook.com/454965103328545/posts/490024586489263?comment_id=1462159424331294&amp;reply_comment_id=1138418107503534</v>
      </c>
      <c r="O4587">
        <v>0</v>
      </c>
      <c r="P4587">
        <v>0</v>
      </c>
      <c r="Q4587">
        <v>0</v>
      </c>
      <c r="S4587">
        <v>0</v>
      </c>
      <c r="T4587">
        <v>0</v>
      </c>
      <c r="U4587">
        <v>0</v>
      </c>
      <c r="W4587" t="s">
        <v>62</v>
      </c>
      <c r="AS4587" t="s">
        <v>375</v>
      </c>
    </row>
    <row r="4588" spans="1:45" x14ac:dyDescent="0.35">
      <c r="A4588" t="s">
        <v>45</v>
      </c>
      <c r="B4588" t="s">
        <v>10288</v>
      </c>
      <c r="C4588" t="s">
        <v>139</v>
      </c>
      <c r="D4588" t="s">
        <v>6987</v>
      </c>
      <c r="E4588" t="s">
        <v>10322</v>
      </c>
      <c r="F4588" t="s">
        <v>49</v>
      </c>
      <c r="G4588" t="s">
        <v>10323</v>
      </c>
      <c r="H4588" t="s">
        <v>10324</v>
      </c>
      <c r="J4588" t="str">
        <f>HYPERLINK("https://twitter.com/Ashiesh24/status/1751853063625921000","https://twitter.com/Ashiesh24/status/1751853063625921000")</f>
        <v>https://twitter.com/Ashiesh24/status/1751853063625921000</v>
      </c>
      <c r="K4588" t="s">
        <v>145</v>
      </c>
      <c r="O4588">
        <v>0</v>
      </c>
      <c r="P4588">
        <v>0</v>
      </c>
      <c r="Q4588">
        <v>1</v>
      </c>
      <c r="R4588" t="s">
        <v>6991</v>
      </c>
      <c r="S4588">
        <v>0</v>
      </c>
      <c r="T4588">
        <v>0</v>
      </c>
      <c r="U4588">
        <v>0</v>
      </c>
      <c r="W4588" t="s">
        <v>146</v>
      </c>
    </row>
    <row r="4589" spans="1:45" x14ac:dyDescent="0.35">
      <c r="A4589" t="s">
        <v>45</v>
      </c>
      <c r="B4589" t="s">
        <v>10288</v>
      </c>
      <c r="C4589" t="s">
        <v>47</v>
      </c>
      <c r="D4589" t="s">
        <v>10325</v>
      </c>
      <c r="E4589" t="s">
        <v>10325</v>
      </c>
      <c r="F4589" t="s">
        <v>49</v>
      </c>
      <c r="G4589" t="s">
        <v>10326</v>
      </c>
      <c r="H4589" t="s">
        <v>10327</v>
      </c>
      <c r="J4589" t="str">
        <f>HYPERLINK("https://www.facebook.com/454965103328545/posts/744159567742429?comment_id=772299864804669","https://www.facebook.com/454965103328545/posts/744159567742429?comment_id=772299864804669")</f>
        <v>https://www.facebook.com/454965103328545/posts/744159567742429?comment_id=772299864804669</v>
      </c>
      <c r="O4589">
        <v>0</v>
      </c>
      <c r="P4589">
        <v>0</v>
      </c>
      <c r="Q4589">
        <v>0</v>
      </c>
      <c r="S4589">
        <v>0</v>
      </c>
      <c r="T4589">
        <v>0</v>
      </c>
      <c r="U4589">
        <v>0</v>
      </c>
      <c r="W4589" t="s">
        <v>62</v>
      </c>
      <c r="AS4589" t="s">
        <v>375</v>
      </c>
    </row>
    <row r="4590" spans="1:45" x14ac:dyDescent="0.35">
      <c r="A4590" t="s">
        <v>45</v>
      </c>
      <c r="B4590" t="s">
        <v>10288</v>
      </c>
      <c r="C4590" t="s">
        <v>47</v>
      </c>
      <c r="D4590" t="s">
        <v>10328</v>
      </c>
      <c r="E4590" t="s">
        <v>10328</v>
      </c>
      <c r="F4590" t="s">
        <v>49</v>
      </c>
      <c r="G4590" t="s">
        <v>50</v>
      </c>
      <c r="H4590" t="s">
        <v>10329</v>
      </c>
      <c r="J4590" t="str">
        <f>HYPERLINK("https://www.facebook.com/357267201017935/inbox/6974745852603337/","https://www.facebook.com/357267201017935/inbox/6974745852603337/")</f>
        <v>https://www.facebook.com/357267201017935/inbox/6974745852603337/</v>
      </c>
      <c r="O4590">
        <v>0</v>
      </c>
      <c r="P4590">
        <v>0</v>
      </c>
      <c r="Q4590">
        <v>0</v>
      </c>
      <c r="S4590">
        <v>0</v>
      </c>
      <c r="T4590">
        <v>0</v>
      </c>
      <c r="U4590">
        <v>0</v>
      </c>
      <c r="W4590" t="s">
        <v>52</v>
      </c>
    </row>
    <row r="4591" spans="1:45" x14ac:dyDescent="0.35">
      <c r="A4591" t="s">
        <v>45</v>
      </c>
      <c r="B4591" t="s">
        <v>10288</v>
      </c>
      <c r="C4591" t="s">
        <v>58</v>
      </c>
      <c r="D4591" t="s">
        <v>10330</v>
      </c>
      <c r="E4591" t="s">
        <v>10330</v>
      </c>
      <c r="F4591" t="s">
        <v>49</v>
      </c>
      <c r="G4591" t="s">
        <v>10142</v>
      </c>
      <c r="H4591" t="s">
        <v>10331</v>
      </c>
      <c r="J4591" t="str">
        <f>HYPERLINK("https://www.youtube.com/watch?v=FDI-1ClIOGE","https://www.youtube.com/watch?v=FDI-1ClIOGE")</f>
        <v>https://www.youtube.com/watch?v=FDI-1ClIOGE</v>
      </c>
      <c r="O4591">
        <v>0</v>
      </c>
      <c r="P4591">
        <v>0</v>
      </c>
      <c r="Q4591">
        <v>0</v>
      </c>
      <c r="S4591">
        <v>0</v>
      </c>
      <c r="T4591">
        <v>0</v>
      </c>
      <c r="U4591">
        <v>0</v>
      </c>
      <c r="W4591" t="s">
        <v>106</v>
      </c>
    </row>
    <row r="4592" spans="1:45" x14ac:dyDescent="0.35">
      <c r="A4592" t="s">
        <v>45</v>
      </c>
      <c r="B4592" t="s">
        <v>10288</v>
      </c>
      <c r="C4592" t="s">
        <v>47</v>
      </c>
      <c r="D4592" t="s">
        <v>9123</v>
      </c>
      <c r="E4592" t="s">
        <v>9123</v>
      </c>
      <c r="F4592" t="s">
        <v>49</v>
      </c>
      <c r="G4592" t="s">
        <v>10332</v>
      </c>
      <c r="H4592" t="s">
        <v>10333</v>
      </c>
      <c r="J4592" t="str">
        <f>HYPERLINK("https://www.facebook.com/454965103328545/posts/760895469402172?comment_id=752596890112887&amp;reply_comment_id=370718572247276","https://www.facebook.com/454965103328545/posts/760895469402172?comment_id=752596890112887&amp;reply_comment_id=370718572247276")</f>
        <v>https://www.facebook.com/454965103328545/posts/760895469402172?comment_id=752596890112887&amp;reply_comment_id=370718572247276</v>
      </c>
      <c r="O4592">
        <v>0</v>
      </c>
      <c r="P4592">
        <v>0</v>
      </c>
      <c r="Q4592">
        <v>0</v>
      </c>
      <c r="S4592">
        <v>0</v>
      </c>
      <c r="T4592">
        <v>0</v>
      </c>
      <c r="U4592">
        <v>0</v>
      </c>
      <c r="W4592" t="s">
        <v>62</v>
      </c>
    </row>
    <row r="4593" spans="1:45" x14ac:dyDescent="0.35">
      <c r="A4593" t="s">
        <v>45</v>
      </c>
      <c r="B4593" t="s">
        <v>10288</v>
      </c>
      <c r="C4593" t="s">
        <v>47</v>
      </c>
      <c r="D4593" t="s">
        <v>3899</v>
      </c>
      <c r="E4593" t="s">
        <v>3899</v>
      </c>
      <c r="F4593" t="s">
        <v>49</v>
      </c>
      <c r="G4593" t="s">
        <v>10334</v>
      </c>
      <c r="H4593" t="s">
        <v>10335</v>
      </c>
      <c r="J4593" t="str">
        <f>HYPERLINK("https://www.facebook.com/454965103328545/posts/760895469402172?comment_id=752596890112887&amp;reply_comment_id=7317585164970018","https://www.facebook.com/454965103328545/posts/760895469402172?comment_id=752596890112887&amp;reply_comment_id=7317585164970018")</f>
        <v>https://www.facebook.com/454965103328545/posts/760895469402172?comment_id=752596890112887&amp;reply_comment_id=7317585164970018</v>
      </c>
      <c r="O4593">
        <v>0</v>
      </c>
      <c r="P4593">
        <v>0</v>
      </c>
      <c r="Q4593">
        <v>0</v>
      </c>
      <c r="S4593">
        <v>0</v>
      </c>
      <c r="T4593">
        <v>0</v>
      </c>
      <c r="U4593">
        <v>0</v>
      </c>
      <c r="W4593" t="s">
        <v>62</v>
      </c>
    </row>
    <row r="4594" spans="1:45" x14ac:dyDescent="0.35">
      <c r="A4594" t="s">
        <v>45</v>
      </c>
      <c r="B4594" t="s">
        <v>10288</v>
      </c>
      <c r="C4594" t="s">
        <v>139</v>
      </c>
      <c r="D4594" t="s">
        <v>10336</v>
      </c>
      <c r="E4594" t="s">
        <v>10337</v>
      </c>
      <c r="F4594" t="s">
        <v>49</v>
      </c>
      <c r="G4594" t="s">
        <v>10338</v>
      </c>
      <c r="H4594" t="s">
        <v>10339</v>
      </c>
      <c r="J4594" t="str">
        <f>HYPERLINK("https://twitter.com/GlalaLko/status/1751786396522869127","https://twitter.com/GlalaLko/status/1751786396522869127")</f>
        <v>https://twitter.com/GlalaLko/status/1751786396522869127</v>
      </c>
      <c r="K4594" t="s">
        <v>145</v>
      </c>
      <c r="O4594">
        <v>0</v>
      </c>
      <c r="P4594">
        <v>0</v>
      </c>
      <c r="Q4594">
        <v>407</v>
      </c>
      <c r="R4594" t="s">
        <v>10340</v>
      </c>
      <c r="S4594">
        <v>0</v>
      </c>
      <c r="T4594">
        <v>0</v>
      </c>
      <c r="U4594">
        <v>0</v>
      </c>
      <c r="W4594" t="s">
        <v>552</v>
      </c>
    </row>
    <row r="4595" spans="1:45" x14ac:dyDescent="0.35">
      <c r="A4595" t="s">
        <v>45</v>
      </c>
      <c r="B4595" t="s">
        <v>10288</v>
      </c>
      <c r="C4595" t="s">
        <v>139</v>
      </c>
      <c r="D4595" t="s">
        <v>10341</v>
      </c>
      <c r="E4595" t="s">
        <v>10342</v>
      </c>
      <c r="F4595" t="s">
        <v>49</v>
      </c>
      <c r="G4595" t="s">
        <v>10338</v>
      </c>
      <c r="H4595" t="s">
        <v>10343</v>
      </c>
      <c r="J4595" t="str">
        <f>HYPERLINK("https://twitter.com/Gopinath99591/status/1751785893411815781","https://twitter.com/Gopinath99591/status/1751785893411815781")</f>
        <v>https://twitter.com/Gopinath99591/status/1751785893411815781</v>
      </c>
      <c r="K4595" t="s">
        <v>145</v>
      </c>
      <c r="O4595">
        <v>0</v>
      </c>
      <c r="P4595">
        <v>0</v>
      </c>
      <c r="Q4595">
        <v>339</v>
      </c>
      <c r="R4595" t="s">
        <v>4256</v>
      </c>
      <c r="S4595">
        <v>0</v>
      </c>
      <c r="T4595">
        <v>0</v>
      </c>
      <c r="U4595">
        <v>0</v>
      </c>
      <c r="W4595" t="s">
        <v>552</v>
      </c>
    </row>
    <row r="4596" spans="1:45" x14ac:dyDescent="0.35">
      <c r="A4596" t="s">
        <v>45</v>
      </c>
      <c r="B4596" t="s">
        <v>10288</v>
      </c>
      <c r="C4596" t="s">
        <v>139</v>
      </c>
      <c r="D4596" t="s">
        <v>10344</v>
      </c>
      <c r="E4596" t="s">
        <v>10345</v>
      </c>
      <c r="F4596" t="s">
        <v>49</v>
      </c>
      <c r="G4596" t="s">
        <v>10338</v>
      </c>
      <c r="H4596" t="s">
        <v>10346</v>
      </c>
      <c r="J4596" t="str">
        <f>HYPERLINK("https://twitter.com/KhonaPriyank/status/1751783621034209395","https://twitter.com/KhonaPriyank/status/1751783621034209395")</f>
        <v>https://twitter.com/KhonaPriyank/status/1751783621034209395</v>
      </c>
      <c r="K4596" t="s">
        <v>145</v>
      </c>
      <c r="O4596">
        <v>0</v>
      </c>
      <c r="P4596">
        <v>0</v>
      </c>
      <c r="Q4596">
        <v>225</v>
      </c>
      <c r="R4596" t="s">
        <v>6409</v>
      </c>
      <c r="S4596">
        <v>0</v>
      </c>
      <c r="T4596">
        <v>0</v>
      </c>
      <c r="U4596">
        <v>0</v>
      </c>
      <c r="W4596" t="s">
        <v>552</v>
      </c>
    </row>
    <row r="4597" spans="1:45" x14ac:dyDescent="0.35">
      <c r="A4597" t="s">
        <v>45</v>
      </c>
      <c r="B4597" t="s">
        <v>10288</v>
      </c>
      <c r="C4597" t="s">
        <v>139</v>
      </c>
      <c r="D4597" t="s">
        <v>10347</v>
      </c>
      <c r="E4597" t="s">
        <v>10348</v>
      </c>
      <c r="F4597" t="s">
        <v>49</v>
      </c>
      <c r="G4597" t="s">
        <v>10338</v>
      </c>
      <c r="H4597" t="s">
        <v>10349</v>
      </c>
      <c r="J4597" t="str">
        <f>HYPERLINK("https://twitter.com/kothariabhishek/status/1751781274602406113","https://twitter.com/kothariabhishek/status/1751781274602406113")</f>
        <v>https://twitter.com/kothariabhishek/status/1751781274602406113</v>
      </c>
      <c r="K4597" t="s">
        <v>145</v>
      </c>
      <c r="O4597">
        <v>0</v>
      </c>
      <c r="P4597">
        <v>0</v>
      </c>
      <c r="Q4597">
        <v>45586</v>
      </c>
      <c r="R4597" t="s">
        <v>1247</v>
      </c>
      <c r="S4597">
        <v>0</v>
      </c>
      <c r="T4597">
        <v>0</v>
      </c>
      <c r="U4597">
        <v>0</v>
      </c>
      <c r="V4597" t="s">
        <v>642</v>
      </c>
      <c r="W4597" t="s">
        <v>146</v>
      </c>
    </row>
    <row r="4598" spans="1:45" x14ac:dyDescent="0.35">
      <c r="A4598" t="s">
        <v>45</v>
      </c>
      <c r="B4598" t="s">
        <v>10288</v>
      </c>
      <c r="C4598" t="s">
        <v>58</v>
      </c>
      <c r="D4598" t="s">
        <v>3440</v>
      </c>
      <c r="E4598" t="s">
        <v>3440</v>
      </c>
      <c r="F4598" t="s">
        <v>49</v>
      </c>
      <c r="G4598" t="s">
        <v>10350</v>
      </c>
      <c r="H4598" t="s">
        <v>10351</v>
      </c>
      <c r="J4598" t="str">
        <f>HYPERLINK("https://www.youtube.com/watch?v=XxiGlrNY9BE","https://www.youtube.com/watch?v=XxiGlrNY9BE")</f>
        <v>https://www.youtube.com/watch?v=XxiGlrNY9BE</v>
      </c>
      <c r="O4598">
        <v>0</v>
      </c>
      <c r="P4598">
        <v>0</v>
      </c>
      <c r="Q4598">
        <v>0</v>
      </c>
      <c r="S4598">
        <v>0</v>
      </c>
      <c r="T4598">
        <v>0</v>
      </c>
      <c r="U4598">
        <v>0</v>
      </c>
      <c r="W4598" t="s">
        <v>106</v>
      </c>
      <c r="AP4598" t="s">
        <v>101</v>
      </c>
    </row>
    <row r="4599" spans="1:45" x14ac:dyDescent="0.35">
      <c r="A4599" t="s">
        <v>45</v>
      </c>
      <c r="B4599" t="s">
        <v>10288</v>
      </c>
      <c r="C4599" t="s">
        <v>102</v>
      </c>
      <c r="D4599" t="s">
        <v>10352</v>
      </c>
      <c r="E4599" t="s">
        <v>10352</v>
      </c>
      <c r="F4599" t="s">
        <v>49</v>
      </c>
      <c r="G4599" t="s">
        <v>10353</v>
      </c>
      <c r="H4599" t="s">
        <v>10354</v>
      </c>
      <c r="J4599" t="str">
        <f>HYPERLINK("https://www.linkedin.com/feed/update/urn:li:ugcPost:7156998250124697600/?commentUrn=urn:li:comment:(urn:li:ugcPost:7156998250124697600,7157461996378984448)","https://www.linkedin.com/feed/update/urn:li:ugcPost:7156998250124697600/?commentUrn=urn:li:comment:(urn:li:ugcPost:7156998250124697600,7157461996378984448)")</f>
        <v>https://www.linkedin.com/feed/update/urn:li:ugcPost:7156998250124697600/?commentUrn=urn:li:comment:(urn:li:ugcPost:7156998250124697600,7157461996378984448)</v>
      </c>
      <c r="K4599" t="s">
        <v>145</v>
      </c>
      <c r="O4599">
        <v>0</v>
      </c>
      <c r="P4599">
        <v>0</v>
      </c>
      <c r="Q4599">
        <v>0</v>
      </c>
      <c r="S4599">
        <v>0</v>
      </c>
      <c r="T4599">
        <v>0</v>
      </c>
      <c r="U4599">
        <v>0</v>
      </c>
      <c r="W4599" t="s">
        <v>62</v>
      </c>
    </row>
    <row r="4600" spans="1:45" x14ac:dyDescent="0.35">
      <c r="A4600" t="s">
        <v>45</v>
      </c>
      <c r="B4600" t="s">
        <v>10355</v>
      </c>
      <c r="C4600" t="s">
        <v>139</v>
      </c>
      <c r="D4600" t="s">
        <v>10356</v>
      </c>
      <c r="E4600" t="s">
        <v>10357</v>
      </c>
      <c r="F4600" t="s">
        <v>142</v>
      </c>
      <c r="G4600" t="s">
        <v>10358</v>
      </c>
      <c r="H4600" t="s">
        <v>10359</v>
      </c>
      <c r="J4600" t="str">
        <f>HYPERLINK("https://twitter.com/Poonam827/status/1751654992908603511","https://twitter.com/Poonam827/status/1751654992908603511")</f>
        <v>https://twitter.com/Poonam827/status/1751654992908603511</v>
      </c>
      <c r="K4600" t="s">
        <v>1769</v>
      </c>
      <c r="O4600">
        <v>0</v>
      </c>
      <c r="P4600">
        <v>0</v>
      </c>
      <c r="Q4600">
        <v>1</v>
      </c>
      <c r="S4600">
        <v>0</v>
      </c>
      <c r="T4600">
        <v>0</v>
      </c>
      <c r="U4600">
        <v>0</v>
      </c>
      <c r="W4600" t="s">
        <v>146</v>
      </c>
      <c r="AP4600" t="s">
        <v>147</v>
      </c>
    </row>
    <row r="4601" spans="1:45" x14ac:dyDescent="0.35">
      <c r="A4601" t="s">
        <v>45</v>
      </c>
      <c r="B4601" t="s">
        <v>10355</v>
      </c>
      <c r="C4601" t="s">
        <v>139</v>
      </c>
      <c r="D4601" t="s">
        <v>10356</v>
      </c>
      <c r="E4601" t="s">
        <v>10357</v>
      </c>
      <c r="F4601" t="s">
        <v>49</v>
      </c>
      <c r="G4601" t="s">
        <v>10360</v>
      </c>
      <c r="H4601" t="s">
        <v>10361</v>
      </c>
      <c r="J4601" t="str">
        <f>HYPERLINK("https://twitter.com/Poonam827/status/1751653899596173451","https://twitter.com/Poonam827/status/1751653899596173451")</f>
        <v>https://twitter.com/Poonam827/status/1751653899596173451</v>
      </c>
      <c r="K4601" t="s">
        <v>1769</v>
      </c>
      <c r="O4601">
        <v>0</v>
      </c>
      <c r="P4601">
        <v>0</v>
      </c>
      <c r="Q4601">
        <v>1</v>
      </c>
      <c r="S4601">
        <v>0</v>
      </c>
      <c r="T4601">
        <v>0</v>
      </c>
      <c r="U4601">
        <v>0</v>
      </c>
      <c r="W4601" t="s">
        <v>146</v>
      </c>
    </row>
    <row r="4602" spans="1:45" x14ac:dyDescent="0.35">
      <c r="A4602" t="s">
        <v>45</v>
      </c>
      <c r="B4602" t="s">
        <v>10355</v>
      </c>
      <c r="C4602" t="s">
        <v>58</v>
      </c>
      <c r="D4602" t="s">
        <v>3351</v>
      </c>
      <c r="E4602" t="s">
        <v>3351</v>
      </c>
      <c r="F4602" t="s">
        <v>49</v>
      </c>
      <c r="G4602" t="s">
        <v>10362</v>
      </c>
      <c r="H4602" t="s">
        <v>10363</v>
      </c>
      <c r="J4602" t="str">
        <f>HYPERLINK("https://www.youtube.com/watch?v=asZcoCnExFQ","https://www.youtube.com/watch?v=asZcoCnExFQ")</f>
        <v>https://www.youtube.com/watch?v=asZcoCnExFQ</v>
      </c>
      <c r="O4602">
        <v>0</v>
      </c>
      <c r="P4602">
        <v>0</v>
      </c>
      <c r="Q4602">
        <v>0</v>
      </c>
      <c r="S4602">
        <v>0</v>
      </c>
      <c r="T4602">
        <v>0</v>
      </c>
      <c r="U4602">
        <v>0</v>
      </c>
      <c r="W4602" t="s">
        <v>106</v>
      </c>
    </row>
    <row r="4603" spans="1:45" x14ac:dyDescent="0.35">
      <c r="A4603" t="s">
        <v>45</v>
      </c>
      <c r="B4603" t="s">
        <v>10355</v>
      </c>
      <c r="C4603" t="s">
        <v>47</v>
      </c>
      <c r="F4603" t="s">
        <v>76</v>
      </c>
      <c r="G4603" t="s">
        <v>10364</v>
      </c>
      <c r="H4603" t="s">
        <v>10365</v>
      </c>
      <c r="J4603" t="str">
        <f>HYPERLINK("https://www.facebook.com/6820763411346178_10233111167351862","https://www.facebook.com/6820763411346178_10233111167351862")</f>
        <v>https://www.facebook.com/6820763411346178_10233111167351862</v>
      </c>
      <c r="O4603">
        <v>0</v>
      </c>
      <c r="P4603">
        <v>0</v>
      </c>
      <c r="Q4603">
        <v>0</v>
      </c>
      <c r="S4603">
        <v>0</v>
      </c>
      <c r="T4603">
        <v>0</v>
      </c>
      <c r="U4603">
        <v>0</v>
      </c>
      <c r="W4603" t="s">
        <v>106</v>
      </c>
    </row>
    <row r="4604" spans="1:45" x14ac:dyDescent="0.35">
      <c r="A4604" t="s">
        <v>45</v>
      </c>
      <c r="B4604" t="s">
        <v>10355</v>
      </c>
      <c r="C4604" t="s">
        <v>47</v>
      </c>
      <c r="D4604" t="s">
        <v>2335</v>
      </c>
      <c r="E4604" t="s">
        <v>2335</v>
      </c>
      <c r="F4604" t="s">
        <v>76</v>
      </c>
      <c r="G4604" t="s">
        <v>10366</v>
      </c>
      <c r="H4604" t="s">
        <v>10367</v>
      </c>
      <c r="J4604" t="str">
        <f>HYPERLINK("https://www.facebook.com/454965103328545/posts/760895469402172?comment_id=1066733444771595","https://www.facebook.com/454965103328545/posts/760895469402172?comment_id=1066733444771595")</f>
        <v>https://www.facebook.com/454965103328545/posts/760895469402172?comment_id=1066733444771595</v>
      </c>
      <c r="O4604">
        <v>0</v>
      </c>
      <c r="P4604">
        <v>0</v>
      </c>
      <c r="Q4604">
        <v>0</v>
      </c>
      <c r="S4604">
        <v>0</v>
      </c>
      <c r="T4604">
        <v>0</v>
      </c>
      <c r="U4604">
        <v>0</v>
      </c>
      <c r="W4604" t="s">
        <v>62</v>
      </c>
    </row>
    <row r="4605" spans="1:45" x14ac:dyDescent="0.35">
      <c r="A4605" t="s">
        <v>45</v>
      </c>
      <c r="B4605" t="s">
        <v>10355</v>
      </c>
      <c r="C4605" t="s">
        <v>139</v>
      </c>
      <c r="D4605" t="s">
        <v>10368</v>
      </c>
      <c r="E4605" t="s">
        <v>10369</v>
      </c>
      <c r="F4605" t="s">
        <v>49</v>
      </c>
      <c r="G4605" t="s">
        <v>10370</v>
      </c>
      <c r="H4605" t="s">
        <v>10371</v>
      </c>
      <c r="J4605" t="str">
        <f>HYPERLINK("https://twitter.com/ROCKSTAR514680/status/1751524821471527183","https://twitter.com/ROCKSTAR514680/status/1751524821471527183")</f>
        <v>https://twitter.com/ROCKSTAR514680/status/1751524821471527183</v>
      </c>
      <c r="O4605">
        <v>0</v>
      </c>
      <c r="P4605">
        <v>0</v>
      </c>
      <c r="Q4605">
        <v>5</v>
      </c>
      <c r="S4605">
        <v>0</v>
      </c>
      <c r="T4605">
        <v>0</v>
      </c>
      <c r="U4605">
        <v>0</v>
      </c>
      <c r="W4605" t="s">
        <v>146</v>
      </c>
    </row>
    <row r="4606" spans="1:45" x14ac:dyDescent="0.35">
      <c r="A4606" t="s">
        <v>45</v>
      </c>
      <c r="B4606" t="s">
        <v>10355</v>
      </c>
      <c r="C4606" t="s">
        <v>47</v>
      </c>
      <c r="D4606" t="s">
        <v>9123</v>
      </c>
      <c r="E4606" t="s">
        <v>9123</v>
      </c>
      <c r="F4606" t="s">
        <v>49</v>
      </c>
      <c r="G4606" t="s">
        <v>10372</v>
      </c>
      <c r="H4606" t="s">
        <v>10373</v>
      </c>
      <c r="J4606" t="str">
        <f>HYPERLINK("https://www.facebook.com/454965103328545/posts/760895469402172?comment_id=752596890112887","https://www.facebook.com/454965103328545/posts/760895469402172?comment_id=752596890112887")</f>
        <v>https://www.facebook.com/454965103328545/posts/760895469402172?comment_id=752596890112887</v>
      </c>
      <c r="O4606">
        <v>0</v>
      </c>
      <c r="P4606">
        <v>0</v>
      </c>
      <c r="Q4606">
        <v>0</v>
      </c>
      <c r="S4606">
        <v>0</v>
      </c>
      <c r="T4606">
        <v>0</v>
      </c>
      <c r="U4606">
        <v>0</v>
      </c>
      <c r="W4606" t="s">
        <v>62</v>
      </c>
      <c r="AS4606" t="s">
        <v>375</v>
      </c>
    </row>
    <row r="4607" spans="1:45" x14ac:dyDescent="0.35">
      <c r="A4607" t="s">
        <v>45</v>
      </c>
      <c r="B4607" t="s">
        <v>10355</v>
      </c>
      <c r="C4607" t="s">
        <v>58</v>
      </c>
      <c r="D4607" t="s">
        <v>10374</v>
      </c>
      <c r="E4607" t="s">
        <v>10374</v>
      </c>
      <c r="F4607" t="s">
        <v>49</v>
      </c>
      <c r="G4607" t="s">
        <v>10375</v>
      </c>
      <c r="H4607" t="s">
        <v>10376</v>
      </c>
      <c r="J4607" t="str">
        <f>HYPERLINK("https://www.youtube.com/watch?v=l0sHqdkV584","https://www.youtube.com/watch?v=l0sHqdkV584")</f>
        <v>https://www.youtube.com/watch?v=l0sHqdkV584</v>
      </c>
      <c r="O4607">
        <v>0</v>
      </c>
      <c r="P4607">
        <v>0</v>
      </c>
      <c r="Q4607">
        <v>0</v>
      </c>
      <c r="S4607">
        <v>0</v>
      </c>
      <c r="T4607">
        <v>0</v>
      </c>
      <c r="U4607">
        <v>0</v>
      </c>
      <c r="W4607" t="s">
        <v>106</v>
      </c>
    </row>
    <row r="4608" spans="1:45" x14ac:dyDescent="0.35">
      <c r="A4608" t="s">
        <v>45</v>
      </c>
      <c r="B4608" t="s">
        <v>10355</v>
      </c>
      <c r="C4608" t="s">
        <v>58</v>
      </c>
      <c r="D4608" t="s">
        <v>2298</v>
      </c>
      <c r="E4608" t="s">
        <v>2298</v>
      </c>
      <c r="F4608" t="s">
        <v>49</v>
      </c>
      <c r="G4608" t="s">
        <v>10377</v>
      </c>
      <c r="H4608" t="s">
        <v>10378</v>
      </c>
      <c r="J4608" t="str">
        <f>HYPERLINK("https://www.youtube.com/watch?v=Pw_iCx8Jgag","https://www.youtube.com/watch?v=Pw_iCx8Jgag")</f>
        <v>https://www.youtube.com/watch?v=Pw_iCx8Jgag</v>
      </c>
      <c r="O4608">
        <v>0</v>
      </c>
      <c r="P4608">
        <v>0</v>
      </c>
      <c r="Q4608">
        <v>0</v>
      </c>
      <c r="S4608">
        <v>0</v>
      </c>
      <c r="T4608">
        <v>0</v>
      </c>
      <c r="U4608">
        <v>0</v>
      </c>
      <c r="W4608" t="s">
        <v>106</v>
      </c>
    </row>
    <row r="4609" spans="1:45" x14ac:dyDescent="0.35">
      <c r="A4609" t="s">
        <v>45</v>
      </c>
      <c r="B4609" t="s">
        <v>10355</v>
      </c>
      <c r="C4609" t="s">
        <v>47</v>
      </c>
      <c r="D4609" t="s">
        <v>7714</v>
      </c>
      <c r="E4609" t="s">
        <v>7714</v>
      </c>
      <c r="F4609" t="s">
        <v>76</v>
      </c>
      <c r="G4609" t="s">
        <v>10379</v>
      </c>
      <c r="H4609" t="s">
        <v>10380</v>
      </c>
      <c r="J4609" t="str">
        <f>HYPERLINK("https://www.facebook.com/454965103328545/posts/760895469402172?comment_id=420244783670829","https://www.facebook.com/454965103328545/posts/760895469402172?comment_id=420244783670829")</f>
        <v>https://www.facebook.com/454965103328545/posts/760895469402172?comment_id=420244783670829</v>
      </c>
      <c r="O4609">
        <v>0</v>
      </c>
      <c r="P4609">
        <v>0</v>
      </c>
      <c r="Q4609">
        <v>0</v>
      </c>
      <c r="S4609">
        <v>0</v>
      </c>
      <c r="T4609">
        <v>0</v>
      </c>
      <c r="U4609">
        <v>0</v>
      </c>
      <c r="W4609" t="s">
        <v>62</v>
      </c>
    </row>
    <row r="4610" spans="1:45" x14ac:dyDescent="0.35">
      <c r="A4610" t="s">
        <v>45</v>
      </c>
      <c r="B4610" t="s">
        <v>10355</v>
      </c>
      <c r="C4610" t="s">
        <v>47</v>
      </c>
      <c r="D4610" t="s">
        <v>10381</v>
      </c>
      <c r="E4610" t="s">
        <v>10381</v>
      </c>
      <c r="F4610" t="s">
        <v>49</v>
      </c>
      <c r="G4610" t="s">
        <v>459</v>
      </c>
      <c r="H4610" t="s">
        <v>10382</v>
      </c>
      <c r="J4610" t="str">
        <f>HYPERLINK("https://www.facebook.com/357267201017935/posts/1942138352530804/?comment_id=1124374945510810","https://www.facebook.com/357267201017935/posts/1942138352530804/?comment_id=1124374945510810")</f>
        <v>https://www.facebook.com/357267201017935/posts/1942138352530804/?comment_id=1124374945510810</v>
      </c>
      <c r="O4610">
        <v>0</v>
      </c>
      <c r="P4610">
        <v>0</v>
      </c>
      <c r="Q4610">
        <v>0</v>
      </c>
      <c r="S4610">
        <v>0</v>
      </c>
      <c r="T4610">
        <v>0</v>
      </c>
      <c r="U4610">
        <v>0</v>
      </c>
      <c r="W4610" t="s">
        <v>62</v>
      </c>
      <c r="AS4610" t="s">
        <v>375</v>
      </c>
    </row>
    <row r="4611" spans="1:45" x14ac:dyDescent="0.35">
      <c r="A4611" t="s">
        <v>45</v>
      </c>
      <c r="B4611" t="s">
        <v>10355</v>
      </c>
      <c r="C4611" t="s">
        <v>58</v>
      </c>
      <c r="D4611" t="s">
        <v>10383</v>
      </c>
      <c r="E4611" t="s">
        <v>10383</v>
      </c>
      <c r="F4611" t="s">
        <v>49</v>
      </c>
      <c r="G4611" t="s">
        <v>10384</v>
      </c>
      <c r="H4611" t="s">
        <v>10385</v>
      </c>
      <c r="J4611" t="str">
        <f>HYPERLINK("https://www.youtube.com/watch?v=otUxlZ6pi54","https://www.youtube.com/watch?v=otUxlZ6pi54")</f>
        <v>https://www.youtube.com/watch?v=otUxlZ6pi54</v>
      </c>
      <c r="O4611">
        <v>0</v>
      </c>
      <c r="P4611">
        <v>0</v>
      </c>
      <c r="Q4611">
        <v>0</v>
      </c>
      <c r="S4611">
        <v>0</v>
      </c>
      <c r="T4611">
        <v>0</v>
      </c>
      <c r="U4611">
        <v>0</v>
      </c>
      <c r="W4611" t="s">
        <v>106</v>
      </c>
    </row>
    <row r="4612" spans="1:45" x14ac:dyDescent="0.35">
      <c r="A4612" t="s">
        <v>45</v>
      </c>
      <c r="B4612" t="s">
        <v>10355</v>
      </c>
      <c r="C4612" t="s">
        <v>63</v>
      </c>
      <c r="D4612" t="s">
        <v>186</v>
      </c>
      <c r="E4612" t="s">
        <v>186</v>
      </c>
      <c r="F4612" t="s">
        <v>49</v>
      </c>
      <c r="G4612" t="s">
        <v>10386</v>
      </c>
      <c r="H4612" t="s">
        <v>10387</v>
      </c>
      <c r="J4612" t="str">
        <f>HYPERLINK("https://www.instagram.com/reel/C2oJMhHsCNQ/","https://www.instagram.com/reel/C2oJMhHsCNQ/")</f>
        <v>https://www.instagram.com/reel/C2oJMhHsCNQ/</v>
      </c>
      <c r="O4612">
        <v>0</v>
      </c>
      <c r="P4612">
        <v>0</v>
      </c>
      <c r="Q4612">
        <v>0</v>
      </c>
      <c r="S4612">
        <v>0</v>
      </c>
      <c r="T4612">
        <v>64</v>
      </c>
      <c r="U4612">
        <v>0</v>
      </c>
      <c r="W4612" t="s">
        <v>106</v>
      </c>
    </row>
    <row r="4613" spans="1:45" x14ac:dyDescent="0.35">
      <c r="A4613" t="s">
        <v>45</v>
      </c>
      <c r="B4613" t="s">
        <v>10355</v>
      </c>
      <c r="C4613" t="s">
        <v>47</v>
      </c>
      <c r="D4613" t="s">
        <v>45</v>
      </c>
      <c r="E4613" t="s">
        <v>45</v>
      </c>
      <c r="F4613" t="s">
        <v>49</v>
      </c>
      <c r="G4613" t="s">
        <v>10386</v>
      </c>
      <c r="H4613" t="s">
        <v>10388</v>
      </c>
      <c r="J4613" t="str">
        <f>HYPERLINK("https://www.facebook.com/357267201017935_760895469402172","https://www.facebook.com/357267201017935_760895469402172")</f>
        <v>https://www.facebook.com/357267201017935_760895469402172</v>
      </c>
      <c r="O4613">
        <v>0</v>
      </c>
      <c r="P4613">
        <v>0</v>
      </c>
      <c r="Q4613">
        <v>0</v>
      </c>
      <c r="S4613">
        <v>8</v>
      </c>
      <c r="T4613">
        <v>66</v>
      </c>
      <c r="U4613">
        <v>8</v>
      </c>
      <c r="W4613" t="s">
        <v>106</v>
      </c>
    </row>
    <row r="4614" spans="1:45" x14ac:dyDescent="0.35">
      <c r="A4614" t="s">
        <v>45</v>
      </c>
      <c r="B4614" t="s">
        <v>10355</v>
      </c>
      <c r="C4614" t="s">
        <v>139</v>
      </c>
      <c r="D4614" t="s">
        <v>190</v>
      </c>
      <c r="E4614" t="s">
        <v>45</v>
      </c>
      <c r="F4614" t="s">
        <v>49</v>
      </c>
      <c r="G4614" t="s">
        <v>10389</v>
      </c>
      <c r="H4614" t="s">
        <v>10390</v>
      </c>
      <c r="J4614" t="str">
        <f>HYPERLINK("https://twitter.com/FinoPaymntsBank/status/1751432407079858425","https://twitter.com/FinoPaymntsBank/status/1751432407079858425")</f>
        <v>https://twitter.com/FinoPaymntsBank/status/1751432407079858425</v>
      </c>
      <c r="K4614" t="s">
        <v>145</v>
      </c>
      <c r="O4614">
        <v>0</v>
      </c>
      <c r="P4614">
        <v>0</v>
      </c>
      <c r="Q4614">
        <v>8340</v>
      </c>
      <c r="R4614" t="s">
        <v>193</v>
      </c>
      <c r="S4614">
        <v>0</v>
      </c>
      <c r="T4614">
        <v>0</v>
      </c>
      <c r="U4614">
        <v>0</v>
      </c>
      <c r="W4614" t="s">
        <v>146</v>
      </c>
    </row>
    <row r="4615" spans="1:45" x14ac:dyDescent="0.35">
      <c r="A4615" t="s">
        <v>45</v>
      </c>
      <c r="B4615" t="s">
        <v>10355</v>
      </c>
      <c r="C4615" t="s">
        <v>47</v>
      </c>
      <c r="D4615" t="s">
        <v>10391</v>
      </c>
      <c r="E4615" t="s">
        <v>10391</v>
      </c>
      <c r="F4615" t="s">
        <v>49</v>
      </c>
      <c r="G4615" t="s">
        <v>10392</v>
      </c>
      <c r="H4615" t="s">
        <v>10393</v>
      </c>
      <c r="J4615" t="str">
        <f>HYPERLINK("https://www.facebook.com/photo.php?fbid=658491756309211&amp;set=a.454957329995989&amp;type=3&amp;comment_id=1091112645564332","https://www.facebook.com/photo.php?fbid=658491756309211&amp;set=a.454957329995989&amp;type=3&amp;comment_id=1091112645564332")</f>
        <v>https://www.facebook.com/photo.php?fbid=658491756309211&amp;set=a.454957329995989&amp;type=3&amp;comment_id=1091112645564332</v>
      </c>
      <c r="O4615">
        <v>0</v>
      </c>
      <c r="P4615">
        <v>0</v>
      </c>
      <c r="Q4615">
        <v>0</v>
      </c>
      <c r="S4615">
        <v>0</v>
      </c>
      <c r="T4615">
        <v>0</v>
      </c>
      <c r="U4615">
        <v>0</v>
      </c>
      <c r="W4615" t="s">
        <v>62</v>
      </c>
    </row>
    <row r="4616" spans="1:45" x14ac:dyDescent="0.35">
      <c r="A4616" t="s">
        <v>45</v>
      </c>
      <c r="B4616" t="s">
        <v>10394</v>
      </c>
      <c r="C4616" t="s">
        <v>47</v>
      </c>
      <c r="D4616" t="s">
        <v>7785</v>
      </c>
      <c r="E4616" t="s">
        <v>7785</v>
      </c>
      <c r="F4616" t="s">
        <v>49</v>
      </c>
      <c r="G4616" t="s">
        <v>10395</v>
      </c>
      <c r="H4616" t="s">
        <v>10396</v>
      </c>
      <c r="J4616" t="str">
        <f>HYPERLINK("https://www.facebook.com/454965103328545/posts/759706966187689?comment_id=414219521127175&amp;reply_comment_id=1110633330120628","https://www.facebook.com/454965103328545/posts/759706966187689?comment_id=414219521127175&amp;reply_comment_id=1110633330120628")</f>
        <v>https://www.facebook.com/454965103328545/posts/759706966187689?comment_id=414219521127175&amp;reply_comment_id=1110633330120628</v>
      </c>
      <c r="O4616">
        <v>0</v>
      </c>
      <c r="P4616">
        <v>0</v>
      </c>
      <c r="Q4616">
        <v>0</v>
      </c>
      <c r="S4616">
        <v>0</v>
      </c>
      <c r="T4616">
        <v>0</v>
      </c>
      <c r="U4616">
        <v>0</v>
      </c>
      <c r="W4616" t="s">
        <v>62</v>
      </c>
    </row>
    <row r="4617" spans="1:45" x14ac:dyDescent="0.35">
      <c r="A4617" t="s">
        <v>45</v>
      </c>
      <c r="B4617" t="s">
        <v>10394</v>
      </c>
      <c r="C4617" t="s">
        <v>47</v>
      </c>
      <c r="D4617" t="s">
        <v>7714</v>
      </c>
      <c r="E4617" t="s">
        <v>7714</v>
      </c>
      <c r="F4617" t="s">
        <v>49</v>
      </c>
      <c r="G4617" t="s">
        <v>10397</v>
      </c>
      <c r="H4617" t="s">
        <v>10398</v>
      </c>
      <c r="J4617" t="str">
        <f>HYPERLINK("https://www.facebook.com/454965103328545/posts/744159567742429?comment_id=1471162226773011&amp;reply_comment_id=1553313945469793","https://www.facebook.com/454965103328545/posts/744159567742429?comment_id=1471162226773011&amp;reply_comment_id=1553313945469793")</f>
        <v>https://www.facebook.com/454965103328545/posts/744159567742429?comment_id=1471162226773011&amp;reply_comment_id=1553313945469793</v>
      </c>
      <c r="O4617">
        <v>0</v>
      </c>
      <c r="P4617">
        <v>0</v>
      </c>
      <c r="Q4617">
        <v>0</v>
      </c>
      <c r="S4617">
        <v>0</v>
      </c>
      <c r="T4617">
        <v>0</v>
      </c>
      <c r="U4617">
        <v>0</v>
      </c>
      <c r="W4617" t="s">
        <v>62</v>
      </c>
    </row>
    <row r="4618" spans="1:45" x14ac:dyDescent="0.35">
      <c r="A4618" t="s">
        <v>45</v>
      </c>
      <c r="B4618" t="s">
        <v>10394</v>
      </c>
      <c r="C4618" t="s">
        <v>47</v>
      </c>
      <c r="D4618" t="s">
        <v>10399</v>
      </c>
      <c r="E4618" t="s">
        <v>10399</v>
      </c>
      <c r="F4618" t="s">
        <v>49</v>
      </c>
      <c r="G4618" t="s">
        <v>10400</v>
      </c>
      <c r="H4618" t="s">
        <v>10401</v>
      </c>
      <c r="J4618" t="str">
        <f>HYPERLINK("https://www.facebook.com/454965103328545/posts/744159567742429?comment_id=1471162226773011&amp;reply_comment_id=931038955218232","https://www.facebook.com/454965103328545/posts/744159567742429?comment_id=1471162226773011&amp;reply_comment_id=931038955218232")</f>
        <v>https://www.facebook.com/454965103328545/posts/744159567742429?comment_id=1471162226773011&amp;reply_comment_id=931038955218232</v>
      </c>
      <c r="O4618">
        <v>0</v>
      </c>
      <c r="P4618">
        <v>0</v>
      </c>
      <c r="Q4618">
        <v>0</v>
      </c>
      <c r="S4618">
        <v>0</v>
      </c>
      <c r="T4618">
        <v>0</v>
      </c>
      <c r="U4618">
        <v>0</v>
      </c>
      <c r="W4618" t="s">
        <v>62</v>
      </c>
    </row>
    <row r="4619" spans="1:45" x14ac:dyDescent="0.35">
      <c r="A4619" t="s">
        <v>45</v>
      </c>
      <c r="B4619" t="s">
        <v>10394</v>
      </c>
      <c r="C4619" t="s">
        <v>58</v>
      </c>
      <c r="D4619" t="s">
        <v>10402</v>
      </c>
      <c r="E4619" t="s">
        <v>10402</v>
      </c>
      <c r="F4619" t="s">
        <v>49</v>
      </c>
      <c r="G4619" t="s">
        <v>10403</v>
      </c>
      <c r="H4619" t="s">
        <v>10404</v>
      </c>
      <c r="J4619" t="str">
        <f>HYPERLINK("https://www.youtube.com/watch?v=pEy9WHNaHh4","https://www.youtube.com/watch?v=pEy9WHNaHh4")</f>
        <v>https://www.youtube.com/watch?v=pEy9WHNaHh4</v>
      </c>
      <c r="O4619">
        <v>0</v>
      </c>
      <c r="P4619">
        <v>0</v>
      </c>
      <c r="Q4619">
        <v>0</v>
      </c>
      <c r="S4619">
        <v>0</v>
      </c>
      <c r="T4619">
        <v>0</v>
      </c>
      <c r="U4619">
        <v>0</v>
      </c>
      <c r="W4619" t="s">
        <v>106</v>
      </c>
    </row>
    <row r="4620" spans="1:45" x14ac:dyDescent="0.35">
      <c r="A4620" t="s">
        <v>45</v>
      </c>
      <c r="B4620" t="s">
        <v>10394</v>
      </c>
      <c r="C4620" t="s">
        <v>58</v>
      </c>
      <c r="D4620" t="s">
        <v>10402</v>
      </c>
      <c r="E4620" t="s">
        <v>10402</v>
      </c>
      <c r="F4620" t="s">
        <v>49</v>
      </c>
      <c r="G4620" t="s">
        <v>10405</v>
      </c>
      <c r="H4620" t="s">
        <v>10406</v>
      </c>
      <c r="J4620" t="str">
        <f>HYPERLINK("https://www.youtube.com/watch?v=hBXSCiLC86k","https://www.youtube.com/watch?v=hBXSCiLC86k")</f>
        <v>https://www.youtube.com/watch?v=hBXSCiLC86k</v>
      </c>
      <c r="O4620">
        <v>0</v>
      </c>
      <c r="P4620">
        <v>0</v>
      </c>
      <c r="Q4620">
        <v>0</v>
      </c>
      <c r="S4620">
        <v>0</v>
      </c>
      <c r="T4620">
        <v>0</v>
      </c>
      <c r="U4620">
        <v>0</v>
      </c>
      <c r="W4620" t="s">
        <v>106</v>
      </c>
    </row>
    <row r="4621" spans="1:45" x14ac:dyDescent="0.35">
      <c r="A4621" t="s">
        <v>45</v>
      </c>
      <c r="B4621" t="s">
        <v>10394</v>
      </c>
      <c r="C4621" t="s">
        <v>58</v>
      </c>
      <c r="D4621" t="s">
        <v>10402</v>
      </c>
      <c r="E4621" t="s">
        <v>10402</v>
      </c>
      <c r="F4621" t="s">
        <v>49</v>
      </c>
      <c r="G4621" t="s">
        <v>10407</v>
      </c>
      <c r="H4621" t="s">
        <v>10408</v>
      </c>
      <c r="J4621" t="str">
        <f>HYPERLINK("https://www.youtube.com/watch?v=DHbG-MFqi6U","https://www.youtube.com/watch?v=DHbG-MFqi6U")</f>
        <v>https://www.youtube.com/watch?v=DHbG-MFqi6U</v>
      </c>
      <c r="O4621">
        <v>0</v>
      </c>
      <c r="P4621">
        <v>0</v>
      </c>
      <c r="Q4621">
        <v>0</v>
      </c>
      <c r="S4621">
        <v>0</v>
      </c>
      <c r="T4621">
        <v>0</v>
      </c>
      <c r="U4621">
        <v>0</v>
      </c>
      <c r="W4621" t="s">
        <v>106</v>
      </c>
    </row>
    <row r="4622" spans="1:45" x14ac:dyDescent="0.35">
      <c r="A4622" t="s">
        <v>45</v>
      </c>
      <c r="B4622" t="s">
        <v>10394</v>
      </c>
      <c r="C4622" t="s">
        <v>58</v>
      </c>
      <c r="D4622" t="s">
        <v>10402</v>
      </c>
      <c r="E4622" t="s">
        <v>10402</v>
      </c>
      <c r="F4622" t="s">
        <v>49</v>
      </c>
      <c r="G4622" t="s">
        <v>10409</v>
      </c>
      <c r="H4622" t="s">
        <v>10410</v>
      </c>
      <c r="J4622" t="str">
        <f>HYPERLINK("https://www.youtube.com/watch?v=lSFTYb4k9kY","https://www.youtube.com/watch?v=lSFTYb4k9kY")</f>
        <v>https://www.youtube.com/watch?v=lSFTYb4k9kY</v>
      </c>
      <c r="O4622">
        <v>0</v>
      </c>
      <c r="P4622">
        <v>0</v>
      </c>
      <c r="Q4622">
        <v>0</v>
      </c>
      <c r="S4622">
        <v>0</v>
      </c>
      <c r="T4622">
        <v>0</v>
      </c>
      <c r="U4622">
        <v>0</v>
      </c>
      <c r="W4622" t="s">
        <v>106</v>
      </c>
    </row>
    <row r="4623" spans="1:45" x14ac:dyDescent="0.35">
      <c r="A4623" t="s">
        <v>45</v>
      </c>
      <c r="B4623" t="s">
        <v>10394</v>
      </c>
      <c r="C4623" t="s">
        <v>63</v>
      </c>
      <c r="D4623" t="s">
        <v>10411</v>
      </c>
      <c r="E4623" t="s">
        <v>10411</v>
      </c>
      <c r="F4623" t="s">
        <v>49</v>
      </c>
      <c r="G4623" t="s">
        <v>10412</v>
      </c>
      <c r="H4623" t="s">
        <v>10413</v>
      </c>
      <c r="J4623" t="str">
        <f>HYPERLINK("https://www.instagram.com/reel/C2j8S9ph02D/","https://www.instagram.com/reel/C2j8S9ph02D/")</f>
        <v>https://www.instagram.com/reel/C2j8S9ph02D/</v>
      </c>
      <c r="O4623">
        <v>0</v>
      </c>
      <c r="P4623">
        <v>0</v>
      </c>
      <c r="Q4623">
        <v>0</v>
      </c>
      <c r="S4623">
        <v>0</v>
      </c>
      <c r="T4623">
        <v>0</v>
      </c>
      <c r="U4623">
        <v>0</v>
      </c>
      <c r="W4623" t="s">
        <v>62</v>
      </c>
    </row>
    <row r="4624" spans="1:45" x14ac:dyDescent="0.35">
      <c r="A4624" t="s">
        <v>45</v>
      </c>
      <c r="B4624" t="s">
        <v>10394</v>
      </c>
      <c r="C4624" t="s">
        <v>47</v>
      </c>
      <c r="D4624" t="s">
        <v>10414</v>
      </c>
      <c r="E4624" t="s">
        <v>10414</v>
      </c>
      <c r="F4624" t="s">
        <v>49</v>
      </c>
      <c r="G4624" t="s">
        <v>10415</v>
      </c>
      <c r="H4624" t="s">
        <v>10416</v>
      </c>
      <c r="J4624" t="str">
        <f>HYPERLINK("https://www.facebook.com/454965103328545/posts/757813099710409?comment_id=1932417933822678","https://www.facebook.com/454965103328545/posts/757813099710409?comment_id=1932417933822678")</f>
        <v>https://www.facebook.com/454965103328545/posts/757813099710409?comment_id=1932417933822678</v>
      </c>
      <c r="O4624">
        <v>0</v>
      </c>
      <c r="P4624">
        <v>0</v>
      </c>
      <c r="Q4624">
        <v>0</v>
      </c>
      <c r="S4624">
        <v>0</v>
      </c>
      <c r="T4624">
        <v>0</v>
      </c>
      <c r="U4624">
        <v>0</v>
      </c>
      <c r="W4624" t="s">
        <v>62</v>
      </c>
      <c r="AP4624" t="s">
        <v>94</v>
      </c>
      <c r="AS4624" t="s">
        <v>375</v>
      </c>
    </row>
    <row r="4625" spans="1:45" x14ac:dyDescent="0.35">
      <c r="A4625" t="s">
        <v>45</v>
      </c>
      <c r="B4625" t="s">
        <v>10394</v>
      </c>
      <c r="C4625" t="s">
        <v>58</v>
      </c>
      <c r="D4625" t="s">
        <v>10417</v>
      </c>
      <c r="E4625" t="s">
        <v>10417</v>
      </c>
      <c r="F4625" t="s">
        <v>76</v>
      </c>
      <c r="G4625" t="s">
        <v>10418</v>
      </c>
      <c r="H4625" t="s">
        <v>10419</v>
      </c>
      <c r="J4625" t="str">
        <f>HYPERLINK("https://www.youtube.com/watch?v=-kw7xFHKnng","https://www.youtube.com/watch?v=-kw7xFHKnng")</f>
        <v>https://www.youtube.com/watch?v=-kw7xFHKnng</v>
      </c>
      <c r="O4625">
        <v>0</v>
      </c>
      <c r="P4625">
        <v>0</v>
      </c>
      <c r="Q4625">
        <v>0</v>
      </c>
      <c r="S4625">
        <v>0</v>
      </c>
      <c r="T4625">
        <v>0</v>
      </c>
      <c r="U4625">
        <v>0</v>
      </c>
      <c r="W4625" t="s">
        <v>106</v>
      </c>
    </row>
    <row r="4626" spans="1:45" x14ac:dyDescent="0.35">
      <c r="A4626" t="s">
        <v>45</v>
      </c>
      <c r="B4626" t="s">
        <v>10394</v>
      </c>
      <c r="C4626" t="s">
        <v>47</v>
      </c>
      <c r="D4626" t="s">
        <v>10420</v>
      </c>
      <c r="E4626" t="s">
        <v>10420</v>
      </c>
      <c r="F4626" t="s">
        <v>49</v>
      </c>
      <c r="G4626" t="s">
        <v>10421</v>
      </c>
      <c r="H4626" t="s">
        <v>10422</v>
      </c>
      <c r="J4626" t="str">
        <f>HYPERLINK("https://www.facebook.com/357267201017935/inbox/6968569343220988/","https://www.facebook.com/357267201017935/inbox/6968569343220988/")</f>
        <v>https://www.facebook.com/357267201017935/inbox/6968569343220988/</v>
      </c>
      <c r="O4626">
        <v>0</v>
      </c>
      <c r="P4626">
        <v>0</v>
      </c>
      <c r="Q4626">
        <v>0</v>
      </c>
      <c r="S4626">
        <v>0</v>
      </c>
      <c r="T4626">
        <v>0</v>
      </c>
      <c r="U4626">
        <v>0</v>
      </c>
      <c r="W4626" t="s">
        <v>52</v>
      </c>
    </row>
    <row r="4627" spans="1:45" x14ac:dyDescent="0.35">
      <c r="A4627" t="s">
        <v>45</v>
      </c>
      <c r="B4627" t="s">
        <v>10394</v>
      </c>
      <c r="C4627" t="s">
        <v>102</v>
      </c>
      <c r="D4627" t="s">
        <v>965</v>
      </c>
      <c r="E4627" t="s">
        <v>965</v>
      </c>
      <c r="F4627" t="s">
        <v>49</v>
      </c>
      <c r="G4627" t="s">
        <v>10423</v>
      </c>
      <c r="H4627" t="s">
        <v>10424</v>
      </c>
      <c r="J4627" t="str">
        <f>HYPERLINK("https://www.linkedin.com/feed/update/urn:li:ugcPost:7156998250124697600","https://www.linkedin.com/feed/update/urn:li:ugcPost:7156998250124697600")</f>
        <v>https://www.linkedin.com/feed/update/urn:li:ugcPost:7156998250124697600</v>
      </c>
      <c r="O4627">
        <v>0</v>
      </c>
      <c r="P4627">
        <v>0</v>
      </c>
      <c r="Q4627">
        <v>0</v>
      </c>
      <c r="S4627">
        <v>3</v>
      </c>
      <c r="T4627">
        <v>123</v>
      </c>
      <c r="U4627">
        <v>0</v>
      </c>
      <c r="W4627" t="s">
        <v>106</v>
      </c>
    </row>
    <row r="4628" spans="1:45" x14ac:dyDescent="0.35">
      <c r="A4628" t="s">
        <v>45</v>
      </c>
      <c r="B4628" t="s">
        <v>10394</v>
      </c>
      <c r="C4628" t="s">
        <v>47</v>
      </c>
      <c r="F4628" t="s">
        <v>49</v>
      </c>
      <c r="G4628" t="s">
        <v>10425</v>
      </c>
      <c r="H4628" t="s">
        <v>10426</v>
      </c>
      <c r="J4628" t="str">
        <f>HYPERLINK("https://www.facebook.com/6820763411346178_10233106100225187","https://www.facebook.com/6820763411346178_10233106100225187")</f>
        <v>https://www.facebook.com/6820763411346178_10233106100225187</v>
      </c>
      <c r="O4628">
        <v>0</v>
      </c>
      <c r="P4628">
        <v>0</v>
      </c>
      <c r="Q4628">
        <v>0</v>
      </c>
      <c r="S4628">
        <v>0</v>
      </c>
      <c r="T4628">
        <v>0</v>
      </c>
      <c r="U4628">
        <v>0</v>
      </c>
      <c r="W4628" t="s">
        <v>106</v>
      </c>
    </row>
    <row r="4629" spans="1:45" x14ac:dyDescent="0.35">
      <c r="A4629" t="s">
        <v>45</v>
      </c>
      <c r="B4629" t="s">
        <v>10394</v>
      </c>
      <c r="C4629" t="s">
        <v>58</v>
      </c>
      <c r="D4629" t="s">
        <v>5397</v>
      </c>
      <c r="E4629" t="s">
        <v>5397</v>
      </c>
      <c r="F4629" t="s">
        <v>49</v>
      </c>
      <c r="G4629" t="s">
        <v>10427</v>
      </c>
      <c r="H4629" t="s">
        <v>10428</v>
      </c>
      <c r="J4629" t="str">
        <f>HYPERLINK("https://www.youtube.com/watch?v=vY6UuESXVyI","https://www.youtube.com/watch?v=vY6UuESXVyI")</f>
        <v>https://www.youtube.com/watch?v=vY6UuESXVyI</v>
      </c>
      <c r="O4629">
        <v>0</v>
      </c>
      <c r="P4629">
        <v>0</v>
      </c>
      <c r="Q4629">
        <v>0</v>
      </c>
      <c r="S4629">
        <v>0</v>
      </c>
      <c r="T4629">
        <v>0</v>
      </c>
      <c r="U4629">
        <v>0</v>
      </c>
      <c r="W4629" t="s">
        <v>106</v>
      </c>
      <c r="AP4629" t="s">
        <v>101</v>
      </c>
    </row>
    <row r="4630" spans="1:45" x14ac:dyDescent="0.35">
      <c r="A4630" t="s">
        <v>45</v>
      </c>
      <c r="B4630" t="s">
        <v>10394</v>
      </c>
      <c r="C4630" t="s">
        <v>47</v>
      </c>
      <c r="D4630" t="s">
        <v>10429</v>
      </c>
      <c r="E4630" t="s">
        <v>10429</v>
      </c>
      <c r="F4630" t="s">
        <v>49</v>
      </c>
      <c r="G4630" t="s">
        <v>10430</v>
      </c>
      <c r="H4630" t="s">
        <v>10431</v>
      </c>
      <c r="J4630" t="str">
        <f>HYPERLINK("https://www.facebook.com/357267201017935/posts/4320033674741248/?comment_id=911037103664487","https://www.facebook.com/357267201017935/posts/4320033674741248/?comment_id=911037103664487")</f>
        <v>https://www.facebook.com/357267201017935/posts/4320033674741248/?comment_id=911037103664487</v>
      </c>
      <c r="O4630">
        <v>0</v>
      </c>
      <c r="P4630">
        <v>0</v>
      </c>
      <c r="Q4630">
        <v>0</v>
      </c>
      <c r="S4630">
        <v>0</v>
      </c>
      <c r="T4630">
        <v>0</v>
      </c>
      <c r="U4630">
        <v>0</v>
      </c>
      <c r="W4630" t="s">
        <v>62</v>
      </c>
      <c r="AS4630" t="s">
        <v>375</v>
      </c>
    </row>
    <row r="4631" spans="1:45" x14ac:dyDescent="0.35">
      <c r="A4631" t="s">
        <v>45</v>
      </c>
      <c r="B4631" t="s">
        <v>10394</v>
      </c>
      <c r="C4631" t="s">
        <v>58</v>
      </c>
      <c r="D4631" t="s">
        <v>1706</v>
      </c>
      <c r="E4631" t="s">
        <v>1706</v>
      </c>
      <c r="F4631" t="s">
        <v>76</v>
      </c>
      <c r="G4631" t="s">
        <v>10432</v>
      </c>
      <c r="H4631" t="s">
        <v>10433</v>
      </c>
      <c r="J4631" t="str">
        <f>HYPERLINK("https://www.youtube.com/watch?v=BVklS4YhfvU","https://www.youtube.com/watch?v=BVklS4YhfvU")</f>
        <v>https://www.youtube.com/watch?v=BVklS4YhfvU</v>
      </c>
      <c r="O4631">
        <v>0</v>
      </c>
      <c r="P4631">
        <v>0</v>
      </c>
      <c r="Q4631">
        <v>0</v>
      </c>
      <c r="S4631">
        <v>0</v>
      </c>
      <c r="T4631">
        <v>0</v>
      </c>
      <c r="U4631">
        <v>0</v>
      </c>
      <c r="W4631" t="s">
        <v>106</v>
      </c>
    </row>
    <row r="4632" spans="1:45" x14ac:dyDescent="0.35">
      <c r="A4632" t="s">
        <v>45</v>
      </c>
      <c r="B4632" t="s">
        <v>10394</v>
      </c>
      <c r="C4632" t="s">
        <v>47</v>
      </c>
      <c r="D4632" t="s">
        <v>10434</v>
      </c>
      <c r="E4632" t="s">
        <v>10434</v>
      </c>
      <c r="F4632" t="s">
        <v>49</v>
      </c>
      <c r="G4632" t="s">
        <v>10435</v>
      </c>
      <c r="H4632" t="s">
        <v>10436</v>
      </c>
      <c r="J4632" t="str">
        <f>HYPERLINK("https://www.facebook.com/357267201017935/inbox/6967946979949891/","https://www.facebook.com/357267201017935/inbox/6967946979949891/")</f>
        <v>https://www.facebook.com/357267201017935/inbox/6967946979949891/</v>
      </c>
      <c r="O4632">
        <v>0</v>
      </c>
      <c r="P4632">
        <v>0</v>
      </c>
      <c r="Q4632">
        <v>0</v>
      </c>
      <c r="S4632">
        <v>0</v>
      </c>
      <c r="T4632">
        <v>0</v>
      </c>
      <c r="U4632">
        <v>0</v>
      </c>
      <c r="W4632" t="s">
        <v>52</v>
      </c>
    </row>
    <row r="4633" spans="1:45" x14ac:dyDescent="0.35">
      <c r="A4633" t="s">
        <v>45</v>
      </c>
      <c r="B4633" t="s">
        <v>10394</v>
      </c>
      <c r="C4633" t="s">
        <v>139</v>
      </c>
      <c r="D4633" t="s">
        <v>7364</v>
      </c>
      <c r="E4633" t="s">
        <v>7365</v>
      </c>
      <c r="F4633" t="s">
        <v>142</v>
      </c>
      <c r="G4633" t="s">
        <v>10437</v>
      </c>
      <c r="H4633" t="s">
        <v>10438</v>
      </c>
      <c r="J4633" t="str">
        <f>HYPERLINK("https://twitter.com/mannarajam/status/1751161575380222431","https://twitter.com/mannarajam/status/1751161575380222431")</f>
        <v>https://twitter.com/mannarajam/status/1751161575380222431</v>
      </c>
      <c r="O4633">
        <v>0</v>
      </c>
      <c r="P4633">
        <v>0</v>
      </c>
      <c r="Q4633">
        <v>25</v>
      </c>
      <c r="S4633">
        <v>0</v>
      </c>
      <c r="T4633">
        <v>0</v>
      </c>
      <c r="U4633">
        <v>0</v>
      </c>
      <c r="W4633" t="s">
        <v>146</v>
      </c>
      <c r="AS4633" t="s">
        <v>375</v>
      </c>
    </row>
    <row r="4634" spans="1:45" x14ac:dyDescent="0.35">
      <c r="A4634" t="s">
        <v>45</v>
      </c>
      <c r="B4634" t="s">
        <v>10394</v>
      </c>
      <c r="C4634" t="s">
        <v>58</v>
      </c>
      <c r="D4634" t="s">
        <v>10439</v>
      </c>
      <c r="E4634" t="s">
        <v>10439</v>
      </c>
      <c r="F4634" t="s">
        <v>142</v>
      </c>
      <c r="G4634" t="s">
        <v>10440</v>
      </c>
      <c r="H4634" t="s">
        <v>10441</v>
      </c>
      <c r="J4634" t="str">
        <f>HYPERLINK("https://www.youtube.com/watch?v=RmfT5WaMmeE&amp;lc=Ugwb7WpMW0t3dvw14pd4AaABAg","https://www.youtube.com/watch?v=RmfT5WaMmeE&amp;lc=Ugwb7WpMW0t3dvw14pd4AaABAg")</f>
        <v>https://www.youtube.com/watch?v=RmfT5WaMmeE&amp;lc=Ugwb7WpMW0t3dvw14pd4AaABAg</v>
      </c>
      <c r="O4634">
        <v>0</v>
      </c>
      <c r="P4634">
        <v>0</v>
      </c>
      <c r="Q4634">
        <v>0</v>
      </c>
      <c r="S4634">
        <v>0</v>
      </c>
      <c r="T4634">
        <v>0</v>
      </c>
      <c r="U4634">
        <v>0</v>
      </c>
      <c r="W4634" t="s">
        <v>62</v>
      </c>
    </row>
    <row r="4635" spans="1:45" x14ac:dyDescent="0.35">
      <c r="A4635" t="s">
        <v>45</v>
      </c>
      <c r="B4635" t="s">
        <v>10394</v>
      </c>
      <c r="C4635" t="s">
        <v>58</v>
      </c>
      <c r="D4635" t="s">
        <v>2705</v>
      </c>
      <c r="E4635" t="s">
        <v>2705</v>
      </c>
      <c r="F4635" t="s">
        <v>76</v>
      </c>
      <c r="G4635" t="s">
        <v>10442</v>
      </c>
      <c r="H4635" t="s">
        <v>10443</v>
      </c>
      <c r="J4635" t="str">
        <f>HYPERLINK("https://www.youtube.com/watch?v=VqgK31uMRQY","https://www.youtube.com/watch?v=VqgK31uMRQY")</f>
        <v>https://www.youtube.com/watch?v=VqgK31uMRQY</v>
      </c>
      <c r="O4635">
        <v>0</v>
      </c>
      <c r="P4635">
        <v>0</v>
      </c>
      <c r="Q4635">
        <v>0</v>
      </c>
      <c r="S4635">
        <v>0</v>
      </c>
      <c r="T4635">
        <v>0</v>
      </c>
      <c r="U4635">
        <v>0</v>
      </c>
      <c r="W4635" t="s">
        <v>106</v>
      </c>
      <c r="AP4635" t="s">
        <v>101</v>
      </c>
    </row>
    <row r="4636" spans="1:45" x14ac:dyDescent="0.35">
      <c r="A4636" t="s">
        <v>45</v>
      </c>
      <c r="B4636" t="s">
        <v>10394</v>
      </c>
      <c r="C4636" t="s">
        <v>47</v>
      </c>
      <c r="D4636" t="s">
        <v>7714</v>
      </c>
      <c r="E4636" t="s">
        <v>7714</v>
      </c>
      <c r="F4636" t="s">
        <v>49</v>
      </c>
      <c r="G4636" t="s">
        <v>10444</v>
      </c>
      <c r="H4636" t="s">
        <v>10445</v>
      </c>
      <c r="J4636" t="str">
        <f>HYPERLINK("https://www.facebook.com/454965103328545/posts/744159567742429?comment_id=1471162226773011&amp;reply_comment_id=910629010778210","https://www.facebook.com/454965103328545/posts/744159567742429?comment_id=1471162226773011&amp;reply_comment_id=910629010778210")</f>
        <v>https://www.facebook.com/454965103328545/posts/744159567742429?comment_id=1471162226773011&amp;reply_comment_id=910629010778210</v>
      </c>
      <c r="O4636">
        <v>0</v>
      </c>
      <c r="P4636">
        <v>0</v>
      </c>
      <c r="Q4636">
        <v>0</v>
      </c>
      <c r="S4636">
        <v>0</v>
      </c>
      <c r="T4636">
        <v>0</v>
      </c>
      <c r="U4636">
        <v>0</v>
      </c>
      <c r="W4636" t="s">
        <v>62</v>
      </c>
    </row>
    <row r="4637" spans="1:45" x14ac:dyDescent="0.35">
      <c r="A4637" t="s">
        <v>45</v>
      </c>
      <c r="B4637" t="s">
        <v>10394</v>
      </c>
      <c r="C4637" t="s">
        <v>47</v>
      </c>
      <c r="D4637" t="s">
        <v>7714</v>
      </c>
      <c r="E4637" t="s">
        <v>7714</v>
      </c>
      <c r="F4637" t="s">
        <v>49</v>
      </c>
      <c r="G4637" t="s">
        <v>10446</v>
      </c>
      <c r="H4637" t="s">
        <v>10447</v>
      </c>
      <c r="J4637" t="str">
        <f>HYPERLINK("https://www.facebook.com/454965103328545/posts/744159567742429?comment_id=1471162226773011&amp;reply_comment_id=341241635397941","https://www.facebook.com/454965103328545/posts/744159567742429?comment_id=1471162226773011&amp;reply_comment_id=341241635397941")</f>
        <v>https://www.facebook.com/454965103328545/posts/744159567742429?comment_id=1471162226773011&amp;reply_comment_id=341241635397941</v>
      </c>
      <c r="O4637">
        <v>0</v>
      </c>
      <c r="P4637">
        <v>0</v>
      </c>
      <c r="Q4637">
        <v>0</v>
      </c>
      <c r="S4637">
        <v>0</v>
      </c>
      <c r="T4637">
        <v>0</v>
      </c>
      <c r="U4637">
        <v>0</v>
      </c>
      <c r="W4637" t="s">
        <v>62</v>
      </c>
    </row>
    <row r="4638" spans="1:45" x14ac:dyDescent="0.35">
      <c r="A4638" t="s">
        <v>45</v>
      </c>
      <c r="B4638" t="s">
        <v>10394</v>
      </c>
      <c r="C4638" t="s">
        <v>58</v>
      </c>
      <c r="D4638" t="s">
        <v>10448</v>
      </c>
      <c r="E4638" t="s">
        <v>10448</v>
      </c>
      <c r="F4638" t="s">
        <v>49</v>
      </c>
      <c r="G4638" t="s">
        <v>3646</v>
      </c>
      <c r="H4638" t="s">
        <v>10449</v>
      </c>
      <c r="J4638" t="str">
        <f>HYPERLINK("https://www.youtube.com/watch?v=J1lumVybg4Y","https://www.youtube.com/watch?v=J1lumVybg4Y")</f>
        <v>https://www.youtube.com/watch?v=J1lumVybg4Y</v>
      </c>
      <c r="O4638">
        <v>0</v>
      </c>
      <c r="P4638">
        <v>0</v>
      </c>
      <c r="Q4638">
        <v>0</v>
      </c>
      <c r="S4638">
        <v>0</v>
      </c>
      <c r="T4638">
        <v>0</v>
      </c>
      <c r="U4638">
        <v>0</v>
      </c>
      <c r="W4638" t="s">
        <v>106</v>
      </c>
    </row>
    <row r="4639" spans="1:45" x14ac:dyDescent="0.35">
      <c r="A4639" t="s">
        <v>45</v>
      </c>
      <c r="B4639" t="s">
        <v>10394</v>
      </c>
      <c r="C4639" t="s">
        <v>58</v>
      </c>
      <c r="D4639" t="s">
        <v>10450</v>
      </c>
      <c r="E4639" t="s">
        <v>10450</v>
      </c>
      <c r="F4639" t="s">
        <v>49</v>
      </c>
      <c r="G4639" t="s">
        <v>10451</v>
      </c>
      <c r="H4639" t="s">
        <v>10452</v>
      </c>
      <c r="J4639" t="str">
        <f>HYPERLINK("https://www.youtube.com/watch?v=8hEH545rZm0","https://www.youtube.com/watch?v=8hEH545rZm0")</f>
        <v>https://www.youtube.com/watch?v=8hEH545rZm0</v>
      </c>
      <c r="O4639">
        <v>0</v>
      </c>
      <c r="P4639">
        <v>0</v>
      </c>
      <c r="Q4639">
        <v>0</v>
      </c>
      <c r="S4639">
        <v>0</v>
      </c>
      <c r="T4639">
        <v>0</v>
      </c>
      <c r="U4639">
        <v>0</v>
      </c>
      <c r="W4639" t="s">
        <v>106</v>
      </c>
    </row>
    <row r="4640" spans="1:45" x14ac:dyDescent="0.35">
      <c r="A4640" t="s">
        <v>45</v>
      </c>
      <c r="B4640" t="s">
        <v>10394</v>
      </c>
      <c r="C4640" t="s">
        <v>58</v>
      </c>
      <c r="D4640" t="s">
        <v>10374</v>
      </c>
      <c r="E4640" t="s">
        <v>10374</v>
      </c>
      <c r="F4640" t="s">
        <v>49</v>
      </c>
      <c r="G4640" t="s">
        <v>10453</v>
      </c>
      <c r="H4640" t="s">
        <v>10454</v>
      </c>
      <c r="J4640" t="str">
        <f>HYPERLINK("https://www.youtube.com/watch?v=hBviprtWZVM","https://www.youtube.com/watch?v=hBviprtWZVM")</f>
        <v>https://www.youtube.com/watch?v=hBviprtWZVM</v>
      </c>
      <c r="O4640">
        <v>0</v>
      </c>
      <c r="P4640">
        <v>0</v>
      </c>
      <c r="Q4640">
        <v>0</v>
      </c>
      <c r="S4640">
        <v>0</v>
      </c>
      <c r="T4640">
        <v>0</v>
      </c>
      <c r="U4640">
        <v>0</v>
      </c>
      <c r="W4640" t="s">
        <v>106</v>
      </c>
    </row>
    <row r="4641" spans="1:45" x14ac:dyDescent="0.35">
      <c r="A4641" t="s">
        <v>45</v>
      </c>
      <c r="B4641" t="s">
        <v>10394</v>
      </c>
      <c r="C4641" t="s">
        <v>47</v>
      </c>
      <c r="D4641" t="s">
        <v>10399</v>
      </c>
      <c r="E4641" t="s">
        <v>10399</v>
      </c>
      <c r="F4641" t="s">
        <v>76</v>
      </c>
      <c r="G4641" t="s">
        <v>10455</v>
      </c>
      <c r="H4641" t="s">
        <v>10456</v>
      </c>
      <c r="J4641" t="str">
        <f>HYPERLINK("https://www.facebook.com/454965103328545/posts/750037770487942?comment_id=400797615720627&amp;reply_comment_id=780059110608159","https://www.facebook.com/454965103328545/posts/750037770487942?comment_id=400797615720627&amp;reply_comment_id=780059110608159")</f>
        <v>https://www.facebook.com/454965103328545/posts/750037770487942?comment_id=400797615720627&amp;reply_comment_id=780059110608159</v>
      </c>
      <c r="O4641">
        <v>0</v>
      </c>
      <c r="P4641">
        <v>0</v>
      </c>
      <c r="Q4641">
        <v>0</v>
      </c>
      <c r="S4641">
        <v>0</v>
      </c>
      <c r="T4641">
        <v>0</v>
      </c>
      <c r="U4641">
        <v>0</v>
      </c>
      <c r="W4641" t="s">
        <v>62</v>
      </c>
      <c r="AO4641" t="s">
        <v>119</v>
      </c>
    </row>
    <row r="4642" spans="1:45" x14ac:dyDescent="0.35">
      <c r="A4642" t="s">
        <v>45</v>
      </c>
      <c r="B4642" t="s">
        <v>10394</v>
      </c>
      <c r="C4642" t="s">
        <v>47</v>
      </c>
      <c r="D4642" t="s">
        <v>10399</v>
      </c>
      <c r="E4642" t="s">
        <v>10399</v>
      </c>
      <c r="F4642" t="s">
        <v>76</v>
      </c>
      <c r="G4642" t="s">
        <v>10457</v>
      </c>
      <c r="H4642" t="s">
        <v>10458</v>
      </c>
      <c r="J4642" t="str">
        <f>HYPERLINK("https://www.facebook.com/454965103328545/posts/750037770487942?comment_id=3187518808046974","https://www.facebook.com/454965103328545/posts/750037770487942?comment_id=3187518808046974")</f>
        <v>https://www.facebook.com/454965103328545/posts/750037770487942?comment_id=3187518808046974</v>
      </c>
      <c r="O4642">
        <v>0</v>
      </c>
      <c r="P4642">
        <v>0</v>
      </c>
      <c r="Q4642">
        <v>0</v>
      </c>
      <c r="S4642">
        <v>0</v>
      </c>
      <c r="T4642">
        <v>0</v>
      </c>
      <c r="U4642">
        <v>0</v>
      </c>
      <c r="W4642" t="s">
        <v>62</v>
      </c>
      <c r="AO4642" t="s">
        <v>119</v>
      </c>
    </row>
    <row r="4643" spans="1:45" x14ac:dyDescent="0.35">
      <c r="A4643" t="s">
        <v>45</v>
      </c>
      <c r="B4643" t="s">
        <v>10394</v>
      </c>
      <c r="C4643" t="s">
        <v>47</v>
      </c>
      <c r="D4643" t="s">
        <v>10399</v>
      </c>
      <c r="E4643" t="s">
        <v>10399</v>
      </c>
      <c r="F4643" t="s">
        <v>76</v>
      </c>
      <c r="G4643" t="s">
        <v>10459</v>
      </c>
      <c r="H4643" t="s">
        <v>10460</v>
      </c>
      <c r="J4643" t="str">
        <f>HYPERLINK("https://www.facebook.com/454965103328545/posts/744159567742429?comment_id=1471162226773011&amp;reply_comment_id=395775832852391","https://www.facebook.com/454965103328545/posts/744159567742429?comment_id=1471162226773011&amp;reply_comment_id=395775832852391")</f>
        <v>https://www.facebook.com/454965103328545/posts/744159567742429?comment_id=1471162226773011&amp;reply_comment_id=395775832852391</v>
      </c>
      <c r="O4643">
        <v>0</v>
      </c>
      <c r="P4643">
        <v>0</v>
      </c>
      <c r="Q4643">
        <v>0</v>
      </c>
      <c r="S4643">
        <v>0</v>
      </c>
      <c r="T4643">
        <v>0</v>
      </c>
      <c r="U4643">
        <v>0</v>
      </c>
      <c r="W4643" t="s">
        <v>62</v>
      </c>
    </row>
    <row r="4644" spans="1:45" x14ac:dyDescent="0.35">
      <c r="A4644" t="s">
        <v>45</v>
      </c>
      <c r="B4644" t="s">
        <v>10394</v>
      </c>
      <c r="C4644" t="s">
        <v>47</v>
      </c>
      <c r="D4644" t="s">
        <v>10399</v>
      </c>
      <c r="E4644" t="s">
        <v>10399</v>
      </c>
      <c r="F4644" t="s">
        <v>76</v>
      </c>
      <c r="G4644" t="s">
        <v>10457</v>
      </c>
      <c r="H4644" t="s">
        <v>10461</v>
      </c>
      <c r="J4644" t="str">
        <f>HYPERLINK("https://www.facebook.com/454965103328545/posts/744159567742429?comment_id=295519300203641","https://www.facebook.com/454965103328545/posts/744159567742429?comment_id=295519300203641")</f>
        <v>https://www.facebook.com/454965103328545/posts/744159567742429?comment_id=295519300203641</v>
      </c>
      <c r="O4644">
        <v>0</v>
      </c>
      <c r="P4644">
        <v>0</v>
      </c>
      <c r="Q4644">
        <v>0</v>
      </c>
      <c r="S4644">
        <v>0</v>
      </c>
      <c r="T4644">
        <v>0</v>
      </c>
      <c r="U4644">
        <v>0</v>
      </c>
      <c r="W4644" t="s">
        <v>62</v>
      </c>
      <c r="AO4644" t="s">
        <v>119</v>
      </c>
    </row>
    <row r="4645" spans="1:45" x14ac:dyDescent="0.35">
      <c r="A4645" t="s">
        <v>45</v>
      </c>
      <c r="B4645" t="s">
        <v>10394</v>
      </c>
      <c r="C4645" t="s">
        <v>47</v>
      </c>
      <c r="D4645" t="s">
        <v>10399</v>
      </c>
      <c r="E4645" t="s">
        <v>10399</v>
      </c>
      <c r="F4645" t="s">
        <v>76</v>
      </c>
      <c r="G4645" t="s">
        <v>10457</v>
      </c>
      <c r="H4645" t="s">
        <v>10462</v>
      </c>
      <c r="J4645" t="str">
        <f>HYPERLINK("https://www.facebook.com/454965103328545/posts/759706966187689?comment_id=1020529225711915","https://www.facebook.com/454965103328545/posts/759706966187689?comment_id=1020529225711915")</f>
        <v>https://www.facebook.com/454965103328545/posts/759706966187689?comment_id=1020529225711915</v>
      </c>
      <c r="O4645">
        <v>0</v>
      </c>
      <c r="P4645">
        <v>0</v>
      </c>
      <c r="Q4645">
        <v>0</v>
      </c>
      <c r="S4645">
        <v>0</v>
      </c>
      <c r="T4645">
        <v>0</v>
      </c>
      <c r="U4645">
        <v>0</v>
      </c>
      <c r="W4645" t="s">
        <v>62</v>
      </c>
      <c r="AO4645" t="s">
        <v>119</v>
      </c>
    </row>
    <row r="4646" spans="1:45" x14ac:dyDescent="0.35">
      <c r="A4646" t="s">
        <v>45</v>
      </c>
      <c r="B4646" t="s">
        <v>10394</v>
      </c>
      <c r="C4646" t="s">
        <v>63</v>
      </c>
      <c r="D4646" t="s">
        <v>4838</v>
      </c>
      <c r="E4646" t="s">
        <v>4838</v>
      </c>
      <c r="F4646" t="s">
        <v>49</v>
      </c>
      <c r="G4646" t="s">
        <v>10463</v>
      </c>
      <c r="H4646" t="s">
        <v>10464</v>
      </c>
      <c r="J4646" t="str">
        <f>HYPERLINK("https://www.instagram.com/reel/C2j8S9ph02D/","https://www.instagram.com/reel/C2j8S9ph02D/")</f>
        <v>https://www.instagram.com/reel/C2j8S9ph02D/</v>
      </c>
      <c r="O4646">
        <v>0</v>
      </c>
      <c r="P4646">
        <v>0</v>
      </c>
      <c r="Q4646">
        <v>0</v>
      </c>
      <c r="S4646">
        <v>0</v>
      </c>
      <c r="T4646">
        <v>0</v>
      </c>
      <c r="U4646">
        <v>0</v>
      </c>
      <c r="W4646" t="s">
        <v>62</v>
      </c>
    </row>
    <row r="4647" spans="1:45" x14ac:dyDescent="0.35">
      <c r="A4647" t="s">
        <v>45</v>
      </c>
      <c r="B4647" t="s">
        <v>10465</v>
      </c>
      <c r="C4647" t="s">
        <v>139</v>
      </c>
      <c r="D4647" t="s">
        <v>10466</v>
      </c>
      <c r="E4647" t="s">
        <v>10467</v>
      </c>
      <c r="F4647" t="s">
        <v>49</v>
      </c>
      <c r="G4647" t="s">
        <v>10468</v>
      </c>
      <c r="H4647" t="s">
        <v>10469</v>
      </c>
      <c r="J4647" t="str">
        <f>HYPERLINK("https://twitter.com/Pawan_smart01/status/1750917573183787367","https://twitter.com/Pawan_smart01/status/1750917573183787367")</f>
        <v>https://twitter.com/Pawan_smart01/status/1750917573183787367</v>
      </c>
      <c r="K4647" t="s">
        <v>145</v>
      </c>
      <c r="O4647">
        <v>0</v>
      </c>
      <c r="P4647">
        <v>0</v>
      </c>
      <c r="Q4647">
        <v>6</v>
      </c>
      <c r="R4647" t="s">
        <v>10470</v>
      </c>
      <c r="S4647">
        <v>0</v>
      </c>
      <c r="T4647">
        <v>0</v>
      </c>
      <c r="U4647">
        <v>0</v>
      </c>
      <c r="W4647" t="s">
        <v>146</v>
      </c>
    </row>
    <row r="4648" spans="1:45" x14ac:dyDescent="0.35">
      <c r="A4648" t="s">
        <v>45</v>
      </c>
      <c r="B4648" t="s">
        <v>10465</v>
      </c>
      <c r="C4648" t="s">
        <v>139</v>
      </c>
      <c r="D4648" t="s">
        <v>10160</v>
      </c>
      <c r="E4648" t="s">
        <v>10161</v>
      </c>
      <c r="F4648" t="s">
        <v>142</v>
      </c>
      <c r="G4648" t="s">
        <v>10471</v>
      </c>
      <c r="H4648" t="s">
        <v>10472</v>
      </c>
      <c r="J4648" t="str">
        <f>HYPERLINK("https://twitter.com/RaushanKumarKa7/status/1750915487582839056","https://twitter.com/RaushanKumarKa7/status/1750915487582839056")</f>
        <v>https://twitter.com/RaushanKumarKa7/status/1750915487582839056</v>
      </c>
      <c r="K4648" t="s">
        <v>145</v>
      </c>
      <c r="O4648">
        <v>0</v>
      </c>
      <c r="P4648">
        <v>0</v>
      </c>
      <c r="Q4648">
        <v>2</v>
      </c>
      <c r="S4648">
        <v>0</v>
      </c>
      <c r="T4648">
        <v>0</v>
      </c>
      <c r="U4648">
        <v>0</v>
      </c>
      <c r="W4648" t="s">
        <v>146</v>
      </c>
      <c r="AP4648" t="s">
        <v>147</v>
      </c>
    </row>
    <row r="4649" spans="1:45" x14ac:dyDescent="0.35">
      <c r="A4649" t="s">
        <v>45</v>
      </c>
      <c r="B4649" t="s">
        <v>10465</v>
      </c>
      <c r="C4649" t="s">
        <v>47</v>
      </c>
      <c r="D4649" t="s">
        <v>10473</v>
      </c>
      <c r="E4649" t="s">
        <v>10473</v>
      </c>
      <c r="F4649" t="s">
        <v>49</v>
      </c>
      <c r="G4649">
        <v>9310334299</v>
      </c>
      <c r="H4649" t="s">
        <v>10474</v>
      </c>
      <c r="J4649" t="str">
        <f>HYPERLINK("https://www.facebook.com/357267201017935/posts/4387530457991569/?comment_id=4431166673627947&amp;reply_comment_id=1714545732365488","https://www.facebook.com/357267201017935/posts/4387530457991569/?comment_id=4431166673627947&amp;reply_comment_id=1714545732365488")</f>
        <v>https://www.facebook.com/357267201017935/posts/4387530457991569/?comment_id=4431166673627947&amp;reply_comment_id=1714545732365488</v>
      </c>
      <c r="O4649">
        <v>0</v>
      </c>
      <c r="P4649">
        <v>0</v>
      </c>
      <c r="Q4649">
        <v>0</v>
      </c>
      <c r="S4649">
        <v>0</v>
      </c>
      <c r="T4649">
        <v>0</v>
      </c>
      <c r="U4649">
        <v>0</v>
      </c>
      <c r="W4649" t="s">
        <v>62</v>
      </c>
    </row>
    <row r="4650" spans="1:45" x14ac:dyDescent="0.35">
      <c r="A4650" t="s">
        <v>45</v>
      </c>
      <c r="B4650" t="s">
        <v>10465</v>
      </c>
      <c r="C4650" t="s">
        <v>47</v>
      </c>
      <c r="D4650" t="s">
        <v>10473</v>
      </c>
      <c r="E4650" t="s">
        <v>10473</v>
      </c>
      <c r="F4650" t="s">
        <v>49</v>
      </c>
      <c r="G4650">
        <v>3590</v>
      </c>
      <c r="H4650" t="s">
        <v>10475</v>
      </c>
      <c r="J4650" t="str">
        <f>HYPERLINK("https://www.facebook.com/357267201017935/posts/4387530457991569/?comment_id=4431166673627947&amp;reply_comment_id=731534945710581","https://www.facebook.com/357267201017935/posts/4387530457991569/?comment_id=4431166673627947&amp;reply_comment_id=731534945710581")</f>
        <v>https://www.facebook.com/357267201017935/posts/4387530457991569/?comment_id=4431166673627947&amp;reply_comment_id=731534945710581</v>
      </c>
      <c r="O4650">
        <v>0</v>
      </c>
      <c r="P4650">
        <v>0</v>
      </c>
      <c r="Q4650">
        <v>0</v>
      </c>
      <c r="S4650">
        <v>0</v>
      </c>
      <c r="T4650">
        <v>0</v>
      </c>
      <c r="U4650">
        <v>0</v>
      </c>
      <c r="W4650" t="s">
        <v>62</v>
      </c>
    </row>
    <row r="4651" spans="1:45" x14ac:dyDescent="0.35">
      <c r="A4651" t="s">
        <v>45</v>
      </c>
      <c r="B4651" t="s">
        <v>10465</v>
      </c>
      <c r="C4651" t="s">
        <v>47</v>
      </c>
      <c r="D4651" t="s">
        <v>10473</v>
      </c>
      <c r="E4651" t="s">
        <v>10473</v>
      </c>
      <c r="F4651" t="s">
        <v>49</v>
      </c>
      <c r="G4651" t="s">
        <v>10476</v>
      </c>
      <c r="H4651" t="s">
        <v>10477</v>
      </c>
      <c r="J4651" t="str">
        <f>HYPERLINK("https://www.facebook.com/357267201017935/posts/4387530457991569/?comment_id=4431166673627947&amp;reply_comment_id=1422115828511482","https://www.facebook.com/357267201017935/posts/4387530457991569/?comment_id=4431166673627947&amp;reply_comment_id=1422115828511482")</f>
        <v>https://www.facebook.com/357267201017935/posts/4387530457991569/?comment_id=4431166673627947&amp;reply_comment_id=1422115828511482</v>
      </c>
      <c r="O4651">
        <v>0</v>
      </c>
      <c r="P4651">
        <v>0</v>
      </c>
      <c r="Q4651">
        <v>0</v>
      </c>
      <c r="S4651">
        <v>0</v>
      </c>
      <c r="T4651">
        <v>0</v>
      </c>
      <c r="U4651">
        <v>0</v>
      </c>
      <c r="W4651" t="s">
        <v>62</v>
      </c>
    </row>
    <row r="4652" spans="1:45" x14ac:dyDescent="0.35">
      <c r="A4652" t="s">
        <v>45</v>
      </c>
      <c r="B4652" t="s">
        <v>10465</v>
      </c>
      <c r="C4652" t="s">
        <v>63</v>
      </c>
      <c r="D4652" t="s">
        <v>10478</v>
      </c>
      <c r="E4652" t="s">
        <v>10478</v>
      </c>
      <c r="F4652" t="s">
        <v>49</v>
      </c>
      <c r="G4652" t="s">
        <v>4062</v>
      </c>
      <c r="H4652" t="s">
        <v>10479</v>
      </c>
      <c r="J4652" t="str">
        <f>HYPERLINK("https://www.instagram.com/p/C2i_k4hp8Xw/","https://www.instagram.com/p/C2i_k4hp8Xw/")</f>
        <v>https://www.instagram.com/p/C2i_k4hp8Xw/</v>
      </c>
      <c r="O4652">
        <v>0</v>
      </c>
      <c r="P4652">
        <v>0</v>
      </c>
      <c r="Q4652">
        <v>0</v>
      </c>
      <c r="S4652">
        <v>0</v>
      </c>
      <c r="T4652">
        <v>0</v>
      </c>
      <c r="U4652">
        <v>0</v>
      </c>
      <c r="W4652" t="s">
        <v>62</v>
      </c>
    </row>
    <row r="4653" spans="1:45" x14ac:dyDescent="0.35">
      <c r="A4653" t="s">
        <v>45</v>
      </c>
      <c r="B4653" t="s">
        <v>10465</v>
      </c>
      <c r="C4653" t="s">
        <v>58</v>
      </c>
      <c r="D4653" t="s">
        <v>5628</v>
      </c>
      <c r="E4653" t="s">
        <v>5628</v>
      </c>
      <c r="F4653" t="s">
        <v>49</v>
      </c>
      <c r="G4653" t="s">
        <v>10480</v>
      </c>
      <c r="H4653" t="s">
        <v>10481</v>
      </c>
      <c r="J4653" t="str">
        <f>HYPERLINK("https://www.youtube.com/watch?v=9KsuHeo8c4E","https://www.youtube.com/watch?v=9KsuHeo8c4E")</f>
        <v>https://www.youtube.com/watch?v=9KsuHeo8c4E</v>
      </c>
      <c r="O4653">
        <v>0</v>
      </c>
      <c r="P4653">
        <v>0</v>
      </c>
      <c r="Q4653">
        <v>0</v>
      </c>
      <c r="S4653">
        <v>0</v>
      </c>
      <c r="T4653">
        <v>0</v>
      </c>
      <c r="U4653">
        <v>0</v>
      </c>
      <c r="W4653" t="s">
        <v>106</v>
      </c>
      <c r="AP4653" t="s">
        <v>101</v>
      </c>
    </row>
    <row r="4654" spans="1:45" x14ac:dyDescent="0.35">
      <c r="A4654" t="s">
        <v>45</v>
      </c>
      <c r="B4654" t="s">
        <v>10465</v>
      </c>
      <c r="C4654" t="s">
        <v>47</v>
      </c>
      <c r="D4654" t="s">
        <v>10482</v>
      </c>
      <c r="E4654" t="s">
        <v>10482</v>
      </c>
      <c r="F4654" t="s">
        <v>49</v>
      </c>
      <c r="G4654" t="s">
        <v>10483</v>
      </c>
      <c r="H4654" t="s">
        <v>10484</v>
      </c>
      <c r="J4654" t="str">
        <f>HYPERLINK("https://www.facebook.com/357267201017935/posts/3418723634872261/?comment_id=2091561264550930","https://www.facebook.com/357267201017935/posts/3418723634872261/?comment_id=2091561264550930")</f>
        <v>https://www.facebook.com/357267201017935/posts/3418723634872261/?comment_id=2091561264550930</v>
      </c>
      <c r="O4654">
        <v>0</v>
      </c>
      <c r="P4654">
        <v>0</v>
      </c>
      <c r="Q4654">
        <v>0</v>
      </c>
      <c r="S4654">
        <v>0</v>
      </c>
      <c r="T4654">
        <v>0</v>
      </c>
      <c r="U4654">
        <v>0</v>
      </c>
      <c r="W4654" t="s">
        <v>62</v>
      </c>
      <c r="AS4654" t="s">
        <v>375</v>
      </c>
    </row>
    <row r="4655" spans="1:45" x14ac:dyDescent="0.35">
      <c r="A4655" t="s">
        <v>45</v>
      </c>
      <c r="B4655" t="s">
        <v>10465</v>
      </c>
      <c r="C4655" t="s">
        <v>47</v>
      </c>
      <c r="D4655" t="s">
        <v>8701</v>
      </c>
      <c r="E4655" t="s">
        <v>8701</v>
      </c>
      <c r="F4655" t="s">
        <v>49</v>
      </c>
      <c r="G4655" t="s">
        <v>10485</v>
      </c>
      <c r="H4655" t="s">
        <v>10486</v>
      </c>
      <c r="J4655" t="str">
        <f>HYPERLINK("https://www.facebook.com/454965103328545/posts/759706966187689?comment_id=414219521127175","https://www.facebook.com/454965103328545/posts/759706966187689?comment_id=414219521127175")</f>
        <v>https://www.facebook.com/454965103328545/posts/759706966187689?comment_id=414219521127175</v>
      </c>
      <c r="O4655">
        <v>0</v>
      </c>
      <c r="P4655">
        <v>0</v>
      </c>
      <c r="Q4655">
        <v>0</v>
      </c>
      <c r="S4655">
        <v>0</v>
      </c>
      <c r="T4655">
        <v>0</v>
      </c>
      <c r="U4655">
        <v>0</v>
      </c>
      <c r="W4655" t="s">
        <v>62</v>
      </c>
      <c r="AS4655" t="s">
        <v>375</v>
      </c>
    </row>
    <row r="4656" spans="1:45" x14ac:dyDescent="0.35">
      <c r="A4656" t="s">
        <v>45</v>
      </c>
      <c r="B4656" t="s">
        <v>10465</v>
      </c>
      <c r="C4656" t="s">
        <v>58</v>
      </c>
      <c r="D4656" t="s">
        <v>10487</v>
      </c>
      <c r="E4656" t="s">
        <v>10487</v>
      </c>
      <c r="F4656" t="s">
        <v>49</v>
      </c>
      <c r="G4656" t="s">
        <v>10488</v>
      </c>
      <c r="H4656" t="s">
        <v>10489</v>
      </c>
      <c r="J4656" t="str">
        <f>HYPERLINK("https://www.youtube.com/watch?v=HxtfVH4LGq4","https://www.youtube.com/watch?v=HxtfVH4LGq4")</f>
        <v>https://www.youtube.com/watch?v=HxtfVH4LGq4</v>
      </c>
      <c r="O4656">
        <v>0</v>
      </c>
      <c r="P4656">
        <v>0</v>
      </c>
      <c r="Q4656">
        <v>0</v>
      </c>
      <c r="S4656">
        <v>0</v>
      </c>
      <c r="T4656">
        <v>0</v>
      </c>
      <c r="U4656">
        <v>0</v>
      </c>
      <c r="W4656" t="s">
        <v>106</v>
      </c>
    </row>
    <row r="4657" spans="1:45" x14ac:dyDescent="0.35">
      <c r="A4657" t="s">
        <v>45</v>
      </c>
      <c r="B4657" t="s">
        <v>10465</v>
      </c>
      <c r="C4657" t="s">
        <v>47</v>
      </c>
      <c r="D4657" t="s">
        <v>1117</v>
      </c>
      <c r="E4657" t="s">
        <v>1117</v>
      </c>
      <c r="F4657" t="s">
        <v>76</v>
      </c>
      <c r="G4657" t="s">
        <v>1118</v>
      </c>
      <c r="H4657" t="s">
        <v>10490</v>
      </c>
      <c r="J4657" t="str">
        <f>HYPERLINK("https://www.facebook.com/357267201017935/inbox/5367043763373562/","https://www.facebook.com/357267201017935/inbox/5367043763373562/")</f>
        <v>https://www.facebook.com/357267201017935/inbox/5367043763373562/</v>
      </c>
      <c r="O4657">
        <v>0</v>
      </c>
      <c r="P4657">
        <v>0</v>
      </c>
      <c r="Q4657">
        <v>0</v>
      </c>
      <c r="S4657">
        <v>0</v>
      </c>
      <c r="T4657">
        <v>0</v>
      </c>
      <c r="U4657">
        <v>0</v>
      </c>
      <c r="W4657" t="s">
        <v>52</v>
      </c>
    </row>
    <row r="4658" spans="1:45" x14ac:dyDescent="0.35">
      <c r="A4658" t="s">
        <v>45</v>
      </c>
      <c r="B4658" t="s">
        <v>10465</v>
      </c>
      <c r="C4658" t="s">
        <v>58</v>
      </c>
      <c r="D4658" t="s">
        <v>10491</v>
      </c>
      <c r="E4658" t="s">
        <v>10491</v>
      </c>
      <c r="F4658" t="s">
        <v>49</v>
      </c>
      <c r="G4658" t="s">
        <v>10492</v>
      </c>
      <c r="H4658" t="s">
        <v>10493</v>
      </c>
      <c r="J4658" t="str">
        <f>HYPERLINK("https://www.youtube.com/watch?v=h0bepiiaMS8&amp;lc=Ugw1K4vRjNegI1jfWUd4AaABAg","https://www.youtube.com/watch?v=h0bepiiaMS8&amp;lc=Ugw1K4vRjNegI1jfWUd4AaABAg")</f>
        <v>https://www.youtube.com/watch?v=h0bepiiaMS8&amp;lc=Ugw1K4vRjNegI1jfWUd4AaABAg</v>
      </c>
      <c r="O4658">
        <v>0</v>
      </c>
      <c r="P4658">
        <v>0</v>
      </c>
      <c r="Q4658">
        <v>0</v>
      </c>
      <c r="S4658">
        <v>0</v>
      </c>
      <c r="T4658">
        <v>0</v>
      </c>
      <c r="U4658">
        <v>0</v>
      </c>
      <c r="W4658" t="s">
        <v>62</v>
      </c>
      <c r="AS4658" t="s">
        <v>375</v>
      </c>
    </row>
    <row r="4659" spans="1:45" x14ac:dyDescent="0.35">
      <c r="A4659" t="s">
        <v>45</v>
      </c>
      <c r="B4659" t="s">
        <v>10465</v>
      </c>
      <c r="C4659" t="s">
        <v>58</v>
      </c>
      <c r="D4659" t="s">
        <v>277</v>
      </c>
      <c r="E4659" t="s">
        <v>277</v>
      </c>
      <c r="F4659" t="s">
        <v>49</v>
      </c>
      <c r="G4659" t="s">
        <v>10494</v>
      </c>
      <c r="H4659" t="s">
        <v>10495</v>
      </c>
      <c r="J4659" t="str">
        <f>HYPERLINK("https://www.youtube.com/watch?v=ga7wAGJ9iFk&amp;lc=UgxshXd26wWy-BFsUbV4AaABAg","https://www.youtube.com/watch?v=ga7wAGJ9iFk&amp;lc=UgxshXd26wWy-BFsUbV4AaABAg")</f>
        <v>https://www.youtube.com/watch?v=ga7wAGJ9iFk&amp;lc=UgxshXd26wWy-BFsUbV4AaABAg</v>
      </c>
      <c r="O4659">
        <v>0</v>
      </c>
      <c r="P4659">
        <v>0</v>
      </c>
      <c r="Q4659">
        <v>0</v>
      </c>
      <c r="S4659">
        <v>0</v>
      </c>
      <c r="T4659">
        <v>0</v>
      </c>
      <c r="U4659">
        <v>0</v>
      </c>
      <c r="W4659" t="s">
        <v>62</v>
      </c>
    </row>
    <row r="4660" spans="1:45" x14ac:dyDescent="0.35">
      <c r="A4660" t="s">
        <v>45</v>
      </c>
      <c r="B4660" t="s">
        <v>10465</v>
      </c>
      <c r="C4660" t="s">
        <v>58</v>
      </c>
      <c r="D4660" t="s">
        <v>45</v>
      </c>
      <c r="E4660" t="s">
        <v>45</v>
      </c>
      <c r="F4660" t="s">
        <v>49</v>
      </c>
      <c r="G4660" t="s">
        <v>10496</v>
      </c>
      <c r="H4660" t="s">
        <v>10497</v>
      </c>
      <c r="J4660" t="str">
        <f>HYPERLINK("https://www.youtube.com/watch?v=ga7wAGJ9iFk","https://www.youtube.com/watch?v=ga7wAGJ9iFk")</f>
        <v>https://www.youtube.com/watch?v=ga7wAGJ9iFk</v>
      </c>
      <c r="O4660">
        <v>0</v>
      </c>
      <c r="P4660">
        <v>0</v>
      </c>
      <c r="Q4660">
        <v>0</v>
      </c>
      <c r="S4660">
        <v>0</v>
      </c>
      <c r="T4660">
        <v>0</v>
      </c>
      <c r="U4660">
        <v>0</v>
      </c>
      <c r="W4660" t="s">
        <v>106</v>
      </c>
    </row>
    <row r="4661" spans="1:45" x14ac:dyDescent="0.35">
      <c r="A4661" t="s">
        <v>45</v>
      </c>
      <c r="B4661" t="s">
        <v>10465</v>
      </c>
      <c r="C4661" t="s">
        <v>63</v>
      </c>
      <c r="D4661" t="s">
        <v>186</v>
      </c>
      <c r="E4661" t="s">
        <v>186</v>
      </c>
      <c r="F4661" t="s">
        <v>49</v>
      </c>
      <c r="G4661" t="s">
        <v>10498</v>
      </c>
      <c r="H4661" t="s">
        <v>10499</v>
      </c>
      <c r="J4661" t="str">
        <f>HYPERLINK("https://www.instagram.com/reel/C2j8S9ph02D/","https://www.instagram.com/reel/C2j8S9ph02D/")</f>
        <v>https://www.instagram.com/reel/C2j8S9ph02D/</v>
      </c>
      <c r="O4661">
        <v>0</v>
      </c>
      <c r="P4661">
        <v>0</v>
      </c>
      <c r="Q4661">
        <v>0</v>
      </c>
      <c r="S4661">
        <v>2</v>
      </c>
      <c r="T4661">
        <v>240</v>
      </c>
      <c r="U4661">
        <v>0</v>
      </c>
      <c r="W4661" t="s">
        <v>106</v>
      </c>
    </row>
    <row r="4662" spans="1:45" x14ac:dyDescent="0.35">
      <c r="A4662" t="s">
        <v>45</v>
      </c>
      <c r="B4662" t="s">
        <v>10465</v>
      </c>
      <c r="C4662" t="s">
        <v>63</v>
      </c>
      <c r="D4662" t="s">
        <v>186</v>
      </c>
      <c r="E4662" t="s">
        <v>186</v>
      </c>
      <c r="F4662" t="s">
        <v>49</v>
      </c>
      <c r="G4662" t="s">
        <v>10500</v>
      </c>
      <c r="H4662" t="s">
        <v>10501</v>
      </c>
      <c r="J4662" t="str">
        <f>HYPERLINK("https://www.instagram.com/reel/C2j9bAaPaiS/","https://www.instagram.com/reel/C2j9bAaPaiS/")</f>
        <v>https://www.instagram.com/reel/C2j9bAaPaiS/</v>
      </c>
      <c r="O4662">
        <v>0</v>
      </c>
      <c r="P4662">
        <v>0</v>
      </c>
      <c r="Q4662">
        <v>0</v>
      </c>
      <c r="S4662">
        <v>0</v>
      </c>
      <c r="T4662">
        <v>79</v>
      </c>
      <c r="U4662">
        <v>0</v>
      </c>
      <c r="W4662" t="s">
        <v>106</v>
      </c>
    </row>
    <row r="4663" spans="1:45" x14ac:dyDescent="0.35">
      <c r="A4663" t="s">
        <v>45</v>
      </c>
      <c r="B4663" t="s">
        <v>10465</v>
      </c>
      <c r="C4663" t="s">
        <v>47</v>
      </c>
      <c r="D4663" t="s">
        <v>45</v>
      </c>
      <c r="E4663" t="s">
        <v>45</v>
      </c>
      <c r="F4663" t="s">
        <v>49</v>
      </c>
      <c r="G4663" t="s">
        <v>10500</v>
      </c>
      <c r="H4663" t="s">
        <v>10502</v>
      </c>
      <c r="J4663" t="str">
        <f>HYPERLINK("https://www.facebook.com/357267201017935_759706966187689","https://www.facebook.com/357267201017935_759706966187689")</f>
        <v>https://www.facebook.com/357267201017935_759706966187689</v>
      </c>
      <c r="O4663">
        <v>0</v>
      </c>
      <c r="P4663">
        <v>0</v>
      </c>
      <c r="Q4663">
        <v>0</v>
      </c>
      <c r="S4663">
        <v>2</v>
      </c>
      <c r="T4663">
        <v>48</v>
      </c>
      <c r="U4663">
        <v>10</v>
      </c>
      <c r="W4663" t="s">
        <v>106</v>
      </c>
    </row>
    <row r="4664" spans="1:45" x14ac:dyDescent="0.35">
      <c r="A4664" t="s">
        <v>45</v>
      </c>
      <c r="B4664" t="s">
        <v>10465</v>
      </c>
      <c r="C4664" t="s">
        <v>139</v>
      </c>
      <c r="D4664" t="s">
        <v>190</v>
      </c>
      <c r="E4664" t="s">
        <v>45</v>
      </c>
      <c r="F4664" t="s">
        <v>49</v>
      </c>
      <c r="G4664" t="s">
        <v>10503</v>
      </c>
      <c r="H4664" t="s">
        <v>10504</v>
      </c>
      <c r="J4664" t="str">
        <f>HYPERLINK("https://twitter.com/FinoPaymntsBank/status/1750843526726742481","https://twitter.com/FinoPaymntsBank/status/1750843526726742481")</f>
        <v>https://twitter.com/FinoPaymntsBank/status/1750843526726742481</v>
      </c>
      <c r="K4664" t="s">
        <v>145</v>
      </c>
      <c r="O4664">
        <v>0</v>
      </c>
      <c r="P4664">
        <v>0</v>
      </c>
      <c r="Q4664">
        <v>8338</v>
      </c>
      <c r="R4664" t="s">
        <v>193</v>
      </c>
      <c r="S4664">
        <v>0</v>
      </c>
      <c r="T4664">
        <v>0</v>
      </c>
      <c r="U4664">
        <v>0</v>
      </c>
      <c r="W4664" t="s">
        <v>146</v>
      </c>
    </row>
    <row r="4665" spans="1:45" x14ac:dyDescent="0.35">
      <c r="A4665" t="s">
        <v>45</v>
      </c>
      <c r="B4665" t="s">
        <v>10465</v>
      </c>
      <c r="C4665" t="s">
        <v>47</v>
      </c>
      <c r="D4665" t="s">
        <v>10505</v>
      </c>
      <c r="E4665" t="s">
        <v>10505</v>
      </c>
      <c r="F4665" t="s">
        <v>49</v>
      </c>
      <c r="G4665" t="s">
        <v>10506</v>
      </c>
      <c r="H4665" t="s">
        <v>10507</v>
      </c>
      <c r="J4665" t="str">
        <f>HYPERLINK("https://www.facebook.com/454965103328545/posts/750017770489942?comment_id=719118726863520","https://www.facebook.com/454965103328545/posts/750017770489942?comment_id=719118726863520")</f>
        <v>https://www.facebook.com/454965103328545/posts/750017770489942?comment_id=719118726863520</v>
      </c>
      <c r="O4665">
        <v>0</v>
      </c>
      <c r="P4665">
        <v>0</v>
      </c>
      <c r="Q4665">
        <v>0</v>
      </c>
      <c r="S4665">
        <v>0</v>
      </c>
      <c r="T4665">
        <v>0</v>
      </c>
      <c r="U4665">
        <v>0</v>
      </c>
      <c r="W4665" t="s">
        <v>62</v>
      </c>
    </row>
    <row r="4666" spans="1:45" x14ac:dyDescent="0.35">
      <c r="A4666" t="s">
        <v>45</v>
      </c>
      <c r="B4666" t="s">
        <v>10465</v>
      </c>
      <c r="C4666" t="s">
        <v>58</v>
      </c>
      <c r="D4666" t="s">
        <v>3179</v>
      </c>
      <c r="E4666" t="s">
        <v>3179</v>
      </c>
      <c r="F4666" t="s">
        <v>49</v>
      </c>
      <c r="G4666" t="s">
        <v>10508</v>
      </c>
      <c r="H4666" t="s">
        <v>10509</v>
      </c>
      <c r="J4666" t="str">
        <f>HYPERLINK("https://www.youtube.com/watch?v=AxBadzsqS-E","https://www.youtube.com/watch?v=AxBadzsqS-E")</f>
        <v>https://www.youtube.com/watch?v=AxBadzsqS-E</v>
      </c>
      <c r="O4666">
        <v>0</v>
      </c>
      <c r="P4666">
        <v>0</v>
      </c>
      <c r="Q4666">
        <v>0</v>
      </c>
      <c r="S4666">
        <v>0</v>
      </c>
      <c r="T4666">
        <v>0</v>
      </c>
      <c r="U4666">
        <v>0</v>
      </c>
      <c r="W4666" t="s">
        <v>106</v>
      </c>
    </row>
    <row r="4667" spans="1:45" x14ac:dyDescent="0.35">
      <c r="A4667" t="s">
        <v>45</v>
      </c>
      <c r="B4667" t="s">
        <v>10465</v>
      </c>
      <c r="C4667" t="s">
        <v>139</v>
      </c>
      <c r="D4667" t="s">
        <v>10510</v>
      </c>
      <c r="E4667" t="s">
        <v>10511</v>
      </c>
      <c r="F4667" t="s">
        <v>76</v>
      </c>
      <c r="G4667" t="s">
        <v>10512</v>
      </c>
      <c r="H4667" t="s">
        <v>10513</v>
      </c>
      <c r="J4667" t="str">
        <f>HYPERLINK("https://twitter.com/Makhansingh765/status/1750715403771453557","https://twitter.com/Makhansingh765/status/1750715403771453557")</f>
        <v>https://twitter.com/Makhansingh765/status/1750715403771453557</v>
      </c>
      <c r="K4667" t="s">
        <v>145</v>
      </c>
      <c r="O4667">
        <v>0</v>
      </c>
      <c r="P4667">
        <v>0</v>
      </c>
      <c r="Q4667">
        <v>2</v>
      </c>
      <c r="S4667">
        <v>0</v>
      </c>
      <c r="T4667">
        <v>0</v>
      </c>
      <c r="U4667">
        <v>0</v>
      </c>
      <c r="W4667" t="s">
        <v>146</v>
      </c>
    </row>
    <row r="4668" spans="1:45" x14ac:dyDescent="0.35">
      <c r="A4668" t="s">
        <v>45</v>
      </c>
      <c r="B4668" t="s">
        <v>10465</v>
      </c>
      <c r="C4668" t="s">
        <v>47</v>
      </c>
      <c r="D4668" t="s">
        <v>10514</v>
      </c>
      <c r="E4668" t="s">
        <v>10514</v>
      </c>
      <c r="F4668" t="s">
        <v>49</v>
      </c>
      <c r="G4668" t="s">
        <v>861</v>
      </c>
      <c r="H4668" t="s">
        <v>10515</v>
      </c>
      <c r="J4668" t="str">
        <f>HYPERLINK("https://www.facebook.com/357267201017935/inbox/6962504270494162/","https://www.facebook.com/357267201017935/inbox/6962504270494162/")</f>
        <v>https://www.facebook.com/357267201017935/inbox/6962504270494162/</v>
      </c>
      <c r="O4668">
        <v>0</v>
      </c>
      <c r="P4668">
        <v>0</v>
      </c>
      <c r="Q4668">
        <v>0</v>
      </c>
      <c r="S4668">
        <v>0</v>
      </c>
      <c r="T4668">
        <v>0</v>
      </c>
      <c r="U4668">
        <v>0</v>
      </c>
      <c r="W4668" t="s">
        <v>52</v>
      </c>
      <c r="AS4668" t="s">
        <v>375</v>
      </c>
    </row>
    <row r="4669" spans="1:45" x14ac:dyDescent="0.35">
      <c r="A4669" t="s">
        <v>45</v>
      </c>
      <c r="B4669" t="s">
        <v>10465</v>
      </c>
      <c r="C4669" t="s">
        <v>63</v>
      </c>
      <c r="D4669" t="s">
        <v>186</v>
      </c>
      <c r="E4669" t="s">
        <v>186</v>
      </c>
      <c r="F4669" t="s">
        <v>49</v>
      </c>
      <c r="G4669" t="s">
        <v>10516</v>
      </c>
      <c r="H4669" t="s">
        <v>10517</v>
      </c>
      <c r="J4669" t="str">
        <f>HYPERLINK("https://www.instagram.com/p/C2i_k4hp8Xw/","https://www.instagram.com/p/C2i_k4hp8Xw/")</f>
        <v>https://www.instagram.com/p/C2i_k4hp8Xw/</v>
      </c>
      <c r="O4669">
        <v>0</v>
      </c>
      <c r="P4669">
        <v>0</v>
      </c>
      <c r="Q4669">
        <v>0</v>
      </c>
      <c r="S4669">
        <v>1</v>
      </c>
      <c r="T4669">
        <v>123</v>
      </c>
      <c r="U4669">
        <v>0</v>
      </c>
      <c r="W4669" t="s">
        <v>106</v>
      </c>
    </row>
    <row r="4670" spans="1:45" x14ac:dyDescent="0.35">
      <c r="A4670" t="s">
        <v>45</v>
      </c>
      <c r="B4670" t="s">
        <v>10465</v>
      </c>
      <c r="C4670" t="s">
        <v>58</v>
      </c>
      <c r="D4670" t="s">
        <v>10518</v>
      </c>
      <c r="E4670" t="s">
        <v>10518</v>
      </c>
      <c r="F4670" t="s">
        <v>76</v>
      </c>
      <c r="G4670" t="s">
        <v>10519</v>
      </c>
      <c r="H4670" t="s">
        <v>10520</v>
      </c>
      <c r="J4670" t="str">
        <f>HYPERLINK("https://www.youtube.com/watch?v=oOkBgCd4THs","https://www.youtube.com/watch?v=oOkBgCd4THs")</f>
        <v>https://www.youtube.com/watch?v=oOkBgCd4THs</v>
      </c>
      <c r="O4670">
        <v>0</v>
      </c>
      <c r="P4670">
        <v>0</v>
      </c>
      <c r="Q4670">
        <v>0</v>
      </c>
      <c r="S4670">
        <v>0</v>
      </c>
      <c r="T4670">
        <v>0</v>
      </c>
      <c r="U4670">
        <v>0</v>
      </c>
      <c r="W4670" t="s">
        <v>106</v>
      </c>
    </row>
    <row r="4671" spans="1:45" x14ac:dyDescent="0.35">
      <c r="A4671" t="s">
        <v>45</v>
      </c>
      <c r="B4671" t="s">
        <v>10465</v>
      </c>
      <c r="C4671" t="s">
        <v>47</v>
      </c>
      <c r="D4671" t="s">
        <v>45</v>
      </c>
      <c r="E4671" t="s">
        <v>45</v>
      </c>
      <c r="F4671" t="s">
        <v>49</v>
      </c>
      <c r="G4671" t="s">
        <v>10516</v>
      </c>
      <c r="H4671" t="s">
        <v>10521</v>
      </c>
      <c r="J4671" t="str">
        <f>HYPERLINK("https://www.facebook.com/357267201017935_759657059526013","https://www.facebook.com/357267201017935_759657059526013")</f>
        <v>https://www.facebook.com/357267201017935_759657059526013</v>
      </c>
      <c r="O4671">
        <v>0</v>
      </c>
      <c r="P4671">
        <v>0</v>
      </c>
      <c r="Q4671">
        <v>0</v>
      </c>
      <c r="S4671">
        <v>0</v>
      </c>
      <c r="T4671">
        <v>76</v>
      </c>
      <c r="U4671">
        <v>11</v>
      </c>
      <c r="W4671" t="s">
        <v>106</v>
      </c>
    </row>
    <row r="4672" spans="1:45" x14ac:dyDescent="0.35">
      <c r="A4672" t="s">
        <v>45</v>
      </c>
      <c r="B4672" t="s">
        <v>10465</v>
      </c>
      <c r="C4672" t="s">
        <v>139</v>
      </c>
      <c r="D4672" t="s">
        <v>190</v>
      </c>
      <c r="E4672" t="s">
        <v>45</v>
      </c>
      <c r="F4672" t="s">
        <v>49</v>
      </c>
      <c r="G4672" t="s">
        <v>10522</v>
      </c>
      <c r="H4672" t="s">
        <v>10523</v>
      </c>
      <c r="J4672" t="str">
        <f>HYPERLINK("https://twitter.com/FinoPaymntsBank/status/1750707629939359933","https://twitter.com/FinoPaymntsBank/status/1750707629939359933")</f>
        <v>https://twitter.com/FinoPaymntsBank/status/1750707629939359933</v>
      </c>
      <c r="K4672" t="s">
        <v>145</v>
      </c>
      <c r="O4672">
        <v>0</v>
      </c>
      <c r="P4672">
        <v>0</v>
      </c>
      <c r="Q4672">
        <v>8334</v>
      </c>
      <c r="R4672" t="s">
        <v>193</v>
      </c>
      <c r="S4672">
        <v>0</v>
      </c>
      <c r="T4672">
        <v>0</v>
      </c>
      <c r="U4672">
        <v>0</v>
      </c>
      <c r="W4672" t="s">
        <v>146</v>
      </c>
    </row>
    <row r="4673" spans="1:45" x14ac:dyDescent="0.35">
      <c r="A4673" t="s">
        <v>45</v>
      </c>
      <c r="B4673" t="s">
        <v>10465</v>
      </c>
      <c r="C4673" t="s">
        <v>58</v>
      </c>
      <c r="D4673" t="s">
        <v>10524</v>
      </c>
      <c r="E4673" t="s">
        <v>10524</v>
      </c>
      <c r="F4673" t="s">
        <v>49</v>
      </c>
      <c r="G4673" t="s">
        <v>10525</v>
      </c>
      <c r="H4673" t="s">
        <v>10526</v>
      </c>
      <c r="J4673" t="str">
        <f>HYPERLINK("https://www.youtube.com/watch?v=ap5qy9iTuOA&amp;lc=Ugyk8046rL6wzWeOSOJ4AaABAg","https://www.youtube.com/watch?v=ap5qy9iTuOA&amp;lc=Ugyk8046rL6wzWeOSOJ4AaABAg")</f>
        <v>https://www.youtube.com/watch?v=ap5qy9iTuOA&amp;lc=Ugyk8046rL6wzWeOSOJ4AaABAg</v>
      </c>
      <c r="O4673">
        <v>0</v>
      </c>
      <c r="P4673">
        <v>0</v>
      </c>
      <c r="Q4673">
        <v>0</v>
      </c>
      <c r="S4673">
        <v>0</v>
      </c>
      <c r="T4673">
        <v>0</v>
      </c>
      <c r="U4673">
        <v>0</v>
      </c>
      <c r="W4673" t="s">
        <v>62</v>
      </c>
    </row>
    <row r="4674" spans="1:45" x14ac:dyDescent="0.35">
      <c r="A4674" t="s">
        <v>45</v>
      </c>
      <c r="B4674" t="s">
        <v>10465</v>
      </c>
      <c r="C4674" t="s">
        <v>47</v>
      </c>
      <c r="D4674" t="s">
        <v>10527</v>
      </c>
      <c r="E4674" t="s">
        <v>10527</v>
      </c>
      <c r="F4674" t="s">
        <v>49</v>
      </c>
      <c r="G4674" t="s">
        <v>10528</v>
      </c>
      <c r="H4674" t="s">
        <v>10529</v>
      </c>
      <c r="J4674" t="str">
        <f>HYPERLINK("https://www.facebook.com/FinoPaymentsBank/manager/messages/?threadid=122114187596180041&amp;amp;folder=inbox","https://www.facebook.com/FinoPaymentsBank/manager/messages/?threadid=122114187596180041&amp;amp;folder=inbox")</f>
        <v>https://www.facebook.com/FinoPaymentsBank/manager/messages/?threadid=122114187596180041&amp;amp;folder=inbox</v>
      </c>
      <c r="O4674">
        <v>0</v>
      </c>
      <c r="P4674">
        <v>0</v>
      </c>
      <c r="Q4674">
        <v>0</v>
      </c>
      <c r="S4674">
        <v>0</v>
      </c>
      <c r="T4674">
        <v>0</v>
      </c>
      <c r="U4674">
        <v>0</v>
      </c>
      <c r="W4674" t="s">
        <v>52</v>
      </c>
    </row>
    <row r="4675" spans="1:45" x14ac:dyDescent="0.35">
      <c r="A4675" t="s">
        <v>45</v>
      </c>
      <c r="B4675" t="s">
        <v>10465</v>
      </c>
      <c r="C4675" t="s">
        <v>47</v>
      </c>
      <c r="D4675" t="s">
        <v>10527</v>
      </c>
      <c r="E4675" t="s">
        <v>10527</v>
      </c>
      <c r="F4675" t="s">
        <v>142</v>
      </c>
      <c r="G4675" t="s">
        <v>10530</v>
      </c>
      <c r="H4675" t="s">
        <v>10531</v>
      </c>
      <c r="J4675" t="str">
        <f>HYPERLINK("https://www.facebook.com/FinoPaymentsBank/manager/messages/?threadid=122114187596180041&amp;amp;folder=inbox","https://www.facebook.com/FinoPaymentsBank/manager/messages/?threadid=122114187596180041&amp;amp;folder=inbox")</f>
        <v>https://www.facebook.com/FinoPaymentsBank/manager/messages/?threadid=122114187596180041&amp;amp;folder=inbox</v>
      </c>
      <c r="O4675">
        <v>0</v>
      </c>
      <c r="P4675">
        <v>0</v>
      </c>
      <c r="Q4675">
        <v>0</v>
      </c>
      <c r="S4675">
        <v>0</v>
      </c>
      <c r="T4675">
        <v>0</v>
      </c>
      <c r="U4675">
        <v>0</v>
      </c>
      <c r="W4675" t="s">
        <v>52</v>
      </c>
      <c r="AP4675" t="s">
        <v>147</v>
      </c>
    </row>
    <row r="4676" spans="1:45" x14ac:dyDescent="0.35">
      <c r="A4676" t="s">
        <v>45</v>
      </c>
      <c r="B4676" t="s">
        <v>10532</v>
      </c>
      <c r="C4676" t="s">
        <v>47</v>
      </c>
      <c r="D4676" t="s">
        <v>8096</v>
      </c>
      <c r="E4676" t="s">
        <v>8096</v>
      </c>
      <c r="F4676" t="s">
        <v>76</v>
      </c>
      <c r="G4676" t="s">
        <v>10533</v>
      </c>
      <c r="H4676" t="s">
        <v>10534</v>
      </c>
      <c r="J4676" t="str">
        <f>HYPERLINK("https://www.facebook.com/454965103328545/posts/758440022981050?comment_id=682954497365534","https://www.facebook.com/454965103328545/posts/758440022981050?comment_id=682954497365534")</f>
        <v>https://www.facebook.com/454965103328545/posts/758440022981050?comment_id=682954497365534</v>
      </c>
      <c r="O4676">
        <v>0</v>
      </c>
      <c r="P4676">
        <v>0</v>
      </c>
      <c r="Q4676">
        <v>0</v>
      </c>
      <c r="S4676">
        <v>0</v>
      </c>
      <c r="T4676">
        <v>0</v>
      </c>
      <c r="U4676">
        <v>0</v>
      </c>
      <c r="W4676" t="s">
        <v>62</v>
      </c>
      <c r="AP4676" t="s">
        <v>101</v>
      </c>
      <c r="AS4676" t="s">
        <v>375</v>
      </c>
    </row>
    <row r="4677" spans="1:45" x14ac:dyDescent="0.35">
      <c r="A4677" t="s">
        <v>45</v>
      </c>
      <c r="B4677" t="s">
        <v>10532</v>
      </c>
      <c r="C4677" t="s">
        <v>139</v>
      </c>
      <c r="D4677" t="s">
        <v>10535</v>
      </c>
      <c r="E4677" t="s">
        <v>10536</v>
      </c>
      <c r="F4677" t="s">
        <v>76</v>
      </c>
      <c r="G4677" t="s">
        <v>10537</v>
      </c>
      <c r="H4677" t="s">
        <v>10538</v>
      </c>
      <c r="J4677" t="str">
        <f>HYPERLINK("https://twitter.com/JAGDISHMENA1/status/1750550486930104577","https://twitter.com/JAGDISHMENA1/status/1750550486930104577")</f>
        <v>https://twitter.com/JAGDISHMENA1/status/1750550486930104577</v>
      </c>
      <c r="K4677" t="s">
        <v>145</v>
      </c>
      <c r="O4677">
        <v>0</v>
      </c>
      <c r="P4677">
        <v>0</v>
      </c>
      <c r="Q4677">
        <v>0</v>
      </c>
      <c r="S4677">
        <v>0</v>
      </c>
      <c r="T4677">
        <v>0</v>
      </c>
      <c r="U4677">
        <v>0</v>
      </c>
      <c r="W4677" t="s">
        <v>146</v>
      </c>
    </row>
    <row r="4678" spans="1:45" x14ac:dyDescent="0.35">
      <c r="A4678" t="s">
        <v>45</v>
      </c>
      <c r="B4678" t="s">
        <v>10532</v>
      </c>
      <c r="C4678" t="s">
        <v>58</v>
      </c>
      <c r="D4678" t="s">
        <v>5585</v>
      </c>
      <c r="E4678" t="s">
        <v>5585</v>
      </c>
      <c r="F4678" t="s">
        <v>49</v>
      </c>
      <c r="G4678" t="s">
        <v>10539</v>
      </c>
      <c r="H4678" t="s">
        <v>10540</v>
      </c>
      <c r="J4678" t="str">
        <f>HYPERLINK("https://www.youtube.com/watch?v=ntPed3_xKjw","https://www.youtube.com/watch?v=ntPed3_xKjw")</f>
        <v>https://www.youtube.com/watch?v=ntPed3_xKjw</v>
      </c>
      <c r="O4678">
        <v>0</v>
      </c>
      <c r="P4678">
        <v>0</v>
      </c>
      <c r="Q4678">
        <v>0</v>
      </c>
      <c r="S4678">
        <v>0</v>
      </c>
      <c r="T4678">
        <v>0</v>
      </c>
      <c r="U4678">
        <v>0</v>
      </c>
      <c r="W4678" t="s">
        <v>106</v>
      </c>
    </row>
    <row r="4679" spans="1:45" x14ac:dyDescent="0.35">
      <c r="A4679" t="s">
        <v>45</v>
      </c>
      <c r="B4679" t="s">
        <v>10532</v>
      </c>
      <c r="C4679" t="s">
        <v>58</v>
      </c>
      <c r="D4679" t="s">
        <v>1369</v>
      </c>
      <c r="E4679" t="s">
        <v>1369</v>
      </c>
      <c r="F4679" t="s">
        <v>49</v>
      </c>
      <c r="G4679" t="s">
        <v>10541</v>
      </c>
      <c r="H4679" t="s">
        <v>10542</v>
      </c>
      <c r="J4679" t="str">
        <f>HYPERLINK("https://www.youtube.com/watch?v=BEs06SpHww8","https://www.youtube.com/watch?v=BEs06SpHww8")</f>
        <v>https://www.youtube.com/watch?v=BEs06SpHww8</v>
      </c>
      <c r="O4679">
        <v>0</v>
      </c>
      <c r="P4679">
        <v>0</v>
      </c>
      <c r="Q4679">
        <v>0</v>
      </c>
      <c r="S4679">
        <v>0</v>
      </c>
      <c r="T4679">
        <v>0</v>
      </c>
      <c r="U4679">
        <v>0</v>
      </c>
      <c r="W4679" t="s">
        <v>106</v>
      </c>
    </row>
    <row r="4680" spans="1:45" x14ac:dyDescent="0.35">
      <c r="A4680" t="s">
        <v>45</v>
      </c>
      <c r="B4680" t="s">
        <v>10532</v>
      </c>
      <c r="C4680" t="s">
        <v>139</v>
      </c>
      <c r="D4680" t="s">
        <v>10543</v>
      </c>
      <c r="E4680" t="s">
        <v>10544</v>
      </c>
      <c r="F4680" t="s">
        <v>49</v>
      </c>
      <c r="G4680" t="s">
        <v>10545</v>
      </c>
      <c r="H4680" t="s">
        <v>10546</v>
      </c>
      <c r="J4680" t="str">
        <f>HYPERLINK("https://twitter.com/PurushaDeepak/status/1750536983783633326","https://twitter.com/PurushaDeepak/status/1750536983783633326")</f>
        <v>https://twitter.com/PurushaDeepak/status/1750536983783633326</v>
      </c>
      <c r="K4680" t="s">
        <v>145</v>
      </c>
      <c r="O4680">
        <v>0</v>
      </c>
      <c r="P4680">
        <v>0</v>
      </c>
      <c r="Q4680">
        <v>4857</v>
      </c>
      <c r="R4680" t="s">
        <v>10547</v>
      </c>
      <c r="S4680">
        <v>0</v>
      </c>
      <c r="T4680">
        <v>0</v>
      </c>
      <c r="U4680">
        <v>0</v>
      </c>
      <c r="W4680" t="s">
        <v>146</v>
      </c>
      <c r="AO4680" t="s">
        <v>119</v>
      </c>
      <c r="AS4680" t="s">
        <v>375</v>
      </c>
    </row>
    <row r="4681" spans="1:45" x14ac:dyDescent="0.35">
      <c r="A4681" t="s">
        <v>45</v>
      </c>
      <c r="B4681" t="s">
        <v>10532</v>
      </c>
      <c r="C4681" t="s">
        <v>139</v>
      </c>
      <c r="D4681" t="s">
        <v>10548</v>
      </c>
      <c r="E4681" t="s">
        <v>10549</v>
      </c>
      <c r="F4681" t="s">
        <v>49</v>
      </c>
      <c r="G4681" t="s">
        <v>10550</v>
      </c>
      <c r="H4681" t="s">
        <v>10551</v>
      </c>
      <c r="J4681" t="str">
        <f>HYPERLINK("https://twitter.com/MogiyaPraveen/status/1750529943132569650","https://twitter.com/MogiyaPraveen/status/1750529943132569650")</f>
        <v>https://twitter.com/MogiyaPraveen/status/1750529943132569650</v>
      </c>
      <c r="K4681" t="s">
        <v>145</v>
      </c>
      <c r="O4681">
        <v>0</v>
      </c>
      <c r="P4681">
        <v>0</v>
      </c>
      <c r="Q4681">
        <v>0</v>
      </c>
      <c r="S4681">
        <v>0</v>
      </c>
      <c r="T4681">
        <v>0</v>
      </c>
      <c r="U4681">
        <v>0</v>
      </c>
      <c r="W4681" t="s">
        <v>146</v>
      </c>
      <c r="AS4681" t="s">
        <v>375</v>
      </c>
    </row>
    <row r="4682" spans="1:45" x14ac:dyDescent="0.35">
      <c r="A4682" t="s">
        <v>45</v>
      </c>
      <c r="B4682" t="s">
        <v>10532</v>
      </c>
      <c r="C4682" t="s">
        <v>58</v>
      </c>
      <c r="D4682" t="s">
        <v>5628</v>
      </c>
      <c r="E4682" t="s">
        <v>5628</v>
      </c>
      <c r="F4682" t="s">
        <v>142</v>
      </c>
      <c r="G4682" t="s">
        <v>10552</v>
      </c>
      <c r="H4682" t="s">
        <v>10553</v>
      </c>
      <c r="J4682" t="str">
        <f>HYPERLINK("https://www.youtube.com/watch?v=zBjtErPzJOo","https://www.youtube.com/watch?v=zBjtErPzJOo")</f>
        <v>https://www.youtube.com/watch?v=zBjtErPzJOo</v>
      </c>
      <c r="O4682">
        <v>0</v>
      </c>
      <c r="P4682">
        <v>0</v>
      </c>
      <c r="Q4682">
        <v>0</v>
      </c>
      <c r="S4682">
        <v>0</v>
      </c>
      <c r="T4682">
        <v>0</v>
      </c>
      <c r="U4682">
        <v>0</v>
      </c>
      <c r="W4682" t="s">
        <v>106</v>
      </c>
    </row>
    <row r="4683" spans="1:45" x14ac:dyDescent="0.35">
      <c r="A4683" t="s">
        <v>45</v>
      </c>
      <c r="B4683" t="s">
        <v>10532</v>
      </c>
      <c r="C4683" t="s">
        <v>58</v>
      </c>
      <c r="D4683" t="s">
        <v>1217</v>
      </c>
      <c r="E4683" t="s">
        <v>1217</v>
      </c>
      <c r="F4683" t="s">
        <v>49</v>
      </c>
      <c r="G4683" t="s">
        <v>10554</v>
      </c>
      <c r="H4683" t="s">
        <v>10555</v>
      </c>
      <c r="J4683" t="str">
        <f>HYPERLINK("https://www.youtube.com/watch?v=Ls1JSp7z4Sw","https://www.youtube.com/watch?v=Ls1JSp7z4Sw")</f>
        <v>https://www.youtube.com/watch?v=Ls1JSp7z4Sw</v>
      </c>
      <c r="O4683">
        <v>0</v>
      </c>
      <c r="P4683">
        <v>0</v>
      </c>
      <c r="Q4683">
        <v>0</v>
      </c>
      <c r="S4683">
        <v>0</v>
      </c>
      <c r="T4683">
        <v>0</v>
      </c>
      <c r="U4683">
        <v>0</v>
      </c>
      <c r="W4683" t="s">
        <v>106</v>
      </c>
      <c r="AP4683" t="s">
        <v>101</v>
      </c>
    </row>
    <row r="4684" spans="1:45" x14ac:dyDescent="0.35">
      <c r="A4684" t="s">
        <v>45</v>
      </c>
      <c r="B4684" t="s">
        <v>10532</v>
      </c>
      <c r="C4684" t="s">
        <v>58</v>
      </c>
      <c r="D4684" t="s">
        <v>1142</v>
      </c>
      <c r="E4684" t="s">
        <v>1142</v>
      </c>
      <c r="F4684" t="s">
        <v>49</v>
      </c>
      <c r="G4684" t="s">
        <v>10556</v>
      </c>
      <c r="H4684" t="s">
        <v>10557</v>
      </c>
      <c r="J4684" t="str">
        <f>HYPERLINK("https://www.youtube.com/watch?v=6beEN1fwKQA","https://www.youtube.com/watch?v=6beEN1fwKQA")</f>
        <v>https://www.youtube.com/watch?v=6beEN1fwKQA</v>
      </c>
      <c r="O4684">
        <v>0</v>
      </c>
      <c r="P4684">
        <v>0</v>
      </c>
      <c r="Q4684">
        <v>0</v>
      </c>
      <c r="S4684">
        <v>0</v>
      </c>
      <c r="T4684">
        <v>0</v>
      </c>
      <c r="U4684">
        <v>0</v>
      </c>
      <c r="W4684" t="s">
        <v>106</v>
      </c>
    </row>
    <row r="4685" spans="1:45" x14ac:dyDescent="0.35">
      <c r="A4685" t="s">
        <v>45</v>
      </c>
      <c r="B4685" t="s">
        <v>10532</v>
      </c>
      <c r="C4685" t="s">
        <v>47</v>
      </c>
      <c r="D4685" t="s">
        <v>45</v>
      </c>
      <c r="E4685" t="s">
        <v>45</v>
      </c>
      <c r="F4685" t="s">
        <v>49</v>
      </c>
      <c r="G4685" t="s">
        <v>10500</v>
      </c>
      <c r="H4685" t="s">
        <v>10558</v>
      </c>
      <c r="J4685" t="str">
        <f>HYPERLINK("https://www.facebook.com/357267201017935_759705946187791","https://www.facebook.com/357267201017935_759705946187791")</f>
        <v>https://www.facebook.com/357267201017935_759705946187791</v>
      </c>
      <c r="O4685">
        <v>0</v>
      </c>
      <c r="P4685">
        <v>0</v>
      </c>
      <c r="Q4685">
        <v>0</v>
      </c>
      <c r="S4685">
        <v>0</v>
      </c>
      <c r="T4685">
        <v>0</v>
      </c>
      <c r="U4685">
        <v>0</v>
      </c>
      <c r="W4685" t="s">
        <v>106</v>
      </c>
    </row>
    <row r="4686" spans="1:45" x14ac:dyDescent="0.35">
      <c r="A4686" t="s">
        <v>45</v>
      </c>
      <c r="B4686" t="s">
        <v>10532</v>
      </c>
      <c r="C4686" t="s">
        <v>47</v>
      </c>
      <c r="D4686" t="s">
        <v>10559</v>
      </c>
      <c r="E4686" t="s">
        <v>10559</v>
      </c>
      <c r="F4686" t="s">
        <v>49</v>
      </c>
      <c r="G4686" t="s">
        <v>10560</v>
      </c>
      <c r="H4686" t="s">
        <v>10561</v>
      </c>
      <c r="J4686" t="str">
        <f>HYPERLINK("https://www.facebook.com/357267201017935/inbox/6960261847385071/","https://www.facebook.com/357267201017935/inbox/6960261847385071/")</f>
        <v>https://www.facebook.com/357267201017935/inbox/6960261847385071/</v>
      </c>
      <c r="O4686">
        <v>0</v>
      </c>
      <c r="P4686">
        <v>0</v>
      </c>
      <c r="Q4686">
        <v>0</v>
      </c>
      <c r="S4686">
        <v>0</v>
      </c>
      <c r="T4686">
        <v>0</v>
      </c>
      <c r="U4686">
        <v>0</v>
      </c>
      <c r="W4686" t="s">
        <v>52</v>
      </c>
      <c r="AS4686" t="s">
        <v>375</v>
      </c>
    </row>
    <row r="4687" spans="1:45" x14ac:dyDescent="0.35">
      <c r="A4687" t="s">
        <v>45</v>
      </c>
      <c r="B4687" t="s">
        <v>10532</v>
      </c>
      <c r="C4687" t="s">
        <v>102</v>
      </c>
      <c r="D4687" t="s">
        <v>965</v>
      </c>
      <c r="E4687" t="s">
        <v>965</v>
      </c>
      <c r="F4687" t="s">
        <v>49</v>
      </c>
      <c r="G4687" t="s">
        <v>10562</v>
      </c>
      <c r="H4687" t="s">
        <v>10563</v>
      </c>
      <c r="J4687" t="str">
        <f>HYPERLINK("https://www.linkedin.com/feed/update/urn:li:share:7156273388947189761","https://www.linkedin.com/feed/update/urn:li:share:7156273388947189761")</f>
        <v>https://www.linkedin.com/feed/update/urn:li:share:7156273388947189761</v>
      </c>
      <c r="O4687">
        <v>0</v>
      </c>
      <c r="P4687">
        <v>0</v>
      </c>
      <c r="Q4687">
        <v>0</v>
      </c>
      <c r="S4687">
        <v>1</v>
      </c>
      <c r="T4687">
        <v>90</v>
      </c>
      <c r="U4687">
        <v>0</v>
      </c>
      <c r="W4687" t="s">
        <v>106</v>
      </c>
    </row>
    <row r="4688" spans="1:45" x14ac:dyDescent="0.35">
      <c r="A4688" t="s">
        <v>45</v>
      </c>
      <c r="B4688" t="s">
        <v>10532</v>
      </c>
      <c r="C4688" t="s">
        <v>63</v>
      </c>
      <c r="D4688" t="s">
        <v>10564</v>
      </c>
      <c r="E4688" t="s">
        <v>10564</v>
      </c>
      <c r="F4688" t="s">
        <v>76</v>
      </c>
      <c r="G4688" t="s">
        <v>10565</v>
      </c>
      <c r="H4688" t="s">
        <v>10566</v>
      </c>
      <c r="J4688" t="str">
        <f>HYPERLINK("https://www.instagram.com/p/C2hYjkfM56D/","https://www.instagram.com/p/C2hYjkfM56D/")</f>
        <v>https://www.instagram.com/p/C2hYjkfM56D/</v>
      </c>
      <c r="O4688">
        <v>0</v>
      </c>
      <c r="P4688">
        <v>0</v>
      </c>
      <c r="Q4688">
        <v>0</v>
      </c>
      <c r="S4688">
        <v>0</v>
      </c>
      <c r="T4688">
        <v>0</v>
      </c>
      <c r="U4688">
        <v>0</v>
      </c>
      <c r="W4688" t="s">
        <v>62</v>
      </c>
    </row>
    <row r="4689" spans="1:45" x14ac:dyDescent="0.35">
      <c r="A4689" t="s">
        <v>45</v>
      </c>
      <c r="B4689" t="s">
        <v>10532</v>
      </c>
      <c r="C4689" t="s">
        <v>47</v>
      </c>
      <c r="D4689" t="s">
        <v>10567</v>
      </c>
      <c r="E4689" t="s">
        <v>10567</v>
      </c>
      <c r="F4689" t="s">
        <v>49</v>
      </c>
      <c r="G4689" t="s">
        <v>10568</v>
      </c>
      <c r="H4689" t="s">
        <v>10569</v>
      </c>
      <c r="J4689" t="str">
        <f>HYPERLINK("https://www.facebook.com/357267201017935/inbox/6960062697404986/","https://www.facebook.com/357267201017935/inbox/6960062697404986/")</f>
        <v>https://www.facebook.com/357267201017935/inbox/6960062697404986/</v>
      </c>
      <c r="O4689">
        <v>0</v>
      </c>
      <c r="P4689">
        <v>0</v>
      </c>
      <c r="Q4689">
        <v>0</v>
      </c>
      <c r="S4689">
        <v>0</v>
      </c>
      <c r="T4689">
        <v>0</v>
      </c>
      <c r="U4689">
        <v>0</v>
      </c>
      <c r="W4689" t="s">
        <v>52</v>
      </c>
    </row>
    <row r="4690" spans="1:45" x14ac:dyDescent="0.35">
      <c r="A4690" t="s">
        <v>45</v>
      </c>
      <c r="B4690" t="s">
        <v>10532</v>
      </c>
      <c r="C4690" t="s">
        <v>47</v>
      </c>
      <c r="D4690" t="s">
        <v>2335</v>
      </c>
      <c r="E4690" t="s">
        <v>2335</v>
      </c>
      <c r="F4690" t="s">
        <v>49</v>
      </c>
      <c r="H4690" t="s">
        <v>10570</v>
      </c>
      <c r="J4690" t="str">
        <f>HYPERLINK("https://www.facebook.com/454965103328545/posts/756092463215806?comment_id=1301204357352951","https://www.facebook.com/454965103328545/posts/756092463215806?comment_id=1301204357352951")</f>
        <v>https://www.facebook.com/454965103328545/posts/756092463215806?comment_id=1301204357352951</v>
      </c>
      <c r="O4690">
        <v>0</v>
      </c>
      <c r="P4690">
        <v>0</v>
      </c>
      <c r="Q4690">
        <v>0</v>
      </c>
      <c r="S4690">
        <v>0</v>
      </c>
      <c r="T4690">
        <v>0</v>
      </c>
      <c r="U4690">
        <v>0</v>
      </c>
      <c r="W4690" t="s">
        <v>62</v>
      </c>
    </row>
    <row r="4691" spans="1:45" x14ac:dyDescent="0.35">
      <c r="A4691" t="s">
        <v>45</v>
      </c>
      <c r="B4691" t="s">
        <v>10532</v>
      </c>
      <c r="C4691" t="s">
        <v>139</v>
      </c>
      <c r="D4691" t="s">
        <v>190</v>
      </c>
      <c r="E4691" t="s">
        <v>45</v>
      </c>
      <c r="F4691" t="s">
        <v>49</v>
      </c>
      <c r="G4691" t="s">
        <v>10571</v>
      </c>
      <c r="H4691" t="s">
        <v>10572</v>
      </c>
      <c r="J4691" t="str">
        <f>HYPERLINK("https://twitter.com/FinoPaymntsBank/status/1750482023519518918","https://twitter.com/FinoPaymntsBank/status/1750482023519518918")</f>
        <v>https://twitter.com/FinoPaymntsBank/status/1750482023519518918</v>
      </c>
      <c r="K4691" t="s">
        <v>145</v>
      </c>
      <c r="O4691">
        <v>0</v>
      </c>
      <c r="P4691">
        <v>0</v>
      </c>
      <c r="Q4691">
        <v>8331</v>
      </c>
      <c r="R4691" t="s">
        <v>193</v>
      </c>
      <c r="S4691">
        <v>0</v>
      </c>
      <c r="T4691">
        <v>0</v>
      </c>
      <c r="U4691">
        <v>0</v>
      </c>
      <c r="W4691" t="s">
        <v>146</v>
      </c>
    </row>
    <row r="4692" spans="1:45" x14ac:dyDescent="0.35">
      <c r="A4692" t="s">
        <v>45</v>
      </c>
      <c r="B4692" t="s">
        <v>10532</v>
      </c>
      <c r="C4692" t="s">
        <v>139</v>
      </c>
      <c r="D4692" t="s">
        <v>190</v>
      </c>
      <c r="E4692" t="s">
        <v>45</v>
      </c>
      <c r="F4692" t="s">
        <v>49</v>
      </c>
      <c r="G4692" t="s">
        <v>10573</v>
      </c>
      <c r="H4692" t="s">
        <v>10574</v>
      </c>
      <c r="J4692" t="str">
        <f>HYPERLINK("https://twitter.com/FinoPaymntsBank/status/1750481903788924978","https://twitter.com/FinoPaymntsBank/status/1750481903788924978")</f>
        <v>https://twitter.com/FinoPaymntsBank/status/1750481903788924978</v>
      </c>
      <c r="K4692" t="s">
        <v>145</v>
      </c>
      <c r="O4692">
        <v>0</v>
      </c>
      <c r="P4692">
        <v>0</v>
      </c>
      <c r="Q4692">
        <v>8331</v>
      </c>
      <c r="R4692" t="s">
        <v>193</v>
      </c>
      <c r="S4692">
        <v>0</v>
      </c>
      <c r="T4692">
        <v>0</v>
      </c>
      <c r="U4692">
        <v>0</v>
      </c>
      <c r="W4692" t="s">
        <v>146</v>
      </c>
    </row>
    <row r="4693" spans="1:45" x14ac:dyDescent="0.35">
      <c r="A4693" t="s">
        <v>45</v>
      </c>
      <c r="B4693" t="s">
        <v>10532</v>
      </c>
      <c r="C4693" t="s">
        <v>63</v>
      </c>
      <c r="D4693" t="s">
        <v>186</v>
      </c>
      <c r="E4693" t="s">
        <v>186</v>
      </c>
      <c r="F4693" t="s">
        <v>49</v>
      </c>
      <c r="G4693" t="s">
        <v>10575</v>
      </c>
      <c r="H4693" t="s">
        <v>10576</v>
      </c>
      <c r="J4693" t="str">
        <f>HYPERLINK("https://www.instagram.com/p/C2hYjkfM56D/","https://www.instagram.com/p/C2hYjkfM56D/")</f>
        <v>https://www.instagram.com/p/C2hYjkfM56D/</v>
      </c>
      <c r="O4693">
        <v>0</v>
      </c>
      <c r="P4693">
        <v>0</v>
      </c>
      <c r="Q4693">
        <v>0</v>
      </c>
      <c r="S4693">
        <v>1</v>
      </c>
      <c r="T4693">
        <v>81</v>
      </c>
      <c r="U4693">
        <v>0</v>
      </c>
      <c r="W4693" t="s">
        <v>106</v>
      </c>
    </row>
    <row r="4694" spans="1:45" x14ac:dyDescent="0.35">
      <c r="A4694" t="s">
        <v>45</v>
      </c>
      <c r="B4694" t="s">
        <v>10532</v>
      </c>
      <c r="C4694" t="s">
        <v>47</v>
      </c>
      <c r="D4694" t="s">
        <v>45</v>
      </c>
      <c r="E4694" t="s">
        <v>45</v>
      </c>
      <c r="F4694" t="s">
        <v>49</v>
      </c>
      <c r="G4694" t="s">
        <v>10575</v>
      </c>
      <c r="H4694" t="s">
        <v>10577</v>
      </c>
      <c r="J4694" t="str">
        <f>HYPERLINK("https://www.facebook.com/357267201017935_758440022981050","https://www.facebook.com/357267201017935_758440022981050")</f>
        <v>https://www.facebook.com/357267201017935_758440022981050</v>
      </c>
      <c r="O4694">
        <v>0</v>
      </c>
      <c r="P4694">
        <v>0</v>
      </c>
      <c r="Q4694">
        <v>0</v>
      </c>
      <c r="S4694">
        <v>1</v>
      </c>
      <c r="T4694">
        <v>48</v>
      </c>
      <c r="U4694">
        <v>4</v>
      </c>
      <c r="W4694" t="s">
        <v>106</v>
      </c>
    </row>
    <row r="4695" spans="1:45" x14ac:dyDescent="0.35">
      <c r="A4695" t="s">
        <v>45</v>
      </c>
      <c r="B4695" t="s">
        <v>10532</v>
      </c>
      <c r="C4695" t="s">
        <v>58</v>
      </c>
      <c r="D4695" t="s">
        <v>1240</v>
      </c>
      <c r="E4695" t="s">
        <v>1240</v>
      </c>
      <c r="F4695" t="s">
        <v>49</v>
      </c>
      <c r="G4695" t="s">
        <v>10578</v>
      </c>
      <c r="H4695" t="s">
        <v>10579</v>
      </c>
      <c r="J4695" t="str">
        <f>HYPERLINK("https://www.youtube.com/watch?v=w8_MXDRLbYo","https://www.youtube.com/watch?v=w8_MXDRLbYo")</f>
        <v>https://www.youtube.com/watch?v=w8_MXDRLbYo</v>
      </c>
      <c r="O4695">
        <v>0</v>
      </c>
      <c r="P4695">
        <v>0</v>
      </c>
      <c r="Q4695">
        <v>0</v>
      </c>
      <c r="S4695">
        <v>0</v>
      </c>
      <c r="T4695">
        <v>0</v>
      </c>
      <c r="U4695">
        <v>0</v>
      </c>
      <c r="W4695" t="s">
        <v>106</v>
      </c>
      <c r="Y4695" t="s">
        <v>10580</v>
      </c>
      <c r="Z4695" t="s">
        <v>613</v>
      </c>
      <c r="AA4695" t="s">
        <v>614</v>
      </c>
    </row>
    <row r="4696" spans="1:45" x14ac:dyDescent="0.35">
      <c r="A4696" t="s">
        <v>45</v>
      </c>
      <c r="B4696" t="s">
        <v>10532</v>
      </c>
      <c r="C4696" t="s">
        <v>47</v>
      </c>
      <c r="D4696" t="s">
        <v>10581</v>
      </c>
      <c r="E4696" t="s">
        <v>10581</v>
      </c>
      <c r="F4696" t="s">
        <v>49</v>
      </c>
      <c r="G4696" t="s">
        <v>10582</v>
      </c>
      <c r="H4696" t="s">
        <v>10583</v>
      </c>
      <c r="J4696" t="str">
        <f>HYPERLINK("https://www.facebook.com/357267201017935/inbox/6886451058099484/","https://www.facebook.com/357267201017935/inbox/6886451058099484/")</f>
        <v>https://www.facebook.com/357267201017935/inbox/6886451058099484/</v>
      </c>
      <c r="O4696">
        <v>0</v>
      </c>
      <c r="P4696">
        <v>0</v>
      </c>
      <c r="Q4696">
        <v>0</v>
      </c>
      <c r="S4696">
        <v>0</v>
      </c>
      <c r="T4696">
        <v>0</v>
      </c>
      <c r="U4696">
        <v>0</v>
      </c>
      <c r="W4696" t="s">
        <v>52</v>
      </c>
      <c r="AS4696" t="s">
        <v>375</v>
      </c>
    </row>
    <row r="4697" spans="1:45" x14ac:dyDescent="0.35">
      <c r="A4697" t="s">
        <v>45</v>
      </c>
      <c r="B4697" t="s">
        <v>10532</v>
      </c>
      <c r="C4697" t="s">
        <v>58</v>
      </c>
      <c r="D4697" t="s">
        <v>5323</v>
      </c>
      <c r="E4697" t="s">
        <v>5323</v>
      </c>
      <c r="F4697" t="s">
        <v>49</v>
      </c>
      <c r="G4697" t="s">
        <v>10019</v>
      </c>
      <c r="H4697" t="s">
        <v>10584</v>
      </c>
      <c r="J4697" t="str">
        <f>HYPERLINK("https://www.youtube.com/watch?v=FLL6_wM7GS8","https://www.youtube.com/watch?v=FLL6_wM7GS8")</f>
        <v>https://www.youtube.com/watch?v=FLL6_wM7GS8</v>
      </c>
      <c r="O4697">
        <v>0</v>
      </c>
      <c r="P4697">
        <v>0</v>
      </c>
      <c r="Q4697">
        <v>0</v>
      </c>
      <c r="S4697">
        <v>0</v>
      </c>
      <c r="T4697">
        <v>0</v>
      </c>
      <c r="U4697">
        <v>0</v>
      </c>
      <c r="W4697" t="s">
        <v>106</v>
      </c>
    </row>
    <row r="4698" spans="1:45" x14ac:dyDescent="0.35">
      <c r="A4698" t="s">
        <v>45</v>
      </c>
      <c r="B4698" t="s">
        <v>10532</v>
      </c>
      <c r="C4698" t="s">
        <v>58</v>
      </c>
      <c r="D4698" t="s">
        <v>10585</v>
      </c>
      <c r="E4698" t="s">
        <v>10585</v>
      </c>
      <c r="F4698" t="s">
        <v>49</v>
      </c>
      <c r="G4698" t="s">
        <v>10586</v>
      </c>
      <c r="H4698" t="s">
        <v>10587</v>
      </c>
      <c r="J4698" t="str">
        <f>HYPERLINK("https://www.youtube.com/watch?v=yZyq2jBGHCM","https://www.youtube.com/watch?v=yZyq2jBGHCM")</f>
        <v>https://www.youtube.com/watch?v=yZyq2jBGHCM</v>
      </c>
      <c r="O4698">
        <v>0</v>
      </c>
      <c r="P4698">
        <v>0</v>
      </c>
      <c r="Q4698">
        <v>0</v>
      </c>
      <c r="S4698">
        <v>0</v>
      </c>
      <c r="T4698">
        <v>0</v>
      </c>
      <c r="U4698">
        <v>0</v>
      </c>
      <c r="W4698" t="s">
        <v>106</v>
      </c>
    </row>
    <row r="4699" spans="1:45" x14ac:dyDescent="0.35">
      <c r="A4699" t="s">
        <v>45</v>
      </c>
      <c r="B4699" t="s">
        <v>10532</v>
      </c>
      <c r="C4699" t="s">
        <v>58</v>
      </c>
      <c r="D4699" t="s">
        <v>10588</v>
      </c>
      <c r="E4699" t="s">
        <v>10588</v>
      </c>
      <c r="F4699" t="s">
        <v>49</v>
      </c>
      <c r="G4699" t="s">
        <v>10589</v>
      </c>
      <c r="H4699" t="s">
        <v>10590</v>
      </c>
      <c r="J4699" t="str">
        <f>HYPERLINK("https://www.youtube.com/watch?v=4Z5xcbphLMQ&amp;lc=UgyNAnvi74n0IuOPRvV4AaABAg","https://www.youtube.com/watch?v=4Z5xcbphLMQ&amp;lc=UgyNAnvi74n0IuOPRvV4AaABAg")</f>
        <v>https://www.youtube.com/watch?v=4Z5xcbphLMQ&amp;lc=UgyNAnvi74n0IuOPRvV4AaABAg</v>
      </c>
      <c r="O4699">
        <v>0</v>
      </c>
      <c r="P4699">
        <v>0</v>
      </c>
      <c r="Q4699">
        <v>0</v>
      </c>
      <c r="S4699">
        <v>0</v>
      </c>
      <c r="T4699">
        <v>0</v>
      </c>
      <c r="U4699">
        <v>0</v>
      </c>
      <c r="W4699" t="s">
        <v>62</v>
      </c>
      <c r="AS4699" t="s">
        <v>375</v>
      </c>
    </row>
    <row r="4700" spans="1:45" x14ac:dyDescent="0.35">
      <c r="A4700" t="s">
        <v>45</v>
      </c>
      <c r="B4700" t="s">
        <v>10532</v>
      </c>
      <c r="C4700" t="s">
        <v>47</v>
      </c>
      <c r="D4700" t="s">
        <v>199</v>
      </c>
      <c r="E4700" t="s">
        <v>199</v>
      </c>
      <c r="F4700" t="s">
        <v>76</v>
      </c>
      <c r="G4700" t="s">
        <v>10591</v>
      </c>
      <c r="H4700" t="s">
        <v>10592</v>
      </c>
      <c r="J4700" t="str">
        <f>HYPERLINK("https://www.facebook.com/396786122745385/posts/396786049412059","https://www.facebook.com/396786122745385/posts/396786049412059")</f>
        <v>https://www.facebook.com/396786122745385/posts/396786049412059</v>
      </c>
      <c r="O4700">
        <v>0</v>
      </c>
      <c r="P4700">
        <v>0</v>
      </c>
      <c r="Q4700">
        <v>0</v>
      </c>
      <c r="S4700">
        <v>0</v>
      </c>
      <c r="T4700">
        <v>0</v>
      </c>
      <c r="U4700">
        <v>0</v>
      </c>
      <c r="W4700" t="s">
        <v>106</v>
      </c>
    </row>
    <row r="4701" spans="1:45" x14ac:dyDescent="0.35">
      <c r="A4701" t="s">
        <v>45</v>
      </c>
      <c r="B4701" t="s">
        <v>10532</v>
      </c>
      <c r="C4701" t="s">
        <v>58</v>
      </c>
      <c r="D4701" t="s">
        <v>3440</v>
      </c>
      <c r="E4701" t="s">
        <v>3440</v>
      </c>
      <c r="F4701" t="s">
        <v>49</v>
      </c>
      <c r="G4701" t="s">
        <v>10593</v>
      </c>
      <c r="H4701" t="s">
        <v>10594</v>
      </c>
      <c r="J4701" t="str">
        <f>HYPERLINK("https://www.youtube.com/watch?v=-kpca5weS0c","https://www.youtube.com/watch?v=-kpca5weS0c")</f>
        <v>https://www.youtube.com/watch?v=-kpca5weS0c</v>
      </c>
      <c r="O4701">
        <v>0</v>
      </c>
      <c r="P4701">
        <v>0</v>
      </c>
      <c r="Q4701">
        <v>0</v>
      </c>
      <c r="S4701">
        <v>0</v>
      </c>
      <c r="T4701">
        <v>0</v>
      </c>
      <c r="U4701">
        <v>0</v>
      </c>
      <c r="W4701" t="s">
        <v>106</v>
      </c>
      <c r="Y4701" t="s">
        <v>10595</v>
      </c>
      <c r="Z4701" t="s">
        <v>10596</v>
      </c>
      <c r="AA4701" t="s">
        <v>614</v>
      </c>
      <c r="AP4701" t="s">
        <v>101</v>
      </c>
    </row>
    <row r="4702" spans="1:45" x14ac:dyDescent="0.35">
      <c r="A4702" t="s">
        <v>45</v>
      </c>
      <c r="B4702" t="s">
        <v>10532</v>
      </c>
      <c r="C4702" t="s">
        <v>58</v>
      </c>
      <c r="D4702" t="s">
        <v>10597</v>
      </c>
      <c r="E4702" t="s">
        <v>10597</v>
      </c>
      <c r="F4702" t="s">
        <v>49</v>
      </c>
      <c r="G4702" t="s">
        <v>10598</v>
      </c>
      <c r="H4702" t="s">
        <v>10599</v>
      </c>
      <c r="J4702" t="str">
        <f>HYPERLINK("https://www.youtube.com/watch?v=eGzS7-PIOwk","https://www.youtube.com/watch?v=eGzS7-PIOwk")</f>
        <v>https://www.youtube.com/watch?v=eGzS7-PIOwk</v>
      </c>
      <c r="O4702">
        <v>0</v>
      </c>
      <c r="P4702">
        <v>0</v>
      </c>
      <c r="Q4702">
        <v>0</v>
      </c>
      <c r="S4702">
        <v>0</v>
      </c>
      <c r="T4702">
        <v>0</v>
      </c>
      <c r="U4702">
        <v>0</v>
      </c>
      <c r="W4702" t="s">
        <v>106</v>
      </c>
      <c r="AP4702" t="s">
        <v>94</v>
      </c>
    </row>
    <row r="4703" spans="1:45" x14ac:dyDescent="0.35">
      <c r="A4703" t="s">
        <v>45</v>
      </c>
      <c r="B4703" t="s">
        <v>10532</v>
      </c>
      <c r="C4703" t="s">
        <v>47</v>
      </c>
      <c r="D4703" t="s">
        <v>10600</v>
      </c>
      <c r="E4703" t="s">
        <v>10600</v>
      </c>
      <c r="F4703" t="s">
        <v>49</v>
      </c>
      <c r="G4703" t="s">
        <v>10601</v>
      </c>
      <c r="H4703" t="s">
        <v>10602</v>
      </c>
      <c r="J4703" t="str">
        <f>HYPERLINK("https://www.facebook.com/454965103328545/posts/757813099710409?comment_id=1367470897491627","https://www.facebook.com/454965103328545/posts/757813099710409?comment_id=1367470897491627")</f>
        <v>https://www.facebook.com/454965103328545/posts/757813099710409?comment_id=1367470897491627</v>
      </c>
      <c r="O4703">
        <v>0</v>
      </c>
      <c r="P4703">
        <v>0</v>
      </c>
      <c r="Q4703">
        <v>0</v>
      </c>
      <c r="S4703">
        <v>0</v>
      </c>
      <c r="T4703">
        <v>0</v>
      </c>
      <c r="U4703">
        <v>0</v>
      </c>
      <c r="W4703" t="s">
        <v>62</v>
      </c>
    </row>
    <row r="4704" spans="1:45" x14ac:dyDescent="0.35">
      <c r="A4704" t="s">
        <v>45</v>
      </c>
      <c r="B4704" t="s">
        <v>10603</v>
      </c>
      <c r="C4704" t="s">
        <v>58</v>
      </c>
      <c r="D4704" t="s">
        <v>752</v>
      </c>
      <c r="E4704" t="s">
        <v>752</v>
      </c>
      <c r="F4704" t="s">
        <v>142</v>
      </c>
      <c r="G4704" t="s">
        <v>10604</v>
      </c>
      <c r="H4704" t="s">
        <v>10605</v>
      </c>
      <c r="J4704" t="str">
        <f>HYPERLINK("https://www.youtube.com/watch?v=R6yix9M8Fr8","https://www.youtube.com/watch?v=R6yix9M8Fr8")</f>
        <v>https://www.youtube.com/watch?v=R6yix9M8Fr8</v>
      </c>
      <c r="O4704">
        <v>0</v>
      </c>
      <c r="P4704">
        <v>0</v>
      </c>
      <c r="Q4704">
        <v>0</v>
      </c>
      <c r="S4704">
        <v>0</v>
      </c>
      <c r="T4704">
        <v>0</v>
      </c>
      <c r="U4704">
        <v>0</v>
      </c>
      <c r="W4704" t="s">
        <v>106</v>
      </c>
      <c r="AP4704" t="s">
        <v>147</v>
      </c>
    </row>
    <row r="4705" spans="1:45" x14ac:dyDescent="0.35">
      <c r="A4705" t="s">
        <v>45</v>
      </c>
      <c r="B4705" t="s">
        <v>10603</v>
      </c>
      <c r="C4705" t="s">
        <v>139</v>
      </c>
      <c r="D4705" t="s">
        <v>10606</v>
      </c>
      <c r="E4705" t="s">
        <v>10607</v>
      </c>
      <c r="F4705" t="s">
        <v>49</v>
      </c>
      <c r="G4705" t="s">
        <v>10608</v>
      </c>
      <c r="H4705" t="s">
        <v>10609</v>
      </c>
      <c r="J4705" t="str">
        <f>HYPERLINK("https://twitter.com/maithilbabulal/status/1750185279560822843","https://twitter.com/maithilbabulal/status/1750185279560822843")</f>
        <v>https://twitter.com/maithilbabulal/status/1750185279560822843</v>
      </c>
      <c r="O4705">
        <v>0</v>
      </c>
      <c r="P4705">
        <v>0</v>
      </c>
      <c r="Q4705">
        <v>49</v>
      </c>
      <c r="R4705" t="s">
        <v>10610</v>
      </c>
      <c r="S4705">
        <v>0</v>
      </c>
      <c r="T4705">
        <v>0</v>
      </c>
      <c r="U4705">
        <v>0</v>
      </c>
      <c r="W4705" t="s">
        <v>146</v>
      </c>
      <c r="AP4705" t="s">
        <v>101</v>
      </c>
      <c r="AS4705" t="s">
        <v>375</v>
      </c>
    </row>
    <row r="4706" spans="1:45" x14ac:dyDescent="0.35">
      <c r="A4706" t="s">
        <v>45</v>
      </c>
      <c r="B4706" t="s">
        <v>10603</v>
      </c>
      <c r="C4706" t="s">
        <v>58</v>
      </c>
      <c r="D4706" t="s">
        <v>10611</v>
      </c>
      <c r="E4706" t="s">
        <v>10611</v>
      </c>
      <c r="F4706" t="s">
        <v>49</v>
      </c>
      <c r="G4706" t="s">
        <v>10612</v>
      </c>
      <c r="H4706" t="s">
        <v>10613</v>
      </c>
      <c r="J4706" t="str">
        <f>HYPERLINK("https://www.youtube.com/watch?v=0MsxOtaAPPM","https://www.youtube.com/watch?v=0MsxOtaAPPM")</f>
        <v>https://www.youtube.com/watch?v=0MsxOtaAPPM</v>
      </c>
      <c r="O4706">
        <v>0</v>
      </c>
      <c r="P4706">
        <v>0</v>
      </c>
      <c r="Q4706">
        <v>0</v>
      </c>
      <c r="S4706">
        <v>0</v>
      </c>
      <c r="T4706">
        <v>0</v>
      </c>
      <c r="U4706">
        <v>0</v>
      </c>
      <c r="W4706" t="s">
        <v>106</v>
      </c>
      <c r="AP4706" t="s">
        <v>101</v>
      </c>
    </row>
    <row r="4707" spans="1:45" x14ac:dyDescent="0.35">
      <c r="A4707" t="s">
        <v>45</v>
      </c>
      <c r="B4707" t="s">
        <v>10603</v>
      </c>
      <c r="C4707" t="s">
        <v>47</v>
      </c>
      <c r="D4707" t="s">
        <v>10614</v>
      </c>
      <c r="E4707" t="s">
        <v>10614</v>
      </c>
      <c r="F4707" t="s">
        <v>49</v>
      </c>
      <c r="G4707" t="s">
        <v>253</v>
      </c>
      <c r="H4707" t="s">
        <v>10615</v>
      </c>
      <c r="J4707" t="str">
        <f>HYPERLINK("https://www.facebook.com/357267201017935/inbox/6956876461056943/","https://www.facebook.com/357267201017935/inbox/6956876461056943/")</f>
        <v>https://www.facebook.com/357267201017935/inbox/6956876461056943/</v>
      </c>
      <c r="O4707">
        <v>0</v>
      </c>
      <c r="P4707">
        <v>0</v>
      </c>
      <c r="Q4707">
        <v>0</v>
      </c>
      <c r="S4707">
        <v>0</v>
      </c>
      <c r="T4707">
        <v>0</v>
      </c>
      <c r="U4707">
        <v>0</v>
      </c>
      <c r="W4707" t="s">
        <v>52</v>
      </c>
    </row>
    <row r="4708" spans="1:45" x14ac:dyDescent="0.35">
      <c r="A4708" t="s">
        <v>45</v>
      </c>
      <c r="B4708" t="s">
        <v>10603</v>
      </c>
      <c r="C4708" t="s">
        <v>58</v>
      </c>
      <c r="D4708" t="s">
        <v>1142</v>
      </c>
      <c r="E4708" t="s">
        <v>1142</v>
      </c>
      <c r="F4708" t="s">
        <v>49</v>
      </c>
      <c r="G4708" t="s">
        <v>10616</v>
      </c>
      <c r="H4708" t="s">
        <v>10617</v>
      </c>
      <c r="J4708" t="str">
        <f>HYPERLINK("https://www.youtube.com/watch?v=R-ptJCpySwQ","https://www.youtube.com/watch?v=R-ptJCpySwQ")</f>
        <v>https://www.youtube.com/watch?v=R-ptJCpySwQ</v>
      </c>
      <c r="O4708">
        <v>0</v>
      </c>
      <c r="P4708">
        <v>0</v>
      </c>
      <c r="Q4708">
        <v>0</v>
      </c>
      <c r="S4708">
        <v>0</v>
      </c>
      <c r="T4708">
        <v>0</v>
      </c>
      <c r="U4708">
        <v>0</v>
      </c>
      <c r="W4708" t="s">
        <v>106</v>
      </c>
      <c r="AP4708" t="s">
        <v>94</v>
      </c>
    </row>
    <row r="4709" spans="1:45" x14ac:dyDescent="0.35">
      <c r="A4709" t="s">
        <v>45</v>
      </c>
      <c r="B4709" t="s">
        <v>10603</v>
      </c>
      <c r="C4709" t="s">
        <v>58</v>
      </c>
      <c r="D4709" t="s">
        <v>1217</v>
      </c>
      <c r="E4709" t="s">
        <v>1217</v>
      </c>
      <c r="F4709" t="s">
        <v>142</v>
      </c>
      <c r="G4709" t="s">
        <v>10618</v>
      </c>
      <c r="H4709" t="s">
        <v>10619</v>
      </c>
      <c r="J4709" t="str">
        <f>HYPERLINK("https://www.youtube.com/watch?v=z7Z0nhGKdh0","https://www.youtube.com/watch?v=z7Z0nhGKdh0")</f>
        <v>https://www.youtube.com/watch?v=z7Z0nhGKdh0</v>
      </c>
      <c r="O4709">
        <v>0</v>
      </c>
      <c r="P4709">
        <v>0</v>
      </c>
      <c r="Q4709">
        <v>0</v>
      </c>
      <c r="S4709">
        <v>0</v>
      </c>
      <c r="T4709">
        <v>0</v>
      </c>
      <c r="U4709">
        <v>0</v>
      </c>
      <c r="W4709" t="s">
        <v>106</v>
      </c>
    </row>
    <row r="4710" spans="1:45" x14ac:dyDescent="0.35">
      <c r="A4710" t="s">
        <v>45</v>
      </c>
      <c r="B4710" t="s">
        <v>10603</v>
      </c>
      <c r="C4710" t="s">
        <v>47</v>
      </c>
      <c r="F4710" t="s">
        <v>49</v>
      </c>
      <c r="G4710" s="1" t="s">
        <v>10620</v>
      </c>
      <c r="H4710" t="s">
        <v>10621</v>
      </c>
      <c r="J4710" t="str">
        <f>HYPERLINK("https://www.facebook.com/6820763411346178_10233093430708457","https://www.facebook.com/6820763411346178_10233093430708457")</f>
        <v>https://www.facebook.com/6820763411346178_10233093430708457</v>
      </c>
      <c r="O4710">
        <v>0</v>
      </c>
      <c r="P4710">
        <v>0</v>
      </c>
      <c r="Q4710">
        <v>0</v>
      </c>
      <c r="S4710">
        <v>0</v>
      </c>
      <c r="T4710">
        <v>0</v>
      </c>
      <c r="U4710">
        <v>0</v>
      </c>
      <c r="W4710" t="s">
        <v>106</v>
      </c>
    </row>
    <row r="4711" spans="1:45" x14ac:dyDescent="0.35">
      <c r="A4711" t="s">
        <v>45</v>
      </c>
      <c r="B4711" t="s">
        <v>10603</v>
      </c>
      <c r="C4711" t="s">
        <v>47</v>
      </c>
      <c r="D4711" t="s">
        <v>10622</v>
      </c>
      <c r="E4711" t="s">
        <v>10622</v>
      </c>
      <c r="F4711" t="s">
        <v>49</v>
      </c>
      <c r="G4711" t="s">
        <v>10623</v>
      </c>
      <c r="H4711" t="s">
        <v>10624</v>
      </c>
      <c r="J4711" t="str">
        <f>HYPERLINK("https://www.facebook.com/357267201017935/posts/3069910089753619/?comment_id=358818537046997","https://www.facebook.com/357267201017935/posts/3069910089753619/?comment_id=358818537046997")</f>
        <v>https://www.facebook.com/357267201017935/posts/3069910089753619/?comment_id=358818537046997</v>
      </c>
      <c r="O4711">
        <v>0</v>
      </c>
      <c r="P4711">
        <v>0</v>
      </c>
      <c r="Q4711">
        <v>0</v>
      </c>
      <c r="S4711">
        <v>0</v>
      </c>
      <c r="T4711">
        <v>0</v>
      </c>
      <c r="U4711">
        <v>0</v>
      </c>
      <c r="W4711" t="s">
        <v>62</v>
      </c>
    </row>
    <row r="4712" spans="1:45" x14ac:dyDescent="0.35">
      <c r="A4712" t="s">
        <v>45</v>
      </c>
      <c r="B4712" t="s">
        <v>10603</v>
      </c>
      <c r="C4712" t="s">
        <v>47</v>
      </c>
      <c r="D4712" t="s">
        <v>45</v>
      </c>
      <c r="E4712" t="s">
        <v>45</v>
      </c>
      <c r="F4712" t="s">
        <v>49</v>
      </c>
      <c r="G4712" t="s">
        <v>10625</v>
      </c>
      <c r="H4712" t="s">
        <v>10626</v>
      </c>
      <c r="J4712" t="str">
        <f>HYPERLINK("https://www.facebook.com/357267201017935/inbox/6953522138059042/","https://www.facebook.com/357267201017935/inbox/6953522138059042/")</f>
        <v>https://www.facebook.com/357267201017935/inbox/6953522138059042/</v>
      </c>
      <c r="O4712">
        <v>0</v>
      </c>
      <c r="P4712">
        <v>0</v>
      </c>
      <c r="Q4712">
        <v>0</v>
      </c>
      <c r="S4712">
        <v>0</v>
      </c>
      <c r="T4712">
        <v>0</v>
      </c>
      <c r="U4712">
        <v>0</v>
      </c>
      <c r="W4712" t="s">
        <v>52</v>
      </c>
    </row>
    <row r="4713" spans="1:45" x14ac:dyDescent="0.35">
      <c r="A4713" t="s">
        <v>45</v>
      </c>
      <c r="B4713" t="s">
        <v>10603</v>
      </c>
      <c r="C4713" t="s">
        <v>47</v>
      </c>
      <c r="D4713" t="s">
        <v>10627</v>
      </c>
      <c r="E4713" t="s">
        <v>10627</v>
      </c>
      <c r="F4713" t="s">
        <v>49</v>
      </c>
      <c r="G4713" t="s">
        <v>10628</v>
      </c>
      <c r="H4713" t="s">
        <v>10629</v>
      </c>
      <c r="J4713" t="str">
        <f>HYPERLINK("https://www.facebook.com/454965103328545/posts/750007137157672?comment_id=4350935011798921","https://www.facebook.com/454965103328545/posts/750007137157672?comment_id=4350935011798921")</f>
        <v>https://www.facebook.com/454965103328545/posts/750007137157672?comment_id=4350935011798921</v>
      </c>
      <c r="O4713">
        <v>0</v>
      </c>
      <c r="P4713">
        <v>0</v>
      </c>
      <c r="Q4713">
        <v>0</v>
      </c>
      <c r="S4713">
        <v>0</v>
      </c>
      <c r="T4713">
        <v>0</v>
      </c>
      <c r="U4713">
        <v>0</v>
      </c>
      <c r="W4713" t="s">
        <v>62</v>
      </c>
    </row>
    <row r="4714" spans="1:45" x14ac:dyDescent="0.35">
      <c r="A4714" t="s">
        <v>45</v>
      </c>
      <c r="B4714" t="s">
        <v>10603</v>
      </c>
      <c r="C4714" t="s">
        <v>139</v>
      </c>
      <c r="D4714" t="s">
        <v>190</v>
      </c>
      <c r="E4714" t="s">
        <v>45</v>
      </c>
      <c r="F4714" t="s">
        <v>49</v>
      </c>
      <c r="G4714" t="s">
        <v>10630</v>
      </c>
      <c r="H4714" t="s">
        <v>10631</v>
      </c>
      <c r="J4714" t="str">
        <f>HYPERLINK("https://twitter.com/FinoPaymntsBank/status/1750118753583681702","https://twitter.com/FinoPaymntsBank/status/1750118753583681702")</f>
        <v>https://twitter.com/FinoPaymntsBank/status/1750118753583681702</v>
      </c>
      <c r="K4714" t="s">
        <v>145</v>
      </c>
      <c r="O4714">
        <v>0</v>
      </c>
      <c r="P4714">
        <v>0</v>
      </c>
      <c r="Q4714">
        <v>8331</v>
      </c>
      <c r="R4714" t="s">
        <v>193</v>
      </c>
      <c r="S4714">
        <v>0</v>
      </c>
      <c r="T4714">
        <v>0</v>
      </c>
      <c r="U4714">
        <v>0</v>
      </c>
      <c r="W4714" t="s">
        <v>146</v>
      </c>
    </row>
    <row r="4715" spans="1:45" x14ac:dyDescent="0.35">
      <c r="A4715" t="s">
        <v>45</v>
      </c>
      <c r="B4715" t="s">
        <v>10603</v>
      </c>
      <c r="C4715" t="s">
        <v>58</v>
      </c>
      <c r="D4715" t="s">
        <v>2705</v>
      </c>
      <c r="E4715" t="s">
        <v>2705</v>
      </c>
      <c r="F4715" t="s">
        <v>49</v>
      </c>
      <c r="G4715" t="s">
        <v>10632</v>
      </c>
      <c r="H4715" t="s">
        <v>10633</v>
      </c>
      <c r="J4715" t="str">
        <f>HYPERLINK("https://www.youtube.com/watch?v=MAxPr4qKztw","https://www.youtube.com/watch?v=MAxPr4qKztw")</f>
        <v>https://www.youtube.com/watch?v=MAxPr4qKztw</v>
      </c>
      <c r="O4715">
        <v>0</v>
      </c>
      <c r="P4715">
        <v>0</v>
      </c>
      <c r="Q4715">
        <v>0</v>
      </c>
      <c r="S4715">
        <v>0</v>
      </c>
      <c r="T4715">
        <v>0</v>
      </c>
      <c r="U4715">
        <v>0</v>
      </c>
      <c r="W4715" t="s">
        <v>106</v>
      </c>
    </row>
    <row r="4716" spans="1:45" x14ac:dyDescent="0.35">
      <c r="A4716" t="s">
        <v>45</v>
      </c>
      <c r="B4716" t="s">
        <v>10603</v>
      </c>
      <c r="C4716" t="s">
        <v>58</v>
      </c>
      <c r="D4716" t="s">
        <v>10634</v>
      </c>
      <c r="E4716" t="s">
        <v>10634</v>
      </c>
      <c r="F4716" t="s">
        <v>49</v>
      </c>
      <c r="G4716" t="s">
        <v>10635</v>
      </c>
      <c r="H4716" t="s">
        <v>10636</v>
      </c>
      <c r="J4716" t="str">
        <f>HYPERLINK("https://www.youtube.com/watch?v=tgHTtYHN6zs","https://www.youtube.com/watch?v=tgHTtYHN6zs")</f>
        <v>https://www.youtube.com/watch?v=tgHTtYHN6zs</v>
      </c>
      <c r="O4716">
        <v>0</v>
      </c>
      <c r="P4716">
        <v>0</v>
      </c>
      <c r="Q4716">
        <v>0</v>
      </c>
      <c r="S4716">
        <v>0</v>
      </c>
      <c r="T4716">
        <v>0</v>
      </c>
      <c r="U4716">
        <v>0</v>
      </c>
      <c r="W4716" t="s">
        <v>106</v>
      </c>
      <c r="AP4716" t="s">
        <v>94</v>
      </c>
    </row>
    <row r="4717" spans="1:45" x14ac:dyDescent="0.35">
      <c r="A4717" t="s">
        <v>45</v>
      </c>
      <c r="B4717" t="s">
        <v>10603</v>
      </c>
      <c r="C4717" t="s">
        <v>58</v>
      </c>
      <c r="D4717" t="s">
        <v>10637</v>
      </c>
      <c r="E4717" t="s">
        <v>10637</v>
      </c>
      <c r="F4717" t="s">
        <v>49</v>
      </c>
      <c r="G4717" t="s">
        <v>10638</v>
      </c>
      <c r="H4717" t="s">
        <v>10639</v>
      </c>
      <c r="J4717" t="str">
        <f>HYPERLINK("https://www.youtube.com/watch?v=R2DCMAa4NPQ","https://www.youtube.com/watch?v=R2DCMAa4NPQ")</f>
        <v>https://www.youtube.com/watch?v=R2DCMAa4NPQ</v>
      </c>
      <c r="O4717">
        <v>0</v>
      </c>
      <c r="P4717">
        <v>0</v>
      </c>
      <c r="Q4717">
        <v>0</v>
      </c>
      <c r="S4717">
        <v>0</v>
      </c>
      <c r="T4717">
        <v>0</v>
      </c>
      <c r="U4717">
        <v>0</v>
      </c>
      <c r="W4717" t="s">
        <v>106</v>
      </c>
    </row>
    <row r="4718" spans="1:45" x14ac:dyDescent="0.35">
      <c r="A4718" t="s">
        <v>45</v>
      </c>
      <c r="B4718" t="s">
        <v>10603</v>
      </c>
      <c r="C4718" t="s">
        <v>58</v>
      </c>
      <c r="D4718" t="s">
        <v>1706</v>
      </c>
      <c r="E4718" t="s">
        <v>1706</v>
      </c>
      <c r="F4718" t="s">
        <v>49</v>
      </c>
      <c r="G4718" t="s">
        <v>10640</v>
      </c>
      <c r="H4718" t="s">
        <v>10641</v>
      </c>
      <c r="J4718" t="str">
        <f>HYPERLINK("https://www.youtube.com/watch?v=E51cuHAXSFs","https://www.youtube.com/watch?v=E51cuHAXSFs")</f>
        <v>https://www.youtube.com/watch?v=E51cuHAXSFs</v>
      </c>
      <c r="O4718">
        <v>0</v>
      </c>
      <c r="P4718">
        <v>0</v>
      </c>
      <c r="Q4718">
        <v>0</v>
      </c>
      <c r="S4718">
        <v>0</v>
      </c>
      <c r="T4718">
        <v>0</v>
      </c>
      <c r="U4718">
        <v>0</v>
      </c>
      <c r="W4718" t="s">
        <v>106</v>
      </c>
    </row>
    <row r="4719" spans="1:45" x14ac:dyDescent="0.35">
      <c r="A4719" t="s">
        <v>45</v>
      </c>
      <c r="B4719" t="s">
        <v>10603</v>
      </c>
      <c r="C4719" t="s">
        <v>47</v>
      </c>
      <c r="D4719" t="s">
        <v>10642</v>
      </c>
      <c r="E4719" t="s">
        <v>10642</v>
      </c>
      <c r="F4719" t="s">
        <v>49</v>
      </c>
      <c r="G4719" t="s">
        <v>10643</v>
      </c>
      <c r="H4719" t="s">
        <v>10644</v>
      </c>
      <c r="J4719" t="str">
        <f>HYPERLINK("https://www.facebook.com/454965103328545/posts/750017770489942?comment_id=2186570918347388","https://www.facebook.com/454965103328545/posts/750017770489942?comment_id=2186570918347388")</f>
        <v>https://www.facebook.com/454965103328545/posts/750017770489942?comment_id=2186570918347388</v>
      </c>
      <c r="O4719">
        <v>0</v>
      </c>
      <c r="P4719">
        <v>0</v>
      </c>
      <c r="Q4719">
        <v>0</v>
      </c>
      <c r="S4719">
        <v>0</v>
      </c>
      <c r="T4719">
        <v>0</v>
      </c>
      <c r="U4719">
        <v>0</v>
      </c>
      <c r="W4719" t="s">
        <v>62</v>
      </c>
    </row>
    <row r="4720" spans="1:45" x14ac:dyDescent="0.35">
      <c r="A4720" t="s">
        <v>45</v>
      </c>
      <c r="B4720" t="s">
        <v>10603</v>
      </c>
      <c r="C4720" t="s">
        <v>58</v>
      </c>
      <c r="D4720" t="s">
        <v>10645</v>
      </c>
      <c r="E4720" t="s">
        <v>10645</v>
      </c>
      <c r="F4720" t="s">
        <v>49</v>
      </c>
      <c r="G4720" t="s">
        <v>10646</v>
      </c>
      <c r="H4720" t="s">
        <v>10647</v>
      </c>
      <c r="J4720" t="str">
        <f>HYPERLINK("https://www.youtube.com/watch?v=K_nO3oVuMwQ","https://www.youtube.com/watch?v=K_nO3oVuMwQ")</f>
        <v>https://www.youtube.com/watch?v=K_nO3oVuMwQ</v>
      </c>
      <c r="O4720">
        <v>0</v>
      </c>
      <c r="P4720">
        <v>0</v>
      </c>
      <c r="Q4720">
        <v>0</v>
      </c>
      <c r="S4720">
        <v>0</v>
      </c>
      <c r="T4720">
        <v>0</v>
      </c>
      <c r="U4720">
        <v>0</v>
      </c>
      <c r="W4720" t="s">
        <v>106</v>
      </c>
    </row>
    <row r="4721" spans="1:45" x14ac:dyDescent="0.35">
      <c r="A4721" t="s">
        <v>45</v>
      </c>
      <c r="B4721" t="s">
        <v>10603</v>
      </c>
      <c r="C4721" t="s">
        <v>139</v>
      </c>
      <c r="D4721" t="s">
        <v>10535</v>
      </c>
      <c r="E4721" t="s">
        <v>10536</v>
      </c>
      <c r="F4721" t="s">
        <v>49</v>
      </c>
      <c r="G4721" t="s">
        <v>10648</v>
      </c>
      <c r="H4721" t="s">
        <v>10649</v>
      </c>
      <c r="J4721" t="str">
        <f>HYPERLINK("https://twitter.com/JAGDISHMENA1/status/1750064918379065766","https://twitter.com/JAGDISHMENA1/status/1750064918379065766")</f>
        <v>https://twitter.com/JAGDISHMENA1/status/1750064918379065766</v>
      </c>
      <c r="K4721" t="s">
        <v>145</v>
      </c>
      <c r="O4721">
        <v>0</v>
      </c>
      <c r="P4721">
        <v>0</v>
      </c>
      <c r="Q4721">
        <v>0</v>
      </c>
      <c r="S4721">
        <v>0</v>
      </c>
      <c r="T4721">
        <v>0</v>
      </c>
      <c r="U4721">
        <v>0</v>
      </c>
      <c r="W4721" t="s">
        <v>146</v>
      </c>
      <c r="AO4721" t="s">
        <v>67</v>
      </c>
    </row>
    <row r="4722" spans="1:45" x14ac:dyDescent="0.35">
      <c r="A4722" t="s">
        <v>45</v>
      </c>
      <c r="B4722" t="s">
        <v>10603</v>
      </c>
      <c r="C4722" t="s">
        <v>47</v>
      </c>
      <c r="D4722" t="s">
        <v>10650</v>
      </c>
      <c r="E4722" t="s">
        <v>10650</v>
      </c>
      <c r="F4722" t="s">
        <v>49</v>
      </c>
      <c r="G4722" t="s">
        <v>10651</v>
      </c>
      <c r="H4722" t="s">
        <v>10652</v>
      </c>
      <c r="J4722" t="str">
        <f>HYPERLINK("https://www.facebook.com/454965103328545/posts/757813099710409?comment_id=260155460311774","https://www.facebook.com/454965103328545/posts/757813099710409?comment_id=260155460311774")</f>
        <v>https://www.facebook.com/454965103328545/posts/757813099710409?comment_id=260155460311774</v>
      </c>
      <c r="O4722">
        <v>0</v>
      </c>
      <c r="P4722">
        <v>0</v>
      </c>
      <c r="Q4722">
        <v>0</v>
      </c>
      <c r="S4722">
        <v>0</v>
      </c>
      <c r="T4722">
        <v>0</v>
      </c>
      <c r="U4722">
        <v>0</v>
      </c>
      <c r="W4722" t="s">
        <v>62</v>
      </c>
      <c r="AP4722" t="s">
        <v>101</v>
      </c>
    </row>
    <row r="4723" spans="1:45" x14ac:dyDescent="0.35">
      <c r="A4723" t="s">
        <v>45</v>
      </c>
      <c r="B4723" t="s">
        <v>10653</v>
      </c>
      <c r="C4723" t="s">
        <v>139</v>
      </c>
      <c r="D4723" t="s">
        <v>10654</v>
      </c>
      <c r="E4723" t="s">
        <v>10655</v>
      </c>
      <c r="F4723" t="s">
        <v>49</v>
      </c>
      <c r="G4723" t="s">
        <v>10656</v>
      </c>
      <c r="H4723" t="s">
        <v>10657</v>
      </c>
      <c r="J4723" t="str">
        <f>HYPERLINK("https://twitter.com/MLori37570022/status/1749856201288876482","https://twitter.com/MLori37570022/status/1749856201288876482")</f>
        <v>https://twitter.com/MLori37570022/status/1749856201288876482</v>
      </c>
      <c r="O4723">
        <v>0</v>
      </c>
      <c r="P4723">
        <v>0</v>
      </c>
      <c r="Q4723">
        <v>0</v>
      </c>
      <c r="S4723">
        <v>0</v>
      </c>
      <c r="T4723">
        <v>0</v>
      </c>
      <c r="U4723">
        <v>0</v>
      </c>
      <c r="W4723" t="s">
        <v>146</v>
      </c>
    </row>
    <row r="4724" spans="1:45" x14ac:dyDescent="0.35">
      <c r="A4724" t="s">
        <v>45</v>
      </c>
      <c r="B4724" t="s">
        <v>10653</v>
      </c>
      <c r="C4724" t="s">
        <v>47</v>
      </c>
      <c r="D4724" t="s">
        <v>10658</v>
      </c>
      <c r="E4724" t="s">
        <v>10658</v>
      </c>
      <c r="F4724" t="s">
        <v>49</v>
      </c>
      <c r="G4724" t="s">
        <v>10659</v>
      </c>
      <c r="H4724" t="s">
        <v>10660</v>
      </c>
      <c r="J4724" t="str">
        <f>HYPERLINK("https://www.facebook.com/357267201017935/inbox/6953522138059042/","https://www.facebook.com/357267201017935/inbox/6953522138059042/")</f>
        <v>https://www.facebook.com/357267201017935/inbox/6953522138059042/</v>
      </c>
      <c r="O4724">
        <v>0</v>
      </c>
      <c r="P4724">
        <v>0</v>
      </c>
      <c r="Q4724">
        <v>0</v>
      </c>
      <c r="S4724">
        <v>0</v>
      </c>
      <c r="T4724">
        <v>0</v>
      </c>
      <c r="U4724">
        <v>0</v>
      </c>
      <c r="W4724" t="s">
        <v>52</v>
      </c>
      <c r="AS4724" t="s">
        <v>375</v>
      </c>
    </row>
    <row r="4725" spans="1:45" x14ac:dyDescent="0.35">
      <c r="A4725" t="s">
        <v>45</v>
      </c>
      <c r="B4725" t="s">
        <v>10653</v>
      </c>
      <c r="C4725" t="s">
        <v>47</v>
      </c>
      <c r="D4725" t="s">
        <v>10661</v>
      </c>
      <c r="E4725" t="s">
        <v>10661</v>
      </c>
      <c r="F4725" t="s">
        <v>49</v>
      </c>
      <c r="G4725" t="s">
        <v>10662</v>
      </c>
      <c r="H4725" t="s">
        <v>10663</v>
      </c>
      <c r="J4725" t="str">
        <f>HYPERLINK("https://www.facebook.com/454965103328545/posts/750007137157672?comment_id=756546085901101","https://www.facebook.com/454965103328545/posts/750007137157672?comment_id=756546085901101")</f>
        <v>https://www.facebook.com/454965103328545/posts/750007137157672?comment_id=756546085901101</v>
      </c>
      <c r="O4725">
        <v>0</v>
      </c>
      <c r="P4725">
        <v>0</v>
      </c>
      <c r="Q4725">
        <v>0</v>
      </c>
      <c r="S4725">
        <v>0</v>
      </c>
      <c r="T4725">
        <v>0</v>
      </c>
      <c r="U4725">
        <v>0</v>
      </c>
      <c r="W4725" t="s">
        <v>62</v>
      </c>
      <c r="AP4725" t="s">
        <v>94</v>
      </c>
    </row>
    <row r="4726" spans="1:45" x14ac:dyDescent="0.35">
      <c r="A4726" t="s">
        <v>45</v>
      </c>
      <c r="B4726" t="s">
        <v>10653</v>
      </c>
      <c r="C4726" t="s">
        <v>47</v>
      </c>
      <c r="D4726" t="s">
        <v>10664</v>
      </c>
      <c r="E4726" t="s">
        <v>10664</v>
      </c>
      <c r="F4726" t="s">
        <v>49</v>
      </c>
      <c r="G4726" t="s">
        <v>10665</v>
      </c>
      <c r="H4726" t="s">
        <v>10666</v>
      </c>
      <c r="J4726" t="str">
        <f>HYPERLINK("https://www.facebook.com/454965103328545/posts/757697553055297?comment_id=368582419137604","https://www.facebook.com/454965103328545/posts/757697553055297?comment_id=368582419137604")</f>
        <v>https://www.facebook.com/454965103328545/posts/757697553055297?comment_id=368582419137604</v>
      </c>
      <c r="O4726">
        <v>0</v>
      </c>
      <c r="P4726">
        <v>0</v>
      </c>
      <c r="Q4726">
        <v>0</v>
      </c>
      <c r="S4726">
        <v>0</v>
      </c>
      <c r="T4726">
        <v>0</v>
      </c>
      <c r="U4726">
        <v>0</v>
      </c>
      <c r="W4726" t="s">
        <v>62</v>
      </c>
    </row>
    <row r="4727" spans="1:45" x14ac:dyDescent="0.35">
      <c r="A4727" t="s">
        <v>45</v>
      </c>
      <c r="B4727" t="s">
        <v>10653</v>
      </c>
      <c r="C4727" t="s">
        <v>47</v>
      </c>
      <c r="D4727" t="s">
        <v>10667</v>
      </c>
      <c r="E4727" t="s">
        <v>10667</v>
      </c>
      <c r="F4727" t="s">
        <v>49</v>
      </c>
      <c r="G4727" t="s">
        <v>459</v>
      </c>
      <c r="H4727" t="s">
        <v>10668</v>
      </c>
      <c r="J4727" t="str">
        <f>HYPERLINK("https://www.facebook.com/454965103328545/posts/750007137157672?comment_id=964953951869971","https://www.facebook.com/454965103328545/posts/750007137157672?comment_id=964953951869971")</f>
        <v>https://www.facebook.com/454965103328545/posts/750007137157672?comment_id=964953951869971</v>
      </c>
      <c r="O4727">
        <v>0</v>
      </c>
      <c r="P4727">
        <v>0</v>
      </c>
      <c r="Q4727">
        <v>0</v>
      </c>
      <c r="S4727">
        <v>0</v>
      </c>
      <c r="T4727">
        <v>0</v>
      </c>
      <c r="U4727">
        <v>0</v>
      </c>
      <c r="W4727" t="s">
        <v>62</v>
      </c>
    </row>
    <row r="4728" spans="1:45" x14ac:dyDescent="0.35">
      <c r="A4728" t="s">
        <v>45</v>
      </c>
      <c r="B4728" t="s">
        <v>10653</v>
      </c>
      <c r="C4728" t="s">
        <v>139</v>
      </c>
      <c r="D4728" t="s">
        <v>10669</v>
      </c>
      <c r="E4728" t="s">
        <v>10670</v>
      </c>
      <c r="F4728" t="s">
        <v>49</v>
      </c>
      <c r="G4728" t="s">
        <v>10671</v>
      </c>
      <c r="H4728" t="s">
        <v>10672</v>
      </c>
      <c r="J4728" t="str">
        <f>HYPERLINK("https://twitter.com/Lovely_ashraf/status/1749826880838967307","https://twitter.com/Lovely_ashraf/status/1749826880838967307")</f>
        <v>https://twitter.com/Lovely_ashraf/status/1749826880838967307</v>
      </c>
      <c r="O4728">
        <v>0</v>
      </c>
      <c r="P4728">
        <v>0</v>
      </c>
      <c r="Q4728">
        <v>7</v>
      </c>
      <c r="R4728" t="s">
        <v>1868</v>
      </c>
      <c r="S4728">
        <v>0</v>
      </c>
      <c r="T4728">
        <v>0</v>
      </c>
      <c r="U4728">
        <v>0</v>
      </c>
      <c r="W4728" t="s">
        <v>146</v>
      </c>
    </row>
    <row r="4729" spans="1:45" x14ac:dyDescent="0.35">
      <c r="A4729" t="s">
        <v>45</v>
      </c>
      <c r="B4729" t="s">
        <v>10653</v>
      </c>
      <c r="C4729" t="s">
        <v>102</v>
      </c>
      <c r="D4729" t="s">
        <v>10673</v>
      </c>
      <c r="E4729" t="s">
        <v>10673</v>
      </c>
      <c r="F4729" t="s">
        <v>49</v>
      </c>
      <c r="G4729" t="s">
        <v>10674</v>
      </c>
      <c r="H4729" t="s">
        <v>10675</v>
      </c>
      <c r="J4729" t="str">
        <f>HYPERLINK("https://www.linkedin.com/feed/update/urn:li:ugcPost:7147911480334598144/?commentUrn=urn:li:comment:(urn:li:ugcPost:7147911480334598144,7155591546841554944)","https://www.linkedin.com/feed/update/urn:li:ugcPost:7147911480334598144/?commentUrn=urn:li:comment:(urn:li:ugcPost:7147911480334598144,7155591546841554944)")</f>
        <v>https://www.linkedin.com/feed/update/urn:li:ugcPost:7147911480334598144/?commentUrn=urn:li:comment:(urn:li:ugcPost:7147911480334598144,7155591546841554944)</v>
      </c>
      <c r="K4729" t="s">
        <v>1769</v>
      </c>
      <c r="O4729">
        <v>0</v>
      </c>
      <c r="P4729">
        <v>0</v>
      </c>
      <c r="Q4729">
        <v>0</v>
      </c>
      <c r="S4729">
        <v>0</v>
      </c>
      <c r="T4729">
        <v>0</v>
      </c>
      <c r="U4729">
        <v>0</v>
      </c>
      <c r="W4729" t="s">
        <v>62</v>
      </c>
    </row>
    <row r="4730" spans="1:45" x14ac:dyDescent="0.35">
      <c r="A4730" t="s">
        <v>45</v>
      </c>
      <c r="B4730" t="s">
        <v>10653</v>
      </c>
      <c r="C4730" t="s">
        <v>47</v>
      </c>
      <c r="D4730" t="s">
        <v>10676</v>
      </c>
      <c r="E4730" t="s">
        <v>10676</v>
      </c>
      <c r="F4730" t="s">
        <v>49</v>
      </c>
      <c r="G4730" t="s">
        <v>10677</v>
      </c>
      <c r="H4730" t="s">
        <v>10678</v>
      </c>
      <c r="J4730" t="str">
        <f>HYPERLINK("https://www.facebook.com/454965103328545/posts/750007137157672?comment_id=709817261239578&amp;reply_comment_id=343824985215148","https://www.facebook.com/454965103328545/posts/750007137157672?comment_id=709817261239578&amp;reply_comment_id=343824985215148")</f>
        <v>https://www.facebook.com/454965103328545/posts/750007137157672?comment_id=709817261239578&amp;reply_comment_id=343824985215148</v>
      </c>
      <c r="O4730">
        <v>0</v>
      </c>
      <c r="P4730">
        <v>0</v>
      </c>
      <c r="Q4730">
        <v>0</v>
      </c>
      <c r="S4730">
        <v>0</v>
      </c>
      <c r="T4730">
        <v>0</v>
      </c>
      <c r="U4730">
        <v>0</v>
      </c>
      <c r="W4730" t="s">
        <v>62</v>
      </c>
    </row>
    <row r="4731" spans="1:45" x14ac:dyDescent="0.35">
      <c r="A4731" t="s">
        <v>45</v>
      </c>
      <c r="B4731" t="s">
        <v>10653</v>
      </c>
      <c r="C4731" t="s">
        <v>47</v>
      </c>
      <c r="D4731" t="s">
        <v>10676</v>
      </c>
      <c r="E4731" t="s">
        <v>10676</v>
      </c>
      <c r="F4731" t="s">
        <v>49</v>
      </c>
      <c r="G4731" t="s">
        <v>10679</v>
      </c>
      <c r="H4731" t="s">
        <v>10680</v>
      </c>
      <c r="J4731" t="str">
        <f>HYPERLINK("https://www.facebook.com/454965103328545/posts/750007137157672?comment_id=709817261239578","https://www.facebook.com/454965103328545/posts/750007137157672?comment_id=709817261239578")</f>
        <v>https://www.facebook.com/454965103328545/posts/750007137157672?comment_id=709817261239578</v>
      </c>
      <c r="O4731">
        <v>0</v>
      </c>
      <c r="P4731">
        <v>0</v>
      </c>
      <c r="Q4731">
        <v>0</v>
      </c>
      <c r="S4731">
        <v>0</v>
      </c>
      <c r="T4731">
        <v>0</v>
      </c>
      <c r="U4731">
        <v>0</v>
      </c>
      <c r="W4731" t="s">
        <v>62</v>
      </c>
    </row>
    <row r="4732" spans="1:45" x14ac:dyDescent="0.35">
      <c r="A4732" t="s">
        <v>45</v>
      </c>
      <c r="B4732" t="s">
        <v>10653</v>
      </c>
      <c r="C4732" t="s">
        <v>139</v>
      </c>
      <c r="D4732" t="s">
        <v>10681</v>
      </c>
      <c r="E4732" t="s">
        <v>10682</v>
      </c>
      <c r="F4732" t="s">
        <v>49</v>
      </c>
      <c r="G4732" t="s">
        <v>10683</v>
      </c>
      <c r="H4732" t="s">
        <v>10684</v>
      </c>
      <c r="J4732" t="str">
        <f>HYPERLINK("https://twitter.com/LTracy37088441/status/1749805608608637331","https://twitter.com/LTracy37088441/status/1749805608608637331")</f>
        <v>https://twitter.com/LTracy37088441/status/1749805608608637331</v>
      </c>
      <c r="O4732">
        <v>0</v>
      </c>
      <c r="P4732">
        <v>0</v>
      </c>
      <c r="Q4732">
        <v>0</v>
      </c>
      <c r="S4732">
        <v>0</v>
      </c>
      <c r="T4732">
        <v>0</v>
      </c>
      <c r="U4732">
        <v>0</v>
      </c>
      <c r="W4732" t="s">
        <v>146</v>
      </c>
    </row>
    <row r="4733" spans="1:45" x14ac:dyDescent="0.35">
      <c r="A4733" t="s">
        <v>45</v>
      </c>
      <c r="B4733" t="s">
        <v>10653</v>
      </c>
      <c r="C4733" t="s">
        <v>47</v>
      </c>
      <c r="D4733" t="s">
        <v>10685</v>
      </c>
      <c r="E4733" t="s">
        <v>10685</v>
      </c>
      <c r="F4733" t="s">
        <v>49</v>
      </c>
      <c r="G4733">
        <v>9045293015</v>
      </c>
      <c r="H4733" t="s">
        <v>10686</v>
      </c>
      <c r="J4733" t="str">
        <f>HYPERLINK("https://www.facebook.com/454965103328545/posts/734813295343723?comment_id=342628381912511&amp;reply_comment_id=7089993214419732","https://www.facebook.com/454965103328545/posts/734813295343723?comment_id=342628381912511&amp;reply_comment_id=7089993214419732")</f>
        <v>https://www.facebook.com/454965103328545/posts/734813295343723?comment_id=342628381912511&amp;reply_comment_id=7089993214419732</v>
      </c>
      <c r="O4733">
        <v>0</v>
      </c>
      <c r="P4733">
        <v>0</v>
      </c>
      <c r="Q4733">
        <v>0</v>
      </c>
      <c r="S4733">
        <v>0</v>
      </c>
      <c r="T4733">
        <v>0</v>
      </c>
      <c r="U4733">
        <v>0</v>
      </c>
      <c r="W4733" t="s">
        <v>62</v>
      </c>
    </row>
    <row r="4734" spans="1:45" x14ac:dyDescent="0.35">
      <c r="A4734" t="s">
        <v>45</v>
      </c>
      <c r="B4734" t="s">
        <v>10653</v>
      </c>
      <c r="C4734" t="s">
        <v>47</v>
      </c>
      <c r="D4734" t="s">
        <v>10687</v>
      </c>
      <c r="E4734" t="s">
        <v>10687</v>
      </c>
      <c r="F4734" t="s">
        <v>49</v>
      </c>
      <c r="G4734" t="s">
        <v>10688</v>
      </c>
      <c r="H4734" t="s">
        <v>10689</v>
      </c>
      <c r="J4734" t="str">
        <f>HYPERLINK("https://www.facebook.com/454965103328545/posts/734813295343723?comment_id=749493183384430","https://www.facebook.com/454965103328545/posts/734813295343723?comment_id=749493183384430")</f>
        <v>https://www.facebook.com/454965103328545/posts/734813295343723?comment_id=749493183384430</v>
      </c>
      <c r="O4734">
        <v>0</v>
      </c>
      <c r="P4734">
        <v>0</v>
      </c>
      <c r="Q4734">
        <v>0</v>
      </c>
      <c r="S4734">
        <v>0</v>
      </c>
      <c r="T4734">
        <v>0</v>
      </c>
      <c r="U4734">
        <v>0</v>
      </c>
      <c r="W4734" t="s">
        <v>62</v>
      </c>
    </row>
    <row r="4735" spans="1:45" x14ac:dyDescent="0.35">
      <c r="A4735" t="s">
        <v>45</v>
      </c>
      <c r="B4735" t="s">
        <v>10653</v>
      </c>
      <c r="C4735" t="s">
        <v>47</v>
      </c>
      <c r="D4735" t="s">
        <v>10690</v>
      </c>
      <c r="E4735" t="s">
        <v>10690</v>
      </c>
      <c r="F4735" t="s">
        <v>49</v>
      </c>
      <c r="G4735" t="s">
        <v>10691</v>
      </c>
      <c r="H4735" t="s">
        <v>10692</v>
      </c>
      <c r="J4735" t="str">
        <f>HYPERLINK("https://www.facebook.com/454965103328545/posts/757813099710409?comment_id=414993044238189&amp;reply_comment_id=7256889444367354","https://www.facebook.com/454965103328545/posts/757813099710409?comment_id=414993044238189&amp;reply_comment_id=7256889444367354")</f>
        <v>https://www.facebook.com/454965103328545/posts/757813099710409?comment_id=414993044238189&amp;reply_comment_id=7256889444367354</v>
      </c>
      <c r="O4735">
        <v>0</v>
      </c>
      <c r="P4735">
        <v>0</v>
      </c>
      <c r="Q4735">
        <v>0</v>
      </c>
      <c r="S4735">
        <v>0</v>
      </c>
      <c r="T4735">
        <v>0</v>
      </c>
      <c r="U4735">
        <v>0</v>
      </c>
      <c r="W4735" t="s">
        <v>62</v>
      </c>
    </row>
    <row r="4736" spans="1:45" x14ac:dyDescent="0.35">
      <c r="A4736" t="s">
        <v>45</v>
      </c>
      <c r="B4736" t="s">
        <v>10653</v>
      </c>
      <c r="C4736" t="s">
        <v>47</v>
      </c>
      <c r="D4736" t="s">
        <v>10690</v>
      </c>
      <c r="E4736" t="s">
        <v>10690</v>
      </c>
      <c r="F4736" t="s">
        <v>49</v>
      </c>
      <c r="G4736" t="s">
        <v>10693</v>
      </c>
      <c r="H4736" t="s">
        <v>10694</v>
      </c>
      <c r="J4736" t="str">
        <f>HYPERLINK("https://www.facebook.com/454965103328545/posts/757813099710409?comment_id=750140037031316&amp;reply_comment_id=1069493217718110","https://www.facebook.com/454965103328545/posts/757813099710409?comment_id=750140037031316&amp;reply_comment_id=1069493217718110")</f>
        <v>https://www.facebook.com/454965103328545/posts/757813099710409?comment_id=750140037031316&amp;reply_comment_id=1069493217718110</v>
      </c>
      <c r="O4736">
        <v>0</v>
      </c>
      <c r="P4736">
        <v>0</v>
      </c>
      <c r="Q4736">
        <v>0</v>
      </c>
      <c r="S4736">
        <v>0</v>
      </c>
      <c r="T4736">
        <v>0</v>
      </c>
      <c r="U4736">
        <v>0</v>
      </c>
      <c r="W4736" t="s">
        <v>62</v>
      </c>
    </row>
    <row r="4737" spans="1:42" x14ac:dyDescent="0.35">
      <c r="A4737" t="s">
        <v>45</v>
      </c>
      <c r="B4737" t="s">
        <v>10653</v>
      </c>
      <c r="C4737" t="s">
        <v>47</v>
      </c>
      <c r="D4737" t="s">
        <v>10690</v>
      </c>
      <c r="E4737" t="s">
        <v>10690</v>
      </c>
      <c r="F4737" t="s">
        <v>49</v>
      </c>
      <c r="G4737" t="s">
        <v>10695</v>
      </c>
      <c r="H4737" t="s">
        <v>10696</v>
      </c>
      <c r="J4737" t="str">
        <f>HYPERLINK("https://www.facebook.com/454965103328545/posts/757813099710409?comment_id=1306538210016819&amp;reply_comment_id=1095586754802052","https://www.facebook.com/454965103328545/posts/757813099710409?comment_id=1306538210016819&amp;reply_comment_id=1095586754802052")</f>
        <v>https://www.facebook.com/454965103328545/posts/757813099710409?comment_id=1306538210016819&amp;reply_comment_id=1095586754802052</v>
      </c>
      <c r="O4737">
        <v>0</v>
      </c>
      <c r="P4737">
        <v>0</v>
      </c>
      <c r="Q4737">
        <v>0</v>
      </c>
      <c r="S4737">
        <v>0</v>
      </c>
      <c r="T4737">
        <v>0</v>
      </c>
      <c r="U4737">
        <v>0</v>
      </c>
      <c r="W4737" t="s">
        <v>62</v>
      </c>
    </row>
    <row r="4738" spans="1:42" x14ac:dyDescent="0.35">
      <c r="A4738" t="s">
        <v>45</v>
      </c>
      <c r="B4738" t="s">
        <v>10653</v>
      </c>
      <c r="C4738" t="s">
        <v>47</v>
      </c>
      <c r="D4738" t="s">
        <v>10690</v>
      </c>
      <c r="E4738" t="s">
        <v>10690</v>
      </c>
      <c r="F4738" t="s">
        <v>49</v>
      </c>
      <c r="G4738" t="s">
        <v>10697</v>
      </c>
      <c r="H4738" t="s">
        <v>10698</v>
      </c>
      <c r="J4738" t="str">
        <f>HYPERLINK("https://www.facebook.com/454965103328545/posts/757813099710409?comment_id=2574848586022343&amp;reply_comment_id=368444592466335","https://www.facebook.com/454965103328545/posts/757813099710409?comment_id=2574848586022343&amp;reply_comment_id=368444592466335")</f>
        <v>https://www.facebook.com/454965103328545/posts/757813099710409?comment_id=2574848586022343&amp;reply_comment_id=368444592466335</v>
      </c>
      <c r="O4738">
        <v>0</v>
      </c>
      <c r="P4738">
        <v>0</v>
      </c>
      <c r="Q4738">
        <v>0</v>
      </c>
      <c r="S4738">
        <v>0</v>
      </c>
      <c r="T4738">
        <v>0</v>
      </c>
      <c r="U4738">
        <v>0</v>
      </c>
      <c r="W4738" t="s">
        <v>62</v>
      </c>
    </row>
    <row r="4739" spans="1:42" x14ac:dyDescent="0.35">
      <c r="A4739" t="s">
        <v>45</v>
      </c>
      <c r="B4739" t="s">
        <v>10653</v>
      </c>
      <c r="C4739" t="s">
        <v>47</v>
      </c>
      <c r="D4739" t="s">
        <v>10690</v>
      </c>
      <c r="E4739" t="s">
        <v>10690</v>
      </c>
      <c r="F4739" t="s">
        <v>49</v>
      </c>
      <c r="G4739" t="s">
        <v>10699</v>
      </c>
      <c r="H4739" t="s">
        <v>10700</v>
      </c>
      <c r="J4739" t="str">
        <f>HYPERLINK("https://www.facebook.com/454965103328545/posts/757813099710409?comment_id=1026539991780023&amp;reply_comment_id=361031300201300","https://www.facebook.com/454965103328545/posts/757813099710409?comment_id=1026539991780023&amp;reply_comment_id=361031300201300")</f>
        <v>https://www.facebook.com/454965103328545/posts/757813099710409?comment_id=1026539991780023&amp;reply_comment_id=361031300201300</v>
      </c>
      <c r="O4739">
        <v>0</v>
      </c>
      <c r="P4739">
        <v>0</v>
      </c>
      <c r="Q4739">
        <v>0</v>
      </c>
      <c r="S4739">
        <v>0</v>
      </c>
      <c r="T4739">
        <v>0</v>
      </c>
      <c r="U4739">
        <v>0</v>
      </c>
      <c r="W4739" t="s">
        <v>62</v>
      </c>
    </row>
    <row r="4740" spans="1:42" x14ac:dyDescent="0.35">
      <c r="A4740" t="s">
        <v>45</v>
      </c>
      <c r="B4740" t="s">
        <v>10653</v>
      </c>
      <c r="C4740" t="s">
        <v>47</v>
      </c>
      <c r="D4740" t="s">
        <v>10690</v>
      </c>
      <c r="E4740" t="s">
        <v>10690</v>
      </c>
      <c r="F4740" t="s">
        <v>49</v>
      </c>
      <c r="G4740" s="1" t="s">
        <v>10701</v>
      </c>
      <c r="H4740" t="s">
        <v>10702</v>
      </c>
      <c r="J4740" t="str">
        <f>HYPERLINK("https://www.facebook.com/454965103328545/posts/757813099710409?comment_id=7191028200964329","https://www.facebook.com/454965103328545/posts/757813099710409?comment_id=7191028200964329")</f>
        <v>https://www.facebook.com/454965103328545/posts/757813099710409?comment_id=7191028200964329</v>
      </c>
      <c r="O4740">
        <v>0</v>
      </c>
      <c r="P4740">
        <v>0</v>
      </c>
      <c r="Q4740">
        <v>0</v>
      </c>
      <c r="S4740">
        <v>0</v>
      </c>
      <c r="T4740">
        <v>0</v>
      </c>
      <c r="U4740">
        <v>0</v>
      </c>
      <c r="W4740" t="s">
        <v>62</v>
      </c>
    </row>
    <row r="4741" spans="1:42" x14ac:dyDescent="0.35">
      <c r="A4741" t="s">
        <v>45</v>
      </c>
      <c r="B4741" t="s">
        <v>10653</v>
      </c>
      <c r="C4741" t="s">
        <v>47</v>
      </c>
      <c r="D4741" t="s">
        <v>10690</v>
      </c>
      <c r="E4741" t="s">
        <v>10690</v>
      </c>
      <c r="F4741" t="s">
        <v>49</v>
      </c>
      <c r="G4741" t="s">
        <v>10703</v>
      </c>
      <c r="H4741" t="s">
        <v>10704</v>
      </c>
      <c r="J4741" t="str">
        <f>HYPERLINK("https://www.facebook.com/454965103328545/posts/757697553055297?comment_id=684298827108291&amp;reply_comment_id=677336824613393","https://www.facebook.com/454965103328545/posts/757697553055297?comment_id=684298827108291&amp;reply_comment_id=677336824613393")</f>
        <v>https://www.facebook.com/454965103328545/posts/757697553055297?comment_id=684298827108291&amp;reply_comment_id=677336824613393</v>
      </c>
      <c r="O4741">
        <v>0</v>
      </c>
      <c r="P4741">
        <v>0</v>
      </c>
      <c r="Q4741">
        <v>0</v>
      </c>
      <c r="S4741">
        <v>0</v>
      </c>
      <c r="T4741">
        <v>0</v>
      </c>
      <c r="U4741">
        <v>0</v>
      </c>
      <c r="W4741" t="s">
        <v>62</v>
      </c>
    </row>
    <row r="4742" spans="1:42" x14ac:dyDescent="0.35">
      <c r="A4742" t="s">
        <v>45</v>
      </c>
      <c r="B4742" t="s">
        <v>10653</v>
      </c>
      <c r="C4742" t="s">
        <v>47</v>
      </c>
      <c r="D4742" t="s">
        <v>10690</v>
      </c>
      <c r="E4742" t="s">
        <v>10690</v>
      </c>
      <c r="F4742" t="s">
        <v>49</v>
      </c>
      <c r="G4742" t="s">
        <v>10705</v>
      </c>
      <c r="H4742" t="s">
        <v>10706</v>
      </c>
      <c r="J4742" t="str">
        <f>HYPERLINK("https://www.facebook.com/454965103328545/posts/757697553055297?comment_id=1355904115046734&amp;reply_comment_id=1063804074891151","https://www.facebook.com/454965103328545/posts/757697553055297?comment_id=1355904115046734&amp;reply_comment_id=1063804074891151")</f>
        <v>https://www.facebook.com/454965103328545/posts/757697553055297?comment_id=1355904115046734&amp;reply_comment_id=1063804074891151</v>
      </c>
      <c r="O4742">
        <v>0</v>
      </c>
      <c r="P4742">
        <v>0</v>
      </c>
      <c r="Q4742">
        <v>0</v>
      </c>
      <c r="S4742">
        <v>0</v>
      </c>
      <c r="T4742">
        <v>0</v>
      </c>
      <c r="U4742">
        <v>0</v>
      </c>
      <c r="W4742" t="s">
        <v>62</v>
      </c>
    </row>
    <row r="4743" spans="1:42" x14ac:dyDescent="0.35">
      <c r="A4743" t="s">
        <v>45</v>
      </c>
      <c r="B4743" t="s">
        <v>10653</v>
      </c>
      <c r="C4743" t="s">
        <v>47</v>
      </c>
      <c r="D4743" t="s">
        <v>10690</v>
      </c>
      <c r="E4743" t="s">
        <v>10690</v>
      </c>
      <c r="F4743" t="s">
        <v>49</v>
      </c>
      <c r="G4743" s="1" t="s">
        <v>10701</v>
      </c>
      <c r="H4743" t="s">
        <v>10707</v>
      </c>
      <c r="J4743" t="str">
        <f>HYPERLINK("https://www.facebook.com/454965103328545/posts/757697553055297?comment_id=1395160458058552","https://www.facebook.com/454965103328545/posts/757697553055297?comment_id=1395160458058552")</f>
        <v>https://www.facebook.com/454965103328545/posts/757697553055297?comment_id=1395160458058552</v>
      </c>
      <c r="O4743">
        <v>0</v>
      </c>
      <c r="P4743">
        <v>0</v>
      </c>
      <c r="Q4743">
        <v>0</v>
      </c>
      <c r="S4743">
        <v>0</v>
      </c>
      <c r="T4743">
        <v>0</v>
      </c>
      <c r="U4743">
        <v>0</v>
      </c>
      <c r="W4743" t="s">
        <v>62</v>
      </c>
    </row>
    <row r="4744" spans="1:42" x14ac:dyDescent="0.35">
      <c r="A4744" t="s">
        <v>45</v>
      </c>
      <c r="B4744" t="s">
        <v>10653</v>
      </c>
      <c r="C4744" t="s">
        <v>47</v>
      </c>
      <c r="D4744" t="s">
        <v>10708</v>
      </c>
      <c r="E4744" t="s">
        <v>10708</v>
      </c>
      <c r="F4744" t="s">
        <v>49</v>
      </c>
      <c r="G4744" t="s">
        <v>10709</v>
      </c>
      <c r="H4744" t="s">
        <v>10710</v>
      </c>
      <c r="J4744" t="str">
        <f>HYPERLINK("https://www.facebook.com/454965103328545/posts/757813099710409?comment_id=2574848586022343","https://www.facebook.com/454965103328545/posts/757813099710409?comment_id=2574848586022343")</f>
        <v>https://www.facebook.com/454965103328545/posts/757813099710409?comment_id=2574848586022343</v>
      </c>
      <c r="O4744">
        <v>0</v>
      </c>
      <c r="P4744">
        <v>0</v>
      </c>
      <c r="Q4744">
        <v>0</v>
      </c>
      <c r="S4744">
        <v>0</v>
      </c>
      <c r="T4744">
        <v>0</v>
      </c>
      <c r="U4744">
        <v>0</v>
      </c>
      <c r="W4744" t="s">
        <v>62</v>
      </c>
    </row>
    <row r="4745" spans="1:42" x14ac:dyDescent="0.35">
      <c r="A4745" t="s">
        <v>45</v>
      </c>
      <c r="B4745" t="s">
        <v>10653</v>
      </c>
      <c r="C4745" t="s">
        <v>47</v>
      </c>
      <c r="D4745" t="s">
        <v>10711</v>
      </c>
      <c r="E4745" t="s">
        <v>10711</v>
      </c>
      <c r="F4745" t="s">
        <v>49</v>
      </c>
      <c r="G4745" t="s">
        <v>10712</v>
      </c>
      <c r="H4745" t="s">
        <v>10713</v>
      </c>
      <c r="J4745" t="str">
        <f>HYPERLINK("https://www.facebook.com/454965103328545/posts/490024586489263?comment_id=389283223651426","https://www.facebook.com/454965103328545/posts/490024586489263?comment_id=389283223651426")</f>
        <v>https://www.facebook.com/454965103328545/posts/490024586489263?comment_id=389283223651426</v>
      </c>
      <c r="O4745">
        <v>0</v>
      </c>
      <c r="P4745">
        <v>0</v>
      </c>
      <c r="Q4745">
        <v>0</v>
      </c>
      <c r="S4745">
        <v>0</v>
      </c>
      <c r="T4745">
        <v>0</v>
      </c>
      <c r="U4745">
        <v>0</v>
      </c>
      <c r="W4745" t="s">
        <v>62</v>
      </c>
    </row>
    <row r="4746" spans="1:42" x14ac:dyDescent="0.35">
      <c r="A4746" t="s">
        <v>45</v>
      </c>
      <c r="B4746" t="s">
        <v>10653</v>
      </c>
      <c r="C4746" t="s">
        <v>47</v>
      </c>
      <c r="D4746" t="s">
        <v>10714</v>
      </c>
      <c r="E4746" t="s">
        <v>10714</v>
      </c>
      <c r="F4746" t="s">
        <v>49</v>
      </c>
      <c r="G4746" t="s">
        <v>10715</v>
      </c>
      <c r="H4746" t="s">
        <v>10716</v>
      </c>
      <c r="J4746" t="str">
        <f>HYPERLINK("https://www.facebook.com/357267201017935/inbox/6952548118156444/","https://www.facebook.com/357267201017935/inbox/6952548118156444/")</f>
        <v>https://www.facebook.com/357267201017935/inbox/6952548118156444/</v>
      </c>
      <c r="O4746">
        <v>0</v>
      </c>
      <c r="P4746">
        <v>0</v>
      </c>
      <c r="Q4746">
        <v>0</v>
      </c>
      <c r="S4746">
        <v>0</v>
      </c>
      <c r="T4746">
        <v>0</v>
      </c>
      <c r="U4746">
        <v>0</v>
      </c>
      <c r="W4746" t="s">
        <v>52</v>
      </c>
    </row>
    <row r="4747" spans="1:42" x14ac:dyDescent="0.35">
      <c r="A4747" t="s">
        <v>45</v>
      </c>
      <c r="B4747" t="s">
        <v>10653</v>
      </c>
      <c r="C4747" t="s">
        <v>47</v>
      </c>
      <c r="D4747" t="s">
        <v>10717</v>
      </c>
      <c r="E4747" t="s">
        <v>10717</v>
      </c>
      <c r="F4747" t="s">
        <v>49</v>
      </c>
      <c r="G4747" t="s">
        <v>10718</v>
      </c>
      <c r="H4747" t="s">
        <v>10719</v>
      </c>
      <c r="J4747" t="str">
        <f>HYPERLINK("https://www.facebook.com/357267201017935/posts/3069910089753619/?comment_id=392545799920195","https://www.facebook.com/357267201017935/posts/3069910089753619/?comment_id=392545799920195")</f>
        <v>https://www.facebook.com/357267201017935/posts/3069910089753619/?comment_id=392545799920195</v>
      </c>
      <c r="O4747">
        <v>0</v>
      </c>
      <c r="P4747">
        <v>0</v>
      </c>
      <c r="Q4747">
        <v>0</v>
      </c>
      <c r="S4747">
        <v>0</v>
      </c>
      <c r="T4747">
        <v>0</v>
      </c>
      <c r="U4747">
        <v>0</v>
      </c>
      <c r="W4747" t="s">
        <v>62</v>
      </c>
    </row>
    <row r="4748" spans="1:42" x14ac:dyDescent="0.35">
      <c r="A4748" t="s">
        <v>45</v>
      </c>
      <c r="B4748" t="s">
        <v>10653</v>
      </c>
      <c r="C4748" t="s">
        <v>47</v>
      </c>
      <c r="D4748" t="s">
        <v>10720</v>
      </c>
      <c r="E4748" t="s">
        <v>10720</v>
      </c>
      <c r="F4748" t="s">
        <v>49</v>
      </c>
      <c r="G4748" t="s">
        <v>56</v>
      </c>
      <c r="H4748" t="s">
        <v>10721</v>
      </c>
      <c r="J4748" t="str">
        <f>HYPERLINK("https://www.facebook.com/357267201017935/inbox/6952412141503375/","https://www.facebook.com/357267201017935/inbox/6952412141503375/")</f>
        <v>https://www.facebook.com/357267201017935/inbox/6952412141503375/</v>
      </c>
      <c r="O4748">
        <v>0</v>
      </c>
      <c r="P4748">
        <v>0</v>
      </c>
      <c r="Q4748">
        <v>0</v>
      </c>
      <c r="S4748">
        <v>0</v>
      </c>
      <c r="T4748">
        <v>0</v>
      </c>
      <c r="U4748">
        <v>0</v>
      </c>
      <c r="W4748" t="s">
        <v>52</v>
      </c>
    </row>
    <row r="4749" spans="1:42" x14ac:dyDescent="0.35">
      <c r="A4749" t="s">
        <v>45</v>
      </c>
      <c r="B4749" t="s">
        <v>10653</v>
      </c>
      <c r="C4749" t="s">
        <v>58</v>
      </c>
      <c r="D4749" t="s">
        <v>10722</v>
      </c>
      <c r="E4749" t="s">
        <v>10722</v>
      </c>
      <c r="F4749" t="s">
        <v>76</v>
      </c>
      <c r="G4749" t="s">
        <v>10723</v>
      </c>
      <c r="H4749" t="s">
        <v>10724</v>
      </c>
      <c r="J4749" t="str">
        <f>HYPERLINK("https://www.youtube.com/watch?v=Dsvhmp9JjSI","https://www.youtube.com/watch?v=Dsvhmp9JjSI")</f>
        <v>https://www.youtube.com/watch?v=Dsvhmp9JjSI</v>
      </c>
      <c r="O4749">
        <v>0</v>
      </c>
      <c r="P4749">
        <v>0</v>
      </c>
      <c r="Q4749">
        <v>0</v>
      </c>
      <c r="S4749">
        <v>0</v>
      </c>
      <c r="T4749">
        <v>0</v>
      </c>
      <c r="U4749">
        <v>0</v>
      </c>
      <c r="W4749" t="s">
        <v>106</v>
      </c>
      <c r="AP4749" t="s">
        <v>101</v>
      </c>
    </row>
    <row r="4750" spans="1:42" x14ac:dyDescent="0.35">
      <c r="A4750" t="s">
        <v>45</v>
      </c>
      <c r="B4750" t="s">
        <v>10653</v>
      </c>
      <c r="C4750" t="s">
        <v>47</v>
      </c>
      <c r="D4750" t="s">
        <v>10725</v>
      </c>
      <c r="E4750" t="s">
        <v>10725</v>
      </c>
      <c r="F4750" t="s">
        <v>49</v>
      </c>
      <c r="G4750" t="s">
        <v>50</v>
      </c>
      <c r="H4750" t="s">
        <v>10726</v>
      </c>
      <c r="J4750" t="str">
        <f>HYPERLINK("https://www.facebook.com/357267201017935/inbox/6952078414870081/","https://www.facebook.com/357267201017935/inbox/6952078414870081/")</f>
        <v>https://www.facebook.com/357267201017935/inbox/6952078414870081/</v>
      </c>
      <c r="O4750">
        <v>0</v>
      </c>
      <c r="P4750">
        <v>0</v>
      </c>
      <c r="Q4750">
        <v>0</v>
      </c>
      <c r="S4750">
        <v>0</v>
      </c>
      <c r="T4750">
        <v>0</v>
      </c>
      <c r="U4750">
        <v>0</v>
      </c>
      <c r="W4750" t="s">
        <v>52</v>
      </c>
    </row>
    <row r="4751" spans="1:42" x14ac:dyDescent="0.35">
      <c r="A4751" t="s">
        <v>45</v>
      </c>
      <c r="B4751" t="s">
        <v>10653</v>
      </c>
      <c r="C4751" t="s">
        <v>47</v>
      </c>
      <c r="D4751" t="s">
        <v>10727</v>
      </c>
      <c r="E4751" t="s">
        <v>10727</v>
      </c>
      <c r="F4751" t="s">
        <v>49</v>
      </c>
      <c r="G4751" t="s">
        <v>10728</v>
      </c>
      <c r="H4751" t="s">
        <v>10729</v>
      </c>
      <c r="J4751" t="str">
        <f>HYPERLINK("https://www.facebook.com/454965103328545/posts/750007137157672?comment_id=1868564970243742","https://www.facebook.com/454965103328545/posts/750007137157672?comment_id=1868564970243742")</f>
        <v>https://www.facebook.com/454965103328545/posts/750007137157672?comment_id=1868564970243742</v>
      </c>
      <c r="O4751">
        <v>0</v>
      </c>
      <c r="P4751">
        <v>0</v>
      </c>
      <c r="Q4751">
        <v>0</v>
      </c>
      <c r="S4751">
        <v>0</v>
      </c>
      <c r="T4751">
        <v>0</v>
      </c>
      <c r="U4751">
        <v>0</v>
      </c>
      <c r="W4751" t="s">
        <v>62</v>
      </c>
    </row>
    <row r="4752" spans="1:42" x14ac:dyDescent="0.35">
      <c r="A4752" t="s">
        <v>45</v>
      </c>
      <c r="B4752" t="s">
        <v>10653</v>
      </c>
      <c r="C4752" t="s">
        <v>47</v>
      </c>
      <c r="D4752" t="s">
        <v>10727</v>
      </c>
      <c r="E4752" t="s">
        <v>10727</v>
      </c>
      <c r="F4752" t="s">
        <v>49</v>
      </c>
      <c r="G4752" t="s">
        <v>10730</v>
      </c>
      <c r="H4752" t="s">
        <v>10731</v>
      </c>
      <c r="J4752" t="str">
        <f>HYPERLINK("https://www.facebook.com/454965103328545/posts/750007137157672?comment_id=792970392661638","https://www.facebook.com/454965103328545/posts/750007137157672?comment_id=792970392661638")</f>
        <v>https://www.facebook.com/454965103328545/posts/750007137157672?comment_id=792970392661638</v>
      </c>
      <c r="O4752">
        <v>0</v>
      </c>
      <c r="P4752">
        <v>0</v>
      </c>
      <c r="Q4752">
        <v>0</v>
      </c>
      <c r="S4752">
        <v>0</v>
      </c>
      <c r="T4752">
        <v>0</v>
      </c>
      <c r="U4752">
        <v>0</v>
      </c>
      <c r="W4752" t="s">
        <v>62</v>
      </c>
    </row>
    <row r="4753" spans="1:42" x14ac:dyDescent="0.35">
      <c r="A4753" t="s">
        <v>45</v>
      </c>
      <c r="B4753" t="s">
        <v>10653</v>
      </c>
      <c r="C4753" t="s">
        <v>139</v>
      </c>
      <c r="D4753" t="s">
        <v>10732</v>
      </c>
      <c r="E4753" t="s">
        <v>4327</v>
      </c>
      <c r="F4753" t="s">
        <v>142</v>
      </c>
      <c r="G4753" t="s">
        <v>10733</v>
      </c>
      <c r="H4753" t="s">
        <v>10734</v>
      </c>
      <c r="J4753" t="str">
        <f>HYPERLINK("https://twitter.com/Amitkr010Ak/status/1749665136548430212","https://twitter.com/Amitkr010Ak/status/1749665136548430212")</f>
        <v>https://twitter.com/Amitkr010Ak/status/1749665136548430212</v>
      </c>
      <c r="K4753" t="s">
        <v>145</v>
      </c>
      <c r="O4753">
        <v>0</v>
      </c>
      <c r="P4753">
        <v>0</v>
      </c>
      <c r="Q4753">
        <v>0</v>
      </c>
      <c r="S4753">
        <v>0</v>
      </c>
      <c r="T4753">
        <v>0</v>
      </c>
      <c r="U4753">
        <v>0</v>
      </c>
      <c r="W4753" t="s">
        <v>146</v>
      </c>
      <c r="AP4753" t="s">
        <v>101</v>
      </c>
    </row>
    <row r="4754" spans="1:42" x14ac:dyDescent="0.35">
      <c r="A4754" t="s">
        <v>45</v>
      </c>
      <c r="B4754" t="s">
        <v>10653</v>
      </c>
      <c r="C4754" t="s">
        <v>47</v>
      </c>
      <c r="D4754" t="s">
        <v>10735</v>
      </c>
      <c r="E4754" t="s">
        <v>10735</v>
      </c>
      <c r="F4754" t="s">
        <v>49</v>
      </c>
      <c r="G4754" t="s">
        <v>10665</v>
      </c>
      <c r="H4754" t="s">
        <v>10736</v>
      </c>
      <c r="J4754" t="str">
        <f>HYPERLINK("https://www.facebook.com/454965103328545/posts/757697553055297?comment_id=1355904115046734","https://www.facebook.com/454965103328545/posts/757697553055297?comment_id=1355904115046734")</f>
        <v>https://www.facebook.com/454965103328545/posts/757697553055297?comment_id=1355904115046734</v>
      </c>
      <c r="O4754">
        <v>0</v>
      </c>
      <c r="P4754">
        <v>0</v>
      </c>
      <c r="Q4754">
        <v>0</v>
      </c>
      <c r="S4754">
        <v>0</v>
      </c>
      <c r="T4754">
        <v>0</v>
      </c>
      <c r="U4754">
        <v>0</v>
      </c>
      <c r="W4754" t="s">
        <v>62</v>
      </c>
    </row>
    <row r="4755" spans="1:42" x14ac:dyDescent="0.35">
      <c r="A4755" t="s">
        <v>45</v>
      </c>
      <c r="B4755" t="s">
        <v>10653</v>
      </c>
      <c r="C4755" t="s">
        <v>63</v>
      </c>
      <c r="D4755" t="s">
        <v>10737</v>
      </c>
      <c r="E4755" t="s">
        <v>10737</v>
      </c>
      <c r="F4755" t="s">
        <v>76</v>
      </c>
      <c r="G4755" t="s">
        <v>1359</v>
      </c>
      <c r="H4755" t="s">
        <v>10738</v>
      </c>
      <c r="J4755" t="str">
        <f>HYPERLINK("https://www.instagram.com/p/C2Zb7eiKduN/","https://www.instagram.com/p/C2Zb7eiKduN/")</f>
        <v>https://www.instagram.com/p/C2Zb7eiKduN/</v>
      </c>
      <c r="O4755">
        <v>0</v>
      </c>
      <c r="P4755">
        <v>0</v>
      </c>
      <c r="Q4755">
        <v>0</v>
      </c>
      <c r="S4755">
        <v>0</v>
      </c>
      <c r="T4755">
        <v>0</v>
      </c>
      <c r="U4755">
        <v>0</v>
      </c>
      <c r="W4755" t="s">
        <v>62</v>
      </c>
    </row>
    <row r="4756" spans="1:42" x14ac:dyDescent="0.35">
      <c r="A4756" t="s">
        <v>45</v>
      </c>
      <c r="B4756" t="s">
        <v>10653</v>
      </c>
      <c r="C4756" t="s">
        <v>139</v>
      </c>
      <c r="D4756" t="s">
        <v>10739</v>
      </c>
      <c r="E4756" t="s">
        <v>10740</v>
      </c>
      <c r="F4756" t="s">
        <v>76</v>
      </c>
      <c r="G4756" t="s">
        <v>10741</v>
      </c>
      <c r="H4756" t="s">
        <v>10742</v>
      </c>
      <c r="J4756" t="str">
        <f>HYPERLINK("https://twitter.com/commatocve91043/status/1749660541709086882","https://twitter.com/commatocve91043/status/1749660541709086882")</f>
        <v>https://twitter.com/commatocve91043/status/1749660541709086882</v>
      </c>
      <c r="O4756">
        <v>0</v>
      </c>
      <c r="P4756">
        <v>0</v>
      </c>
      <c r="Q4756">
        <v>0</v>
      </c>
      <c r="S4756">
        <v>0</v>
      </c>
      <c r="T4756">
        <v>0</v>
      </c>
      <c r="U4756">
        <v>0</v>
      </c>
      <c r="W4756" t="s">
        <v>146</v>
      </c>
    </row>
    <row r="4757" spans="1:42" x14ac:dyDescent="0.35">
      <c r="A4757" t="s">
        <v>45</v>
      </c>
      <c r="B4757" t="s">
        <v>10653</v>
      </c>
      <c r="C4757" t="s">
        <v>139</v>
      </c>
      <c r="D4757" t="s">
        <v>190</v>
      </c>
      <c r="E4757" t="s">
        <v>45</v>
      </c>
      <c r="F4757" t="s">
        <v>49</v>
      </c>
      <c r="G4757" t="s">
        <v>10743</v>
      </c>
      <c r="H4757" t="s">
        <v>10744</v>
      </c>
      <c r="J4757" t="str">
        <f>HYPERLINK("https://twitter.com/FinoPaymntsBank/status/1749635566969511994","https://twitter.com/FinoPaymntsBank/status/1749635566969511994")</f>
        <v>https://twitter.com/FinoPaymntsBank/status/1749635566969511994</v>
      </c>
      <c r="K4757" t="s">
        <v>145</v>
      </c>
      <c r="O4757">
        <v>0</v>
      </c>
      <c r="P4757">
        <v>0</v>
      </c>
      <c r="Q4757">
        <v>8323</v>
      </c>
      <c r="R4757" t="s">
        <v>193</v>
      </c>
      <c r="S4757">
        <v>0</v>
      </c>
      <c r="T4757">
        <v>0</v>
      </c>
      <c r="U4757">
        <v>0</v>
      </c>
      <c r="W4757" t="s">
        <v>146</v>
      </c>
    </row>
    <row r="4758" spans="1:42" x14ac:dyDescent="0.35">
      <c r="A4758" t="s">
        <v>45</v>
      </c>
      <c r="B4758" t="s">
        <v>10653</v>
      </c>
      <c r="C4758" t="s">
        <v>47</v>
      </c>
      <c r="D4758" t="s">
        <v>10745</v>
      </c>
      <c r="E4758" t="s">
        <v>10745</v>
      </c>
      <c r="F4758" t="s">
        <v>49</v>
      </c>
      <c r="G4758" t="s">
        <v>10746</v>
      </c>
      <c r="H4758" t="s">
        <v>10747</v>
      </c>
      <c r="J4758" t="str">
        <f>HYPERLINK("https://www.facebook.com/454965103328545/posts/750007137157672?comment_id=929642541440128","https://www.facebook.com/454965103328545/posts/750007137157672?comment_id=929642541440128")</f>
        <v>https://www.facebook.com/454965103328545/posts/750007137157672?comment_id=929642541440128</v>
      </c>
      <c r="O4758">
        <v>0</v>
      </c>
      <c r="P4758">
        <v>0</v>
      </c>
      <c r="Q4758">
        <v>0</v>
      </c>
      <c r="S4758">
        <v>0</v>
      </c>
      <c r="T4758">
        <v>0</v>
      </c>
      <c r="U4758">
        <v>0</v>
      </c>
      <c r="W4758" t="s">
        <v>62</v>
      </c>
    </row>
    <row r="4759" spans="1:42" x14ac:dyDescent="0.35">
      <c r="A4759" t="s">
        <v>45</v>
      </c>
      <c r="B4759" t="s">
        <v>10653</v>
      </c>
      <c r="C4759" t="s">
        <v>47</v>
      </c>
      <c r="D4759" t="s">
        <v>1117</v>
      </c>
      <c r="E4759" t="s">
        <v>1117</v>
      </c>
      <c r="F4759" t="s">
        <v>76</v>
      </c>
      <c r="G4759" t="s">
        <v>2121</v>
      </c>
      <c r="H4759" t="s">
        <v>10748</v>
      </c>
      <c r="J4759" t="str">
        <f>HYPERLINK("https://www.facebook.com/454965103328545/posts/757697553055297?comment_id=684298827108291","https://www.facebook.com/454965103328545/posts/757697553055297?comment_id=684298827108291")</f>
        <v>https://www.facebook.com/454965103328545/posts/757697553055297?comment_id=684298827108291</v>
      </c>
      <c r="O4759">
        <v>0</v>
      </c>
      <c r="P4759">
        <v>0</v>
      </c>
      <c r="Q4759">
        <v>0</v>
      </c>
      <c r="S4759">
        <v>0</v>
      </c>
      <c r="T4759">
        <v>0</v>
      </c>
      <c r="U4759">
        <v>0</v>
      </c>
      <c r="W4759" t="s">
        <v>62</v>
      </c>
    </row>
    <row r="4760" spans="1:42" x14ac:dyDescent="0.35">
      <c r="A4760" t="s">
        <v>45</v>
      </c>
      <c r="B4760" t="s">
        <v>10653</v>
      </c>
      <c r="C4760" t="s">
        <v>58</v>
      </c>
      <c r="D4760" t="s">
        <v>10749</v>
      </c>
      <c r="E4760" t="s">
        <v>10749</v>
      </c>
      <c r="F4760" t="s">
        <v>49</v>
      </c>
      <c r="G4760" t="s">
        <v>10750</v>
      </c>
      <c r="H4760" t="s">
        <v>10751</v>
      </c>
      <c r="J4760" t="str">
        <f>HYPERLINK("https://www.youtube.com/watch?v=HNs5n3C7b4Q","https://www.youtube.com/watch?v=HNs5n3C7b4Q")</f>
        <v>https://www.youtube.com/watch?v=HNs5n3C7b4Q</v>
      </c>
      <c r="O4760">
        <v>0</v>
      </c>
      <c r="P4760">
        <v>0</v>
      </c>
      <c r="Q4760">
        <v>0</v>
      </c>
      <c r="S4760">
        <v>0</v>
      </c>
      <c r="T4760">
        <v>0</v>
      </c>
      <c r="U4760">
        <v>0</v>
      </c>
      <c r="W4760" t="s">
        <v>106</v>
      </c>
    </row>
    <row r="4761" spans="1:42" x14ac:dyDescent="0.35">
      <c r="A4761" t="s">
        <v>45</v>
      </c>
      <c r="B4761" t="s">
        <v>10653</v>
      </c>
      <c r="C4761" t="s">
        <v>139</v>
      </c>
      <c r="D4761" t="s">
        <v>190</v>
      </c>
      <c r="E4761" t="s">
        <v>45</v>
      </c>
      <c r="F4761" t="s">
        <v>49</v>
      </c>
      <c r="G4761" t="s">
        <v>10752</v>
      </c>
      <c r="H4761" t="s">
        <v>10753</v>
      </c>
      <c r="J4761" t="str">
        <f>HYPERLINK("https://twitter.com/FinoPaymntsBank/status/1749621389320167657","https://twitter.com/FinoPaymntsBank/status/1749621389320167657")</f>
        <v>https://twitter.com/FinoPaymntsBank/status/1749621389320167657</v>
      </c>
      <c r="K4761" t="s">
        <v>145</v>
      </c>
      <c r="O4761">
        <v>0</v>
      </c>
      <c r="P4761">
        <v>0</v>
      </c>
      <c r="Q4761">
        <v>8323</v>
      </c>
      <c r="R4761" t="s">
        <v>193</v>
      </c>
      <c r="S4761">
        <v>0</v>
      </c>
      <c r="T4761">
        <v>0</v>
      </c>
      <c r="U4761">
        <v>0</v>
      </c>
      <c r="W4761" t="s">
        <v>146</v>
      </c>
    </row>
    <row r="4762" spans="1:42" x14ac:dyDescent="0.35">
      <c r="A4762" t="s">
        <v>45</v>
      </c>
      <c r="B4762" t="s">
        <v>10653</v>
      </c>
      <c r="C4762" t="s">
        <v>47</v>
      </c>
      <c r="D4762" t="s">
        <v>45</v>
      </c>
      <c r="E4762" t="s">
        <v>45</v>
      </c>
      <c r="F4762" t="s">
        <v>49</v>
      </c>
      <c r="G4762" t="s">
        <v>10754</v>
      </c>
      <c r="H4762" t="s">
        <v>10755</v>
      </c>
      <c r="J4762" t="str">
        <f>HYPERLINK("https://www.facebook.com/357267201017935_757697553055297","https://www.facebook.com/357267201017935_757697553055297")</f>
        <v>https://www.facebook.com/357267201017935_757697553055297</v>
      </c>
      <c r="O4762">
        <v>0</v>
      </c>
      <c r="P4762">
        <v>0</v>
      </c>
      <c r="Q4762">
        <v>0</v>
      </c>
      <c r="S4762">
        <v>4</v>
      </c>
      <c r="T4762">
        <v>37</v>
      </c>
      <c r="U4762">
        <v>6</v>
      </c>
      <c r="W4762" t="s">
        <v>106</v>
      </c>
    </row>
    <row r="4763" spans="1:42" x14ac:dyDescent="0.35">
      <c r="A4763" t="s">
        <v>45</v>
      </c>
      <c r="B4763" t="s">
        <v>10653</v>
      </c>
      <c r="C4763" t="s">
        <v>63</v>
      </c>
      <c r="D4763" t="s">
        <v>186</v>
      </c>
      <c r="E4763" t="s">
        <v>186</v>
      </c>
      <c r="F4763" t="s">
        <v>49</v>
      </c>
      <c r="G4763" t="s">
        <v>10754</v>
      </c>
      <c r="H4763" t="s">
        <v>10756</v>
      </c>
      <c r="J4763" t="str">
        <f>HYPERLINK("https://www.instagram.com/p/C2bRYgtoh8r/","https://www.instagram.com/p/C2bRYgtoh8r/")</f>
        <v>https://www.instagram.com/p/C2bRYgtoh8r/</v>
      </c>
      <c r="O4763">
        <v>0</v>
      </c>
      <c r="P4763">
        <v>0</v>
      </c>
      <c r="Q4763">
        <v>0</v>
      </c>
      <c r="S4763">
        <v>0</v>
      </c>
      <c r="T4763">
        <v>111</v>
      </c>
      <c r="U4763">
        <v>0</v>
      </c>
      <c r="W4763" t="s">
        <v>106</v>
      </c>
    </row>
    <row r="4764" spans="1:42" x14ac:dyDescent="0.35">
      <c r="A4764" t="s">
        <v>45</v>
      </c>
      <c r="B4764" t="s">
        <v>10653</v>
      </c>
      <c r="C4764" t="s">
        <v>47</v>
      </c>
      <c r="D4764" t="s">
        <v>10757</v>
      </c>
      <c r="E4764" t="s">
        <v>10757</v>
      </c>
      <c r="F4764" t="s">
        <v>49</v>
      </c>
      <c r="G4764" t="s">
        <v>10758</v>
      </c>
      <c r="H4764" t="s">
        <v>10759</v>
      </c>
      <c r="J4764" t="str">
        <f>HYPERLINK("https://www.facebook.com/454965103328545/posts/755939476564438?comment_id=2571786439661729","https://www.facebook.com/454965103328545/posts/755939476564438?comment_id=2571786439661729")</f>
        <v>https://www.facebook.com/454965103328545/posts/755939476564438?comment_id=2571786439661729</v>
      </c>
      <c r="O4764">
        <v>0</v>
      </c>
      <c r="P4764">
        <v>0</v>
      </c>
      <c r="Q4764">
        <v>0</v>
      </c>
      <c r="S4764">
        <v>0</v>
      </c>
      <c r="T4764">
        <v>0</v>
      </c>
      <c r="U4764">
        <v>0</v>
      </c>
      <c r="W4764" t="s">
        <v>62</v>
      </c>
    </row>
    <row r="4765" spans="1:42" x14ac:dyDescent="0.35">
      <c r="A4765" t="s">
        <v>45</v>
      </c>
      <c r="B4765" t="s">
        <v>10653</v>
      </c>
      <c r="C4765" t="s">
        <v>47</v>
      </c>
      <c r="D4765" t="s">
        <v>10757</v>
      </c>
      <c r="E4765" t="s">
        <v>10757</v>
      </c>
      <c r="F4765" t="s">
        <v>49</v>
      </c>
      <c r="G4765" t="s">
        <v>10760</v>
      </c>
      <c r="H4765" t="s">
        <v>10761</v>
      </c>
      <c r="J4765" t="str">
        <f>HYPERLINK("https://www.facebook.com/454965103328545/posts/755939476564438?comment_id=1071820117203453","https://www.facebook.com/454965103328545/posts/755939476564438?comment_id=1071820117203453")</f>
        <v>https://www.facebook.com/454965103328545/posts/755939476564438?comment_id=1071820117203453</v>
      </c>
      <c r="O4765">
        <v>0</v>
      </c>
      <c r="P4765">
        <v>0</v>
      </c>
      <c r="Q4765">
        <v>0</v>
      </c>
      <c r="S4765">
        <v>0</v>
      </c>
      <c r="T4765">
        <v>0</v>
      </c>
      <c r="U4765">
        <v>0</v>
      </c>
      <c r="W4765" t="s">
        <v>62</v>
      </c>
    </row>
    <row r="4766" spans="1:42" x14ac:dyDescent="0.35">
      <c r="A4766" t="s">
        <v>45</v>
      </c>
      <c r="B4766" t="s">
        <v>10762</v>
      </c>
      <c r="C4766" t="s">
        <v>47</v>
      </c>
      <c r="D4766" t="s">
        <v>10763</v>
      </c>
      <c r="E4766" t="s">
        <v>10763</v>
      </c>
      <c r="F4766" t="s">
        <v>49</v>
      </c>
      <c r="G4766" t="s">
        <v>10764</v>
      </c>
      <c r="H4766" t="s">
        <v>10765</v>
      </c>
      <c r="J4766" t="str">
        <f>HYPERLINK("https://www.facebook.com/454965103328545/posts/757813099710409?comment_id=1306538210016819","https://www.facebook.com/454965103328545/posts/757813099710409?comment_id=1306538210016819")</f>
        <v>https://www.facebook.com/454965103328545/posts/757813099710409?comment_id=1306538210016819</v>
      </c>
      <c r="O4766">
        <v>0</v>
      </c>
      <c r="P4766">
        <v>0</v>
      </c>
      <c r="Q4766">
        <v>0</v>
      </c>
      <c r="S4766">
        <v>0</v>
      </c>
      <c r="T4766">
        <v>0</v>
      </c>
      <c r="U4766">
        <v>0</v>
      </c>
      <c r="W4766" t="s">
        <v>62</v>
      </c>
    </row>
    <row r="4767" spans="1:42" x14ac:dyDescent="0.35">
      <c r="A4767" t="s">
        <v>45</v>
      </c>
      <c r="B4767" t="s">
        <v>10762</v>
      </c>
      <c r="C4767" t="s">
        <v>47</v>
      </c>
      <c r="D4767" t="s">
        <v>10766</v>
      </c>
      <c r="E4767" t="s">
        <v>10766</v>
      </c>
      <c r="F4767" t="s">
        <v>49</v>
      </c>
      <c r="G4767" t="s">
        <v>10767</v>
      </c>
      <c r="H4767" t="s">
        <v>10768</v>
      </c>
      <c r="J4767" t="str">
        <f>HYPERLINK("https://www.facebook.com/454965103328545/posts/757813099710409?comment_id=1026539991780023","https://www.facebook.com/454965103328545/posts/757813099710409?comment_id=1026539991780023")</f>
        <v>https://www.facebook.com/454965103328545/posts/757813099710409?comment_id=1026539991780023</v>
      </c>
      <c r="O4767">
        <v>0</v>
      </c>
      <c r="P4767">
        <v>0</v>
      </c>
      <c r="Q4767">
        <v>0</v>
      </c>
      <c r="S4767">
        <v>0</v>
      </c>
      <c r="T4767">
        <v>0</v>
      </c>
      <c r="U4767">
        <v>0</v>
      </c>
      <c r="W4767" t="s">
        <v>62</v>
      </c>
    </row>
    <row r="4768" spans="1:42" x14ac:dyDescent="0.35">
      <c r="A4768" t="s">
        <v>45</v>
      </c>
      <c r="B4768" t="s">
        <v>10762</v>
      </c>
      <c r="C4768" t="s">
        <v>47</v>
      </c>
      <c r="D4768" t="s">
        <v>10769</v>
      </c>
      <c r="E4768" t="s">
        <v>10769</v>
      </c>
      <c r="F4768" t="s">
        <v>49</v>
      </c>
      <c r="G4768" t="s">
        <v>10770</v>
      </c>
      <c r="H4768" t="s">
        <v>10771</v>
      </c>
      <c r="J4768" t="str">
        <f>HYPERLINK("https://www.facebook.com/357267201017935/inbox/6949622008449055/","https://www.facebook.com/357267201017935/inbox/6949622008449055/")</f>
        <v>https://www.facebook.com/357267201017935/inbox/6949622008449055/</v>
      </c>
      <c r="O4768">
        <v>0</v>
      </c>
      <c r="P4768">
        <v>0</v>
      </c>
      <c r="Q4768">
        <v>0</v>
      </c>
      <c r="S4768">
        <v>0</v>
      </c>
      <c r="T4768">
        <v>0</v>
      </c>
      <c r="U4768">
        <v>0</v>
      </c>
      <c r="W4768" t="s">
        <v>52</v>
      </c>
      <c r="AP4768" t="s">
        <v>101</v>
      </c>
    </row>
    <row r="4769" spans="1:42" x14ac:dyDescent="0.35">
      <c r="A4769" t="s">
        <v>45</v>
      </c>
      <c r="B4769" t="s">
        <v>10762</v>
      </c>
      <c r="C4769" t="s">
        <v>47</v>
      </c>
      <c r="D4769" t="s">
        <v>10769</v>
      </c>
      <c r="E4769" t="s">
        <v>10769</v>
      </c>
      <c r="F4769" t="s">
        <v>49</v>
      </c>
      <c r="G4769" t="s">
        <v>50</v>
      </c>
      <c r="H4769" t="s">
        <v>10772</v>
      </c>
      <c r="J4769" t="str">
        <f>HYPERLINK("https://www.facebook.com/357267201017935/inbox/6949622008449055/","https://www.facebook.com/357267201017935/inbox/6949622008449055/")</f>
        <v>https://www.facebook.com/357267201017935/inbox/6949622008449055/</v>
      </c>
      <c r="O4769">
        <v>0</v>
      </c>
      <c r="P4769">
        <v>0</v>
      </c>
      <c r="Q4769">
        <v>0</v>
      </c>
      <c r="S4769">
        <v>0</v>
      </c>
      <c r="T4769">
        <v>0</v>
      </c>
      <c r="U4769">
        <v>0</v>
      </c>
      <c r="W4769" t="s">
        <v>52</v>
      </c>
    </row>
    <row r="4770" spans="1:42" x14ac:dyDescent="0.35">
      <c r="A4770" t="s">
        <v>45</v>
      </c>
      <c r="B4770" t="s">
        <v>10762</v>
      </c>
      <c r="C4770" t="s">
        <v>58</v>
      </c>
      <c r="D4770" t="s">
        <v>10773</v>
      </c>
      <c r="E4770" t="s">
        <v>10773</v>
      </c>
      <c r="F4770" t="s">
        <v>142</v>
      </c>
      <c r="G4770" t="s">
        <v>10774</v>
      </c>
      <c r="H4770" t="s">
        <v>10775</v>
      </c>
      <c r="J4770" t="str">
        <f>HYPERLINK("https://www.youtube.com/watch?v=lxxujo5rpCA","https://www.youtube.com/watch?v=lxxujo5rpCA")</f>
        <v>https://www.youtube.com/watch?v=lxxujo5rpCA</v>
      </c>
      <c r="O4770">
        <v>0</v>
      </c>
      <c r="P4770">
        <v>0</v>
      </c>
      <c r="Q4770">
        <v>0</v>
      </c>
      <c r="S4770">
        <v>0</v>
      </c>
      <c r="T4770">
        <v>0</v>
      </c>
      <c r="U4770">
        <v>0</v>
      </c>
      <c r="W4770" t="s">
        <v>106</v>
      </c>
    </row>
    <row r="4771" spans="1:42" x14ac:dyDescent="0.35">
      <c r="A4771" t="s">
        <v>45</v>
      </c>
      <c r="B4771" t="s">
        <v>10762</v>
      </c>
      <c r="C4771" t="s">
        <v>63</v>
      </c>
      <c r="D4771" t="s">
        <v>249</v>
      </c>
      <c r="E4771" t="s">
        <v>249</v>
      </c>
      <c r="F4771" t="s">
        <v>49</v>
      </c>
      <c r="G4771" t="s">
        <v>7294</v>
      </c>
      <c r="H4771" t="s">
        <v>10776</v>
      </c>
      <c r="J4771" t="str">
        <f>HYPERLINK("https://www.instagram.com/p/C2Zb7eiKduN/","https://www.instagram.com/p/C2Zb7eiKduN/")</f>
        <v>https://www.instagram.com/p/C2Zb7eiKduN/</v>
      </c>
      <c r="O4771">
        <v>0</v>
      </c>
      <c r="P4771">
        <v>0</v>
      </c>
      <c r="Q4771">
        <v>0</v>
      </c>
      <c r="S4771">
        <v>0</v>
      </c>
      <c r="T4771">
        <v>0</v>
      </c>
      <c r="U4771">
        <v>0</v>
      </c>
      <c r="W4771" t="s">
        <v>62</v>
      </c>
    </row>
    <row r="4772" spans="1:42" x14ac:dyDescent="0.35">
      <c r="A4772" t="s">
        <v>45</v>
      </c>
      <c r="B4772" t="s">
        <v>10762</v>
      </c>
      <c r="C4772" t="s">
        <v>139</v>
      </c>
      <c r="D4772" t="s">
        <v>10777</v>
      </c>
      <c r="E4772" t="s">
        <v>10778</v>
      </c>
      <c r="F4772" t="s">
        <v>49</v>
      </c>
      <c r="G4772" t="s">
        <v>10779</v>
      </c>
      <c r="H4772" t="s">
        <v>10780</v>
      </c>
      <c r="J4772" t="str">
        <f>HYPERLINK("https://twitter.com/Kuldeep30406580/status/1749446787780210756","https://twitter.com/Kuldeep30406580/status/1749446787780210756")</f>
        <v>https://twitter.com/Kuldeep30406580/status/1749446787780210756</v>
      </c>
      <c r="O4772">
        <v>0</v>
      </c>
      <c r="P4772">
        <v>0</v>
      </c>
      <c r="Q4772">
        <v>51</v>
      </c>
      <c r="R4772" t="s">
        <v>10781</v>
      </c>
      <c r="S4772">
        <v>0</v>
      </c>
      <c r="T4772">
        <v>0</v>
      </c>
      <c r="U4772">
        <v>0</v>
      </c>
      <c r="W4772" t="s">
        <v>52</v>
      </c>
    </row>
    <row r="4773" spans="1:42" x14ac:dyDescent="0.35">
      <c r="A4773" t="s">
        <v>45</v>
      </c>
      <c r="B4773" t="s">
        <v>10762</v>
      </c>
      <c r="C4773" t="s">
        <v>47</v>
      </c>
      <c r="D4773" t="s">
        <v>3899</v>
      </c>
      <c r="E4773" t="s">
        <v>3899</v>
      </c>
      <c r="F4773" t="s">
        <v>49</v>
      </c>
      <c r="G4773" t="s">
        <v>10782</v>
      </c>
      <c r="H4773" t="s">
        <v>10783</v>
      </c>
      <c r="J4773" t="str">
        <f>HYPERLINK("https://www.facebook.com/454965103328545/posts/757813099710409?comment_id=414993044238189&amp;reply_comment_id=370234735642503","https://www.facebook.com/454965103328545/posts/757813099710409?comment_id=414993044238189&amp;reply_comment_id=370234735642503")</f>
        <v>https://www.facebook.com/454965103328545/posts/757813099710409?comment_id=414993044238189&amp;reply_comment_id=370234735642503</v>
      </c>
      <c r="O4773">
        <v>0</v>
      </c>
      <c r="P4773">
        <v>0</v>
      </c>
      <c r="Q4773">
        <v>0</v>
      </c>
      <c r="S4773">
        <v>0</v>
      </c>
      <c r="T4773">
        <v>0</v>
      </c>
      <c r="U4773">
        <v>0</v>
      </c>
      <c r="W4773" t="s">
        <v>62</v>
      </c>
    </row>
    <row r="4774" spans="1:42" x14ac:dyDescent="0.35">
      <c r="A4774" t="s">
        <v>45</v>
      </c>
      <c r="B4774" t="s">
        <v>10762</v>
      </c>
      <c r="C4774" t="s">
        <v>139</v>
      </c>
      <c r="D4774" t="s">
        <v>1942</v>
      </c>
      <c r="E4774" t="s">
        <v>1943</v>
      </c>
      <c r="F4774" t="s">
        <v>142</v>
      </c>
      <c r="G4774" t="s">
        <v>10784</v>
      </c>
      <c r="H4774" t="s">
        <v>10785</v>
      </c>
      <c r="J4774" t="str">
        <f>HYPERLINK("https://twitter.com/RAOSAHIL50/status/1749429838484791745","https://twitter.com/RAOSAHIL50/status/1749429838484791745")</f>
        <v>https://twitter.com/RAOSAHIL50/status/1749429838484791745</v>
      </c>
      <c r="K4774" t="s">
        <v>145</v>
      </c>
      <c r="O4774">
        <v>0</v>
      </c>
      <c r="P4774">
        <v>0</v>
      </c>
      <c r="Q4774">
        <v>36</v>
      </c>
      <c r="R4774" t="s">
        <v>1946</v>
      </c>
      <c r="S4774">
        <v>0</v>
      </c>
      <c r="T4774">
        <v>0</v>
      </c>
      <c r="U4774">
        <v>0</v>
      </c>
      <c r="W4774" t="s">
        <v>552</v>
      </c>
      <c r="AP4774" t="s">
        <v>147</v>
      </c>
    </row>
    <row r="4775" spans="1:42" x14ac:dyDescent="0.35">
      <c r="A4775" t="s">
        <v>45</v>
      </c>
      <c r="B4775" t="s">
        <v>10762</v>
      </c>
      <c r="C4775" t="s">
        <v>139</v>
      </c>
      <c r="D4775" t="s">
        <v>1942</v>
      </c>
      <c r="E4775" t="s">
        <v>1943</v>
      </c>
      <c r="F4775" t="s">
        <v>49</v>
      </c>
      <c r="G4775" t="s">
        <v>10786</v>
      </c>
      <c r="H4775" t="s">
        <v>10787</v>
      </c>
      <c r="J4775" t="str">
        <f>HYPERLINK("https://twitter.com/RAOSAHIL50/status/1749428712607559910","https://twitter.com/RAOSAHIL50/status/1749428712607559910")</f>
        <v>https://twitter.com/RAOSAHIL50/status/1749428712607559910</v>
      </c>
      <c r="K4775" t="s">
        <v>145</v>
      </c>
      <c r="O4775">
        <v>0</v>
      </c>
      <c r="P4775">
        <v>0</v>
      </c>
      <c r="Q4775">
        <v>36</v>
      </c>
      <c r="R4775" t="s">
        <v>1946</v>
      </c>
      <c r="S4775">
        <v>0</v>
      </c>
      <c r="T4775">
        <v>0</v>
      </c>
      <c r="U4775">
        <v>0</v>
      </c>
      <c r="W4775" t="s">
        <v>552</v>
      </c>
    </row>
    <row r="4776" spans="1:42" x14ac:dyDescent="0.35">
      <c r="A4776" t="s">
        <v>45</v>
      </c>
      <c r="B4776" t="s">
        <v>10762</v>
      </c>
      <c r="C4776" t="s">
        <v>139</v>
      </c>
      <c r="D4776" t="s">
        <v>1942</v>
      </c>
      <c r="E4776" t="s">
        <v>1943</v>
      </c>
      <c r="F4776" t="s">
        <v>49</v>
      </c>
      <c r="G4776" t="s">
        <v>10788</v>
      </c>
      <c r="H4776" t="s">
        <v>10789</v>
      </c>
      <c r="J4776" t="str">
        <f>HYPERLINK("https://twitter.com/RAOSAHIL50/status/1749428680945021283","https://twitter.com/RAOSAHIL50/status/1749428680945021283")</f>
        <v>https://twitter.com/RAOSAHIL50/status/1749428680945021283</v>
      </c>
      <c r="K4776" t="s">
        <v>145</v>
      </c>
      <c r="O4776">
        <v>0</v>
      </c>
      <c r="P4776">
        <v>0</v>
      </c>
      <c r="Q4776">
        <v>36</v>
      </c>
      <c r="R4776" t="s">
        <v>1946</v>
      </c>
      <c r="S4776">
        <v>0</v>
      </c>
      <c r="T4776">
        <v>0</v>
      </c>
      <c r="U4776">
        <v>0</v>
      </c>
      <c r="W4776" t="s">
        <v>146</v>
      </c>
    </row>
    <row r="4777" spans="1:42" x14ac:dyDescent="0.35">
      <c r="A4777" t="s">
        <v>45</v>
      </c>
      <c r="B4777" t="s">
        <v>10762</v>
      </c>
      <c r="C4777" t="s">
        <v>47</v>
      </c>
      <c r="D4777" t="s">
        <v>10790</v>
      </c>
      <c r="E4777" t="s">
        <v>10790</v>
      </c>
      <c r="F4777" t="s">
        <v>49</v>
      </c>
      <c r="G4777" t="s">
        <v>10791</v>
      </c>
      <c r="H4777" t="s">
        <v>10792</v>
      </c>
      <c r="J4777" t="str">
        <f>HYPERLINK("https://www.facebook.com/454965103328545/posts/757813099710409?comment_id=414993044238189","https://www.facebook.com/454965103328545/posts/757813099710409?comment_id=414993044238189")</f>
        <v>https://www.facebook.com/454965103328545/posts/757813099710409?comment_id=414993044238189</v>
      </c>
      <c r="O4777">
        <v>0</v>
      </c>
      <c r="P4777">
        <v>0</v>
      </c>
      <c r="Q4777">
        <v>0</v>
      </c>
      <c r="S4777">
        <v>0</v>
      </c>
      <c r="T4777">
        <v>0</v>
      </c>
      <c r="U4777">
        <v>0</v>
      </c>
      <c r="W4777" t="s">
        <v>62</v>
      </c>
    </row>
    <row r="4778" spans="1:42" x14ac:dyDescent="0.35">
      <c r="A4778" t="s">
        <v>45</v>
      </c>
      <c r="B4778" t="s">
        <v>10762</v>
      </c>
      <c r="C4778" t="s">
        <v>139</v>
      </c>
      <c r="D4778" t="s">
        <v>10793</v>
      </c>
      <c r="E4778" t="s">
        <v>10794</v>
      </c>
      <c r="F4778" t="s">
        <v>49</v>
      </c>
      <c r="G4778" t="s">
        <v>10795</v>
      </c>
      <c r="H4778" t="s">
        <v>10796</v>
      </c>
      <c r="J4778" t="str">
        <f>HYPERLINK("https://twitter.com/MWilliam5291354/status/1749420569617948873","https://twitter.com/MWilliam5291354/status/1749420569617948873")</f>
        <v>https://twitter.com/MWilliam5291354/status/1749420569617948873</v>
      </c>
      <c r="O4778">
        <v>0</v>
      </c>
      <c r="P4778">
        <v>0</v>
      </c>
      <c r="Q4778">
        <v>0</v>
      </c>
      <c r="S4778">
        <v>0</v>
      </c>
      <c r="T4778">
        <v>0</v>
      </c>
      <c r="U4778">
        <v>0</v>
      </c>
      <c r="W4778" t="s">
        <v>146</v>
      </c>
    </row>
    <row r="4779" spans="1:42" x14ac:dyDescent="0.35">
      <c r="A4779" t="s">
        <v>45</v>
      </c>
      <c r="B4779" t="s">
        <v>10762</v>
      </c>
      <c r="C4779" t="s">
        <v>47</v>
      </c>
      <c r="D4779" t="s">
        <v>10797</v>
      </c>
      <c r="E4779" t="s">
        <v>10797</v>
      </c>
      <c r="F4779" t="s">
        <v>142</v>
      </c>
      <c r="G4779" t="s">
        <v>10798</v>
      </c>
      <c r="H4779" t="s">
        <v>10799</v>
      </c>
      <c r="J4779" t="str">
        <f>HYPERLINK("https://www.facebook.com/454965103328545/posts/750007137157672?comment_id=398326512759052","https://www.facebook.com/454965103328545/posts/750007137157672?comment_id=398326512759052")</f>
        <v>https://www.facebook.com/454965103328545/posts/750007137157672?comment_id=398326512759052</v>
      </c>
      <c r="O4779">
        <v>0</v>
      </c>
      <c r="P4779">
        <v>0</v>
      </c>
      <c r="Q4779">
        <v>0</v>
      </c>
      <c r="S4779">
        <v>0</v>
      </c>
      <c r="T4779">
        <v>0</v>
      </c>
      <c r="U4779">
        <v>0</v>
      </c>
      <c r="W4779" t="s">
        <v>62</v>
      </c>
    </row>
    <row r="4780" spans="1:42" x14ac:dyDescent="0.35">
      <c r="A4780" t="s">
        <v>45</v>
      </c>
      <c r="B4780" t="s">
        <v>10762</v>
      </c>
      <c r="C4780" t="s">
        <v>47</v>
      </c>
      <c r="D4780" t="s">
        <v>163</v>
      </c>
      <c r="E4780" t="s">
        <v>163</v>
      </c>
      <c r="F4780" t="s">
        <v>49</v>
      </c>
      <c r="G4780" t="s">
        <v>10800</v>
      </c>
      <c r="H4780" t="s">
        <v>10801</v>
      </c>
      <c r="J4780" t="str">
        <f>HYPERLINK("https://www.facebook.com/454965103328545/posts/750007137157672?comment_id=405731985135432&amp;reply_comment_id=317513544026952","https://www.facebook.com/454965103328545/posts/750007137157672?comment_id=405731985135432&amp;reply_comment_id=317513544026952")</f>
        <v>https://www.facebook.com/454965103328545/posts/750007137157672?comment_id=405731985135432&amp;reply_comment_id=317513544026952</v>
      </c>
      <c r="O4780">
        <v>0</v>
      </c>
      <c r="P4780">
        <v>0</v>
      </c>
      <c r="Q4780">
        <v>0</v>
      </c>
      <c r="S4780">
        <v>0</v>
      </c>
      <c r="T4780">
        <v>0</v>
      </c>
      <c r="U4780">
        <v>0</v>
      </c>
      <c r="W4780" t="s">
        <v>62</v>
      </c>
    </row>
    <row r="4781" spans="1:42" x14ac:dyDescent="0.35">
      <c r="A4781" t="s">
        <v>45</v>
      </c>
      <c r="B4781" t="s">
        <v>10762</v>
      </c>
      <c r="C4781" t="s">
        <v>47</v>
      </c>
      <c r="D4781" t="s">
        <v>163</v>
      </c>
      <c r="E4781" t="s">
        <v>163</v>
      </c>
      <c r="F4781" t="s">
        <v>49</v>
      </c>
      <c r="G4781" t="s">
        <v>10802</v>
      </c>
      <c r="H4781" t="s">
        <v>10803</v>
      </c>
      <c r="J4781" t="str">
        <f>HYPERLINK("https://www.facebook.com/454965103328545/posts/750007137157672?comment_id=405731985135432&amp;reply_comment_id=2232075873850468","https://www.facebook.com/454965103328545/posts/750007137157672?comment_id=405731985135432&amp;reply_comment_id=2232075873850468")</f>
        <v>https://www.facebook.com/454965103328545/posts/750007137157672?comment_id=405731985135432&amp;reply_comment_id=2232075873850468</v>
      </c>
      <c r="O4781">
        <v>0</v>
      </c>
      <c r="P4781">
        <v>0</v>
      </c>
      <c r="Q4781">
        <v>0</v>
      </c>
      <c r="S4781">
        <v>0</v>
      </c>
      <c r="T4781">
        <v>0</v>
      </c>
      <c r="U4781">
        <v>0</v>
      </c>
      <c r="W4781" t="s">
        <v>62</v>
      </c>
    </row>
    <row r="4782" spans="1:42" x14ac:dyDescent="0.35">
      <c r="A4782" t="s">
        <v>45</v>
      </c>
      <c r="B4782" t="s">
        <v>10762</v>
      </c>
      <c r="C4782" t="s">
        <v>47</v>
      </c>
      <c r="D4782" t="s">
        <v>10804</v>
      </c>
      <c r="E4782" t="s">
        <v>10804</v>
      </c>
      <c r="F4782" t="s">
        <v>49</v>
      </c>
      <c r="G4782" t="s">
        <v>10805</v>
      </c>
      <c r="H4782" t="s">
        <v>10806</v>
      </c>
      <c r="J4782" t="str">
        <f>HYPERLINK("https://www.facebook.com/454965103328545/posts/757813099710409?comment_id=750140037031316","https://www.facebook.com/454965103328545/posts/757813099710409?comment_id=750140037031316")</f>
        <v>https://www.facebook.com/454965103328545/posts/757813099710409?comment_id=750140037031316</v>
      </c>
      <c r="O4782">
        <v>0</v>
      </c>
      <c r="P4782">
        <v>0</v>
      </c>
      <c r="Q4782">
        <v>0</v>
      </c>
      <c r="S4782">
        <v>0</v>
      </c>
      <c r="T4782">
        <v>0</v>
      </c>
      <c r="U4782">
        <v>0</v>
      </c>
      <c r="W4782" t="s">
        <v>62</v>
      </c>
    </row>
    <row r="4783" spans="1:42" x14ac:dyDescent="0.35">
      <c r="A4783" t="s">
        <v>45</v>
      </c>
      <c r="B4783" t="s">
        <v>10762</v>
      </c>
      <c r="C4783" t="s">
        <v>139</v>
      </c>
      <c r="D4783" t="s">
        <v>10732</v>
      </c>
      <c r="E4783" t="s">
        <v>4327</v>
      </c>
      <c r="F4783" t="s">
        <v>142</v>
      </c>
      <c r="G4783" t="s">
        <v>10807</v>
      </c>
      <c r="H4783" t="s">
        <v>10808</v>
      </c>
      <c r="J4783" t="str">
        <f>HYPERLINK("https://twitter.com/Amitkr010Ak/status/1749372789516365981","https://twitter.com/Amitkr010Ak/status/1749372789516365981")</f>
        <v>https://twitter.com/Amitkr010Ak/status/1749372789516365981</v>
      </c>
      <c r="K4783" t="s">
        <v>145</v>
      </c>
      <c r="O4783">
        <v>0</v>
      </c>
      <c r="P4783">
        <v>0</v>
      </c>
      <c r="Q4783">
        <v>0</v>
      </c>
      <c r="S4783">
        <v>0</v>
      </c>
      <c r="T4783">
        <v>0</v>
      </c>
      <c r="U4783">
        <v>0</v>
      </c>
      <c r="W4783" t="s">
        <v>146</v>
      </c>
      <c r="AP4783" t="s">
        <v>147</v>
      </c>
    </row>
    <row r="4784" spans="1:42" x14ac:dyDescent="0.35">
      <c r="A4784" t="s">
        <v>45</v>
      </c>
      <c r="B4784" t="s">
        <v>10762</v>
      </c>
      <c r="C4784" t="s">
        <v>47</v>
      </c>
      <c r="D4784" t="s">
        <v>10809</v>
      </c>
      <c r="E4784" t="s">
        <v>10809</v>
      </c>
      <c r="F4784" t="s">
        <v>49</v>
      </c>
      <c r="G4784" t="s">
        <v>10810</v>
      </c>
      <c r="H4784" t="s">
        <v>10811</v>
      </c>
      <c r="J4784" t="str">
        <f>HYPERLINK("https://www.facebook.com/454965103328545/posts/750007137157672?comment_id=405731985135432&amp;reply_comment_id=1423562558239322","https://www.facebook.com/454965103328545/posts/750007137157672?comment_id=405731985135432&amp;reply_comment_id=1423562558239322")</f>
        <v>https://www.facebook.com/454965103328545/posts/750007137157672?comment_id=405731985135432&amp;reply_comment_id=1423562558239322</v>
      </c>
      <c r="O4784">
        <v>0</v>
      </c>
      <c r="P4784">
        <v>0</v>
      </c>
      <c r="Q4784">
        <v>0</v>
      </c>
      <c r="S4784">
        <v>0</v>
      </c>
      <c r="T4784">
        <v>0</v>
      </c>
      <c r="U4784">
        <v>0</v>
      </c>
      <c r="W4784" t="s">
        <v>62</v>
      </c>
    </row>
    <row r="4785" spans="1:42" x14ac:dyDescent="0.35">
      <c r="A4785" t="s">
        <v>45</v>
      </c>
      <c r="B4785" t="s">
        <v>10762</v>
      </c>
      <c r="C4785" t="s">
        <v>139</v>
      </c>
      <c r="D4785" t="s">
        <v>190</v>
      </c>
      <c r="E4785" t="s">
        <v>45</v>
      </c>
      <c r="F4785" t="s">
        <v>49</v>
      </c>
      <c r="G4785" t="s">
        <v>10786</v>
      </c>
      <c r="H4785" t="s">
        <v>10812</v>
      </c>
      <c r="J4785" t="str">
        <f>HYPERLINK("https://twitter.com/FinoPaymntsBank/status/1749362747073069097","https://twitter.com/FinoPaymntsBank/status/1749362747073069097")</f>
        <v>https://twitter.com/FinoPaymntsBank/status/1749362747073069097</v>
      </c>
      <c r="K4785" t="s">
        <v>145</v>
      </c>
      <c r="O4785">
        <v>0</v>
      </c>
      <c r="P4785">
        <v>0</v>
      </c>
      <c r="Q4785">
        <v>8324</v>
      </c>
      <c r="R4785" t="s">
        <v>193</v>
      </c>
      <c r="S4785">
        <v>0</v>
      </c>
      <c r="T4785">
        <v>0</v>
      </c>
      <c r="U4785">
        <v>0</v>
      </c>
      <c r="W4785" t="s">
        <v>146</v>
      </c>
    </row>
    <row r="4786" spans="1:42" x14ac:dyDescent="0.35">
      <c r="A4786" t="s">
        <v>45</v>
      </c>
      <c r="B4786" t="s">
        <v>10762</v>
      </c>
      <c r="C4786" t="s">
        <v>63</v>
      </c>
      <c r="D4786" t="s">
        <v>186</v>
      </c>
      <c r="E4786" t="s">
        <v>186</v>
      </c>
      <c r="F4786" t="s">
        <v>49</v>
      </c>
      <c r="G4786" t="s">
        <v>10813</v>
      </c>
      <c r="H4786" t="s">
        <v>10814</v>
      </c>
      <c r="J4786" t="str">
        <f>HYPERLINK("https://www.instagram.com/p/C2Zb7eiKduN/","https://www.instagram.com/p/C2Zb7eiKduN/")</f>
        <v>https://www.instagram.com/p/C2Zb7eiKduN/</v>
      </c>
      <c r="O4786">
        <v>0</v>
      </c>
      <c r="P4786">
        <v>0</v>
      </c>
      <c r="Q4786">
        <v>0</v>
      </c>
      <c r="S4786">
        <v>2</v>
      </c>
      <c r="T4786">
        <v>190</v>
      </c>
      <c r="U4786">
        <v>0</v>
      </c>
      <c r="W4786" t="s">
        <v>106</v>
      </c>
    </row>
    <row r="4787" spans="1:42" x14ac:dyDescent="0.35">
      <c r="A4787" t="s">
        <v>45</v>
      </c>
      <c r="B4787" t="s">
        <v>10762</v>
      </c>
      <c r="C4787" t="s">
        <v>47</v>
      </c>
      <c r="D4787" t="s">
        <v>45</v>
      </c>
      <c r="E4787" t="s">
        <v>45</v>
      </c>
      <c r="F4787" t="s">
        <v>49</v>
      </c>
      <c r="G4787" t="s">
        <v>10813</v>
      </c>
      <c r="H4787" t="s">
        <v>10815</v>
      </c>
      <c r="J4787" t="str">
        <f>HYPERLINK("https://www.facebook.com/357267201017935_757813099710409","https://www.facebook.com/357267201017935_757813099710409")</f>
        <v>https://www.facebook.com/357267201017935_757813099710409</v>
      </c>
      <c r="O4787">
        <v>0</v>
      </c>
      <c r="P4787">
        <v>0</v>
      </c>
      <c r="Q4787">
        <v>0</v>
      </c>
      <c r="S4787">
        <v>9</v>
      </c>
      <c r="T4787">
        <v>130</v>
      </c>
      <c r="U4787">
        <v>11</v>
      </c>
      <c r="W4787" t="s">
        <v>106</v>
      </c>
    </row>
    <row r="4788" spans="1:42" x14ac:dyDescent="0.35">
      <c r="A4788" t="s">
        <v>45</v>
      </c>
      <c r="B4788" t="s">
        <v>10762</v>
      </c>
      <c r="C4788" t="s">
        <v>47</v>
      </c>
      <c r="D4788" t="s">
        <v>10816</v>
      </c>
      <c r="E4788" t="s">
        <v>10816</v>
      </c>
      <c r="F4788" t="s">
        <v>49</v>
      </c>
      <c r="G4788" t="s">
        <v>10817</v>
      </c>
      <c r="H4788" t="s">
        <v>10818</v>
      </c>
      <c r="J4788" t="str">
        <f>HYPERLINK("https://www.facebook.com/454965103328545/posts/750007137157672?comment_id=405731985135432&amp;reply_comment_id=3331924017107874","https://www.facebook.com/454965103328545/posts/750007137157672?comment_id=405731985135432&amp;reply_comment_id=3331924017107874")</f>
        <v>https://www.facebook.com/454965103328545/posts/750007137157672?comment_id=405731985135432&amp;reply_comment_id=3331924017107874</v>
      </c>
      <c r="O4788">
        <v>0</v>
      </c>
      <c r="P4788">
        <v>0</v>
      </c>
      <c r="Q4788">
        <v>0</v>
      </c>
      <c r="S4788">
        <v>0</v>
      </c>
      <c r="T4788">
        <v>0</v>
      </c>
      <c r="U4788">
        <v>0</v>
      </c>
      <c r="W4788" t="s">
        <v>62</v>
      </c>
    </row>
    <row r="4789" spans="1:42" x14ac:dyDescent="0.35">
      <c r="A4789" t="s">
        <v>45</v>
      </c>
      <c r="B4789" t="s">
        <v>10762</v>
      </c>
      <c r="C4789" t="s">
        <v>47</v>
      </c>
      <c r="D4789" t="s">
        <v>10819</v>
      </c>
      <c r="E4789" t="s">
        <v>10819</v>
      </c>
      <c r="F4789" t="s">
        <v>49</v>
      </c>
      <c r="G4789" t="s">
        <v>10820</v>
      </c>
      <c r="H4789" t="s">
        <v>10821</v>
      </c>
      <c r="J4789" t="str">
        <f>HYPERLINK("https://www.facebook.com/454965103328545/posts/750007137157672?comment_id=405731985135432&amp;reply_comment_id=750037579985012","https://www.facebook.com/454965103328545/posts/750007137157672?comment_id=405731985135432&amp;reply_comment_id=750037579985012")</f>
        <v>https://www.facebook.com/454965103328545/posts/750007137157672?comment_id=405731985135432&amp;reply_comment_id=750037579985012</v>
      </c>
      <c r="O4789">
        <v>0</v>
      </c>
      <c r="P4789">
        <v>0</v>
      </c>
      <c r="Q4789">
        <v>0</v>
      </c>
      <c r="S4789">
        <v>0</v>
      </c>
      <c r="T4789">
        <v>0</v>
      </c>
      <c r="U4789">
        <v>0</v>
      </c>
      <c r="W4789" t="s">
        <v>62</v>
      </c>
    </row>
    <row r="4790" spans="1:42" x14ac:dyDescent="0.35">
      <c r="A4790" t="s">
        <v>45</v>
      </c>
      <c r="B4790" t="s">
        <v>10762</v>
      </c>
      <c r="C4790" t="s">
        <v>47</v>
      </c>
      <c r="D4790" t="s">
        <v>10809</v>
      </c>
      <c r="E4790" t="s">
        <v>10809</v>
      </c>
      <c r="F4790" t="s">
        <v>49</v>
      </c>
      <c r="G4790" t="s">
        <v>10822</v>
      </c>
      <c r="H4790" t="s">
        <v>10823</v>
      </c>
      <c r="J4790" t="str">
        <f>HYPERLINK("https://www.facebook.com/454965103328545/posts/750007137157672?comment_id=2218874705128678","https://www.facebook.com/454965103328545/posts/750007137157672?comment_id=2218874705128678")</f>
        <v>https://www.facebook.com/454965103328545/posts/750007137157672?comment_id=2218874705128678</v>
      </c>
      <c r="O4790">
        <v>0</v>
      </c>
      <c r="P4790">
        <v>0</v>
      </c>
      <c r="Q4790">
        <v>0</v>
      </c>
      <c r="S4790">
        <v>0</v>
      </c>
      <c r="T4790">
        <v>0</v>
      </c>
      <c r="U4790">
        <v>0</v>
      </c>
      <c r="W4790" t="s">
        <v>62</v>
      </c>
    </row>
    <row r="4791" spans="1:42" x14ac:dyDescent="0.35">
      <c r="A4791" t="s">
        <v>45</v>
      </c>
      <c r="B4791" t="s">
        <v>10762</v>
      </c>
      <c r="C4791" t="s">
        <v>47</v>
      </c>
      <c r="D4791" t="s">
        <v>10809</v>
      </c>
      <c r="E4791" t="s">
        <v>10809</v>
      </c>
      <c r="F4791" t="s">
        <v>49</v>
      </c>
      <c r="G4791" t="s">
        <v>10824</v>
      </c>
      <c r="H4791" t="s">
        <v>10825</v>
      </c>
      <c r="J4791" t="str">
        <f>HYPERLINK("https://www.facebook.com/454965103328545/posts/750007137157672?comment_id=405731985135432&amp;reply_comment_id=1118800869138774","https://www.facebook.com/454965103328545/posts/750007137157672?comment_id=405731985135432&amp;reply_comment_id=1118800869138774")</f>
        <v>https://www.facebook.com/454965103328545/posts/750007137157672?comment_id=405731985135432&amp;reply_comment_id=1118800869138774</v>
      </c>
      <c r="O4791">
        <v>0</v>
      </c>
      <c r="P4791">
        <v>0</v>
      </c>
      <c r="Q4791">
        <v>0</v>
      </c>
      <c r="S4791">
        <v>0</v>
      </c>
      <c r="T4791">
        <v>0</v>
      </c>
      <c r="U4791">
        <v>0</v>
      </c>
      <c r="W4791" t="s">
        <v>62</v>
      </c>
    </row>
    <row r="4792" spans="1:42" x14ac:dyDescent="0.35">
      <c r="A4792" t="s">
        <v>45</v>
      </c>
      <c r="B4792" t="s">
        <v>10762</v>
      </c>
      <c r="C4792" t="s">
        <v>47</v>
      </c>
      <c r="D4792" t="s">
        <v>10826</v>
      </c>
      <c r="E4792" t="s">
        <v>10826</v>
      </c>
      <c r="F4792" t="s">
        <v>49</v>
      </c>
      <c r="G4792" t="s">
        <v>10827</v>
      </c>
      <c r="H4792" t="s">
        <v>10828</v>
      </c>
      <c r="J4792" t="str">
        <f>HYPERLINK("https://www.facebook.com/357267201017935/inbox/6948202315257691/","https://www.facebook.com/357267201017935/inbox/6948202315257691/")</f>
        <v>https://www.facebook.com/357267201017935/inbox/6948202315257691/</v>
      </c>
      <c r="O4792">
        <v>0</v>
      </c>
      <c r="P4792">
        <v>0</v>
      </c>
      <c r="Q4792">
        <v>0</v>
      </c>
      <c r="S4792">
        <v>0</v>
      </c>
      <c r="T4792">
        <v>0</v>
      </c>
      <c r="U4792">
        <v>0</v>
      </c>
      <c r="W4792" t="s">
        <v>52</v>
      </c>
    </row>
    <row r="4793" spans="1:42" x14ac:dyDescent="0.35">
      <c r="A4793" t="s">
        <v>45</v>
      </c>
      <c r="B4793" t="s">
        <v>10762</v>
      </c>
      <c r="C4793" t="s">
        <v>58</v>
      </c>
      <c r="D4793" t="s">
        <v>10829</v>
      </c>
      <c r="E4793" t="s">
        <v>10829</v>
      </c>
      <c r="F4793" t="s">
        <v>49</v>
      </c>
      <c r="G4793" t="s">
        <v>10830</v>
      </c>
      <c r="H4793" t="s">
        <v>10831</v>
      </c>
      <c r="J4793" t="str">
        <f>HYPERLINK("https://www.youtube.com/watch?v=h0bepiiaMS8&amp;lc=Ugw3DHlFW4vOJIsxKfJ4AaABAg.9ytzC7mw09z9zreEJnjLLk","https://www.youtube.com/watch?v=h0bepiiaMS8&amp;lc=Ugw3DHlFW4vOJIsxKfJ4AaABAg.9ytzC7mw09z9zreEJnjLLk")</f>
        <v>https://www.youtube.com/watch?v=h0bepiiaMS8&amp;lc=Ugw3DHlFW4vOJIsxKfJ4AaABAg.9ytzC7mw09z9zreEJnjLLk</v>
      </c>
      <c r="O4793">
        <v>0</v>
      </c>
      <c r="P4793">
        <v>0</v>
      </c>
      <c r="Q4793">
        <v>0</v>
      </c>
      <c r="S4793">
        <v>0</v>
      </c>
      <c r="T4793">
        <v>0</v>
      </c>
      <c r="U4793">
        <v>0</v>
      </c>
      <c r="W4793" t="s">
        <v>62</v>
      </c>
    </row>
    <row r="4794" spans="1:42" x14ac:dyDescent="0.35">
      <c r="A4794" t="s">
        <v>45</v>
      </c>
      <c r="B4794" t="s">
        <v>10762</v>
      </c>
      <c r="C4794" t="s">
        <v>58</v>
      </c>
      <c r="D4794" t="s">
        <v>10645</v>
      </c>
      <c r="E4794" t="s">
        <v>10645</v>
      </c>
      <c r="F4794" t="s">
        <v>49</v>
      </c>
      <c r="G4794" t="s">
        <v>10832</v>
      </c>
      <c r="H4794" t="s">
        <v>10833</v>
      </c>
      <c r="J4794" t="str">
        <f>HYPERLINK("https://www.youtube.com/watch?v=KcGS_SDp0fk","https://www.youtube.com/watch?v=KcGS_SDp0fk")</f>
        <v>https://www.youtube.com/watch?v=KcGS_SDp0fk</v>
      </c>
      <c r="O4794">
        <v>0</v>
      </c>
      <c r="P4794">
        <v>0</v>
      </c>
      <c r="Q4794">
        <v>0</v>
      </c>
      <c r="S4794">
        <v>0</v>
      </c>
      <c r="T4794">
        <v>0</v>
      </c>
      <c r="U4794">
        <v>0</v>
      </c>
      <c r="W4794" t="s">
        <v>106</v>
      </c>
    </row>
    <row r="4795" spans="1:42" x14ac:dyDescent="0.35">
      <c r="A4795" t="s">
        <v>45</v>
      </c>
      <c r="B4795" t="s">
        <v>10762</v>
      </c>
      <c r="C4795" t="s">
        <v>47</v>
      </c>
      <c r="D4795" t="s">
        <v>10834</v>
      </c>
      <c r="E4795" t="s">
        <v>10834</v>
      </c>
      <c r="F4795" t="s">
        <v>49</v>
      </c>
      <c r="G4795" t="s">
        <v>10835</v>
      </c>
      <c r="H4795" t="s">
        <v>10836</v>
      </c>
      <c r="J4795" t="str">
        <f>HYPERLINK("https://www.facebook.com/357267201017935/posts/3457673894310568/?comment_id=920818766220535","https://www.facebook.com/357267201017935/posts/3457673894310568/?comment_id=920818766220535")</f>
        <v>https://www.facebook.com/357267201017935/posts/3457673894310568/?comment_id=920818766220535</v>
      </c>
      <c r="O4795">
        <v>0</v>
      </c>
      <c r="P4795">
        <v>0</v>
      </c>
      <c r="Q4795">
        <v>0</v>
      </c>
      <c r="S4795">
        <v>0</v>
      </c>
      <c r="T4795">
        <v>0</v>
      </c>
      <c r="U4795">
        <v>0</v>
      </c>
      <c r="W4795" t="s">
        <v>62</v>
      </c>
    </row>
    <row r="4796" spans="1:42" x14ac:dyDescent="0.35">
      <c r="A4796" t="s">
        <v>45</v>
      </c>
      <c r="B4796" t="s">
        <v>10762</v>
      </c>
      <c r="C4796" t="s">
        <v>47</v>
      </c>
      <c r="D4796" t="s">
        <v>10837</v>
      </c>
      <c r="E4796" t="s">
        <v>10837</v>
      </c>
      <c r="F4796" t="s">
        <v>49</v>
      </c>
      <c r="G4796" t="s">
        <v>10838</v>
      </c>
      <c r="H4796" t="s">
        <v>10839</v>
      </c>
      <c r="J4796" t="str">
        <f>HYPERLINK("https://www.facebook.com/357267201017935/inbox/6947789808632275/","https://www.facebook.com/357267201017935/inbox/6947789808632275/")</f>
        <v>https://www.facebook.com/357267201017935/inbox/6947789808632275/</v>
      </c>
      <c r="O4796">
        <v>0</v>
      </c>
      <c r="P4796">
        <v>0</v>
      </c>
      <c r="Q4796">
        <v>0</v>
      </c>
      <c r="S4796">
        <v>0</v>
      </c>
      <c r="T4796">
        <v>0</v>
      </c>
      <c r="U4796">
        <v>0</v>
      </c>
      <c r="W4796" t="s">
        <v>52</v>
      </c>
    </row>
    <row r="4797" spans="1:42" x14ac:dyDescent="0.35">
      <c r="A4797" t="s">
        <v>45</v>
      </c>
      <c r="B4797" t="s">
        <v>10762</v>
      </c>
      <c r="C4797" t="s">
        <v>47</v>
      </c>
      <c r="D4797" t="s">
        <v>10837</v>
      </c>
      <c r="E4797" t="s">
        <v>10837</v>
      </c>
      <c r="F4797" t="s">
        <v>49</v>
      </c>
      <c r="G4797" t="s">
        <v>10840</v>
      </c>
      <c r="H4797" t="s">
        <v>10841</v>
      </c>
      <c r="J4797" t="str">
        <f>HYPERLINK("https://www.facebook.com/357267201017935/inbox/6947789808632275/","https://www.facebook.com/357267201017935/inbox/6947789808632275/")</f>
        <v>https://www.facebook.com/357267201017935/inbox/6947789808632275/</v>
      </c>
      <c r="O4797">
        <v>0</v>
      </c>
      <c r="P4797">
        <v>0</v>
      </c>
      <c r="Q4797">
        <v>0</v>
      </c>
      <c r="S4797">
        <v>0</v>
      </c>
      <c r="T4797">
        <v>0</v>
      </c>
      <c r="U4797">
        <v>0</v>
      </c>
      <c r="W4797" t="s">
        <v>52</v>
      </c>
      <c r="AP4797" t="s">
        <v>147</v>
      </c>
    </row>
    <row r="4798" spans="1:42" x14ac:dyDescent="0.35">
      <c r="A4798" t="s">
        <v>45</v>
      </c>
      <c r="B4798" t="s">
        <v>10762</v>
      </c>
      <c r="C4798" t="s">
        <v>47</v>
      </c>
      <c r="D4798" t="s">
        <v>10837</v>
      </c>
      <c r="E4798" t="s">
        <v>10837</v>
      </c>
      <c r="F4798" t="s">
        <v>49</v>
      </c>
      <c r="G4798" t="s">
        <v>10842</v>
      </c>
      <c r="H4798" t="s">
        <v>10843</v>
      </c>
      <c r="J4798" t="str">
        <f>HYPERLINK("https://www.facebook.com/357267201017935/inbox/6947789808632275/","https://www.facebook.com/357267201017935/inbox/6947789808632275/")</f>
        <v>https://www.facebook.com/357267201017935/inbox/6947789808632275/</v>
      </c>
      <c r="O4798">
        <v>0</v>
      </c>
      <c r="P4798">
        <v>0</v>
      </c>
      <c r="Q4798">
        <v>0</v>
      </c>
      <c r="S4798">
        <v>0</v>
      </c>
      <c r="T4798">
        <v>0</v>
      </c>
      <c r="U4798">
        <v>0</v>
      </c>
      <c r="W4798" t="s">
        <v>52</v>
      </c>
    </row>
    <row r="4799" spans="1:42" x14ac:dyDescent="0.35">
      <c r="A4799" t="s">
        <v>45</v>
      </c>
      <c r="B4799" t="s">
        <v>10762</v>
      </c>
      <c r="C4799" t="s">
        <v>47</v>
      </c>
      <c r="D4799" t="s">
        <v>10837</v>
      </c>
      <c r="E4799" t="s">
        <v>10837</v>
      </c>
      <c r="F4799" t="s">
        <v>49</v>
      </c>
      <c r="G4799" t="s">
        <v>10844</v>
      </c>
      <c r="H4799" t="s">
        <v>10845</v>
      </c>
      <c r="J4799" t="str">
        <f>HYPERLINK("https://www.facebook.com/357267201017935/inbox/6947789808632275/","https://www.facebook.com/357267201017935/inbox/6947789808632275/")</f>
        <v>https://www.facebook.com/357267201017935/inbox/6947789808632275/</v>
      </c>
      <c r="O4799">
        <v>0</v>
      </c>
      <c r="P4799">
        <v>0</v>
      </c>
      <c r="Q4799">
        <v>0</v>
      </c>
      <c r="S4799">
        <v>0</v>
      </c>
      <c r="T4799">
        <v>0</v>
      </c>
      <c r="U4799">
        <v>0</v>
      </c>
      <c r="W4799" t="s">
        <v>52</v>
      </c>
    </row>
    <row r="4800" spans="1:42" x14ac:dyDescent="0.35">
      <c r="A4800" t="s">
        <v>45</v>
      </c>
      <c r="B4800" t="s">
        <v>10762</v>
      </c>
      <c r="C4800" t="s">
        <v>58</v>
      </c>
      <c r="D4800" t="s">
        <v>10846</v>
      </c>
      <c r="E4800" t="s">
        <v>10846</v>
      </c>
      <c r="F4800" t="s">
        <v>49</v>
      </c>
      <c r="G4800" t="s">
        <v>10847</v>
      </c>
      <c r="H4800" t="s">
        <v>10848</v>
      </c>
      <c r="J4800" t="str">
        <f>HYPERLINK("https://www.youtube.com/watch?v=97wikmu5GJs","https://www.youtube.com/watch?v=97wikmu5GJs")</f>
        <v>https://www.youtube.com/watch?v=97wikmu5GJs</v>
      </c>
      <c r="O4800">
        <v>0</v>
      </c>
      <c r="P4800">
        <v>0</v>
      </c>
      <c r="Q4800">
        <v>0</v>
      </c>
      <c r="S4800">
        <v>0</v>
      </c>
      <c r="T4800">
        <v>0</v>
      </c>
      <c r="U4800">
        <v>0</v>
      </c>
      <c r="W4800" t="s">
        <v>106</v>
      </c>
    </row>
    <row r="4801" spans="1:42" x14ac:dyDescent="0.35">
      <c r="A4801" t="s">
        <v>45</v>
      </c>
      <c r="B4801" t="s">
        <v>10762</v>
      </c>
      <c r="C4801" t="s">
        <v>47</v>
      </c>
      <c r="D4801" t="s">
        <v>10849</v>
      </c>
      <c r="E4801" t="s">
        <v>10849</v>
      </c>
      <c r="F4801" t="s">
        <v>49</v>
      </c>
      <c r="G4801" t="s">
        <v>10850</v>
      </c>
      <c r="H4801" t="s">
        <v>10851</v>
      </c>
      <c r="J4801" t="str">
        <f>HYPERLINK("https://www.facebook.com/454965103328545/posts/490024586489263?comment_id=320436224174415&amp;reply_comment_id=1460457524501356","https://www.facebook.com/454965103328545/posts/490024586489263?comment_id=320436224174415&amp;reply_comment_id=1460457524501356")</f>
        <v>https://www.facebook.com/454965103328545/posts/490024586489263?comment_id=320436224174415&amp;reply_comment_id=1460457524501356</v>
      </c>
      <c r="O4801">
        <v>0</v>
      </c>
      <c r="P4801">
        <v>0</v>
      </c>
      <c r="Q4801">
        <v>0</v>
      </c>
      <c r="S4801">
        <v>0</v>
      </c>
      <c r="T4801">
        <v>0</v>
      </c>
      <c r="U4801">
        <v>0</v>
      </c>
      <c r="W4801" t="s">
        <v>62</v>
      </c>
    </row>
    <row r="4802" spans="1:42" x14ac:dyDescent="0.35">
      <c r="A4802" t="s">
        <v>45</v>
      </c>
      <c r="B4802" t="s">
        <v>10852</v>
      </c>
      <c r="C4802" t="s">
        <v>47</v>
      </c>
      <c r="D4802" t="s">
        <v>10853</v>
      </c>
      <c r="E4802" t="s">
        <v>10853</v>
      </c>
      <c r="F4802" t="s">
        <v>49</v>
      </c>
      <c r="G4802" t="s">
        <v>56</v>
      </c>
      <c r="H4802" t="s">
        <v>10854</v>
      </c>
      <c r="J4802" t="str">
        <f>HYPERLINK("https://www.facebook.com/357267201017935/inbox/6946402752104314/","https://www.facebook.com/357267201017935/inbox/6946402752104314/")</f>
        <v>https://www.facebook.com/357267201017935/inbox/6946402752104314/</v>
      </c>
      <c r="O4802">
        <v>0</v>
      </c>
      <c r="P4802">
        <v>0</v>
      </c>
      <c r="Q4802">
        <v>0</v>
      </c>
      <c r="S4802">
        <v>0</v>
      </c>
      <c r="T4802">
        <v>0</v>
      </c>
      <c r="U4802">
        <v>0</v>
      </c>
      <c r="W4802" t="s">
        <v>52</v>
      </c>
    </row>
    <row r="4803" spans="1:42" x14ac:dyDescent="0.35">
      <c r="A4803" t="s">
        <v>45</v>
      </c>
      <c r="B4803" t="s">
        <v>10852</v>
      </c>
      <c r="C4803" t="s">
        <v>47</v>
      </c>
      <c r="D4803" t="s">
        <v>10855</v>
      </c>
      <c r="E4803" t="s">
        <v>10855</v>
      </c>
      <c r="F4803" t="s">
        <v>49</v>
      </c>
      <c r="G4803" t="s">
        <v>10856</v>
      </c>
      <c r="H4803" t="s">
        <v>10857</v>
      </c>
      <c r="J4803" t="str">
        <f>HYPERLINK("https://www.facebook.com/357267201017935/inbox/2489834197761214/","https://www.facebook.com/357267201017935/inbox/2489834197761214/")</f>
        <v>https://www.facebook.com/357267201017935/inbox/2489834197761214/</v>
      </c>
      <c r="O4803">
        <v>0</v>
      </c>
      <c r="P4803">
        <v>0</v>
      </c>
      <c r="Q4803">
        <v>0</v>
      </c>
      <c r="S4803">
        <v>0</v>
      </c>
      <c r="T4803">
        <v>0</v>
      </c>
      <c r="U4803">
        <v>0</v>
      </c>
      <c r="W4803" t="s">
        <v>52</v>
      </c>
    </row>
    <row r="4804" spans="1:42" x14ac:dyDescent="0.35">
      <c r="A4804" t="s">
        <v>45</v>
      </c>
      <c r="B4804" t="s">
        <v>10852</v>
      </c>
      <c r="C4804" t="s">
        <v>139</v>
      </c>
      <c r="D4804" t="s">
        <v>10858</v>
      </c>
      <c r="E4804" t="s">
        <v>10859</v>
      </c>
      <c r="F4804" t="s">
        <v>49</v>
      </c>
      <c r="G4804" t="s">
        <v>10860</v>
      </c>
      <c r="H4804" t="s">
        <v>10861</v>
      </c>
      <c r="J4804" t="str">
        <f>HYPERLINK("https://twitter.com/SRDJ35/status/1749101081442050439","https://twitter.com/SRDJ35/status/1749101081442050439")</f>
        <v>https://twitter.com/SRDJ35/status/1749101081442050439</v>
      </c>
      <c r="O4804">
        <v>0</v>
      </c>
      <c r="P4804">
        <v>0</v>
      </c>
      <c r="Q4804">
        <v>1</v>
      </c>
      <c r="S4804">
        <v>0</v>
      </c>
      <c r="T4804">
        <v>0</v>
      </c>
      <c r="U4804">
        <v>0</v>
      </c>
      <c r="W4804" t="s">
        <v>146</v>
      </c>
    </row>
    <row r="4805" spans="1:42" x14ac:dyDescent="0.35">
      <c r="A4805" t="s">
        <v>45</v>
      </c>
      <c r="B4805" t="s">
        <v>10852</v>
      </c>
      <c r="C4805" t="s">
        <v>58</v>
      </c>
      <c r="D4805" t="s">
        <v>5287</v>
      </c>
      <c r="E4805" t="s">
        <v>5287</v>
      </c>
      <c r="F4805" t="s">
        <v>49</v>
      </c>
      <c r="G4805" t="s">
        <v>10862</v>
      </c>
      <c r="H4805" t="s">
        <v>10863</v>
      </c>
      <c r="J4805" t="str">
        <f>HYPERLINK("https://www.youtube.com/watch?v=AR0-tr_FdIc","https://www.youtube.com/watch?v=AR0-tr_FdIc")</f>
        <v>https://www.youtube.com/watch?v=AR0-tr_FdIc</v>
      </c>
      <c r="O4805">
        <v>0</v>
      </c>
      <c r="P4805">
        <v>0</v>
      </c>
      <c r="Q4805">
        <v>0</v>
      </c>
      <c r="S4805">
        <v>0</v>
      </c>
      <c r="T4805">
        <v>0</v>
      </c>
      <c r="U4805">
        <v>0</v>
      </c>
      <c r="W4805" t="s">
        <v>106</v>
      </c>
    </row>
    <row r="4806" spans="1:42" x14ac:dyDescent="0.35">
      <c r="A4806" t="s">
        <v>45</v>
      </c>
      <c r="B4806" t="s">
        <v>10852</v>
      </c>
      <c r="C4806" t="s">
        <v>47</v>
      </c>
      <c r="D4806" t="s">
        <v>10864</v>
      </c>
      <c r="E4806" t="s">
        <v>10864</v>
      </c>
      <c r="F4806" t="s">
        <v>49</v>
      </c>
      <c r="G4806" t="s">
        <v>10865</v>
      </c>
      <c r="H4806" t="s">
        <v>10866</v>
      </c>
      <c r="J4806" t="str">
        <f>HYPERLINK("https://www.facebook.com/454965103328545/posts/750007137157672?comment_id=405731985135432&amp;reply_comment_id=1094010631641433","https://www.facebook.com/454965103328545/posts/750007137157672?comment_id=405731985135432&amp;reply_comment_id=1094010631641433")</f>
        <v>https://www.facebook.com/454965103328545/posts/750007137157672?comment_id=405731985135432&amp;reply_comment_id=1094010631641433</v>
      </c>
      <c r="O4806">
        <v>0</v>
      </c>
      <c r="P4806">
        <v>0</v>
      </c>
      <c r="Q4806">
        <v>0</v>
      </c>
      <c r="S4806">
        <v>0</v>
      </c>
      <c r="T4806">
        <v>0</v>
      </c>
      <c r="U4806">
        <v>0</v>
      </c>
      <c r="W4806" t="s">
        <v>62</v>
      </c>
    </row>
    <row r="4807" spans="1:42" x14ac:dyDescent="0.35">
      <c r="A4807" t="s">
        <v>45</v>
      </c>
      <c r="B4807" t="s">
        <v>10852</v>
      </c>
      <c r="C4807" t="s">
        <v>58</v>
      </c>
      <c r="D4807" t="s">
        <v>10867</v>
      </c>
      <c r="E4807" t="s">
        <v>10867</v>
      </c>
      <c r="F4807" t="s">
        <v>49</v>
      </c>
      <c r="G4807" t="s">
        <v>10868</v>
      </c>
      <c r="H4807" t="s">
        <v>10869</v>
      </c>
      <c r="J4807" t="str">
        <f>HYPERLINK("https://www.youtube.com/watch?v=nayFxInPUqM","https://www.youtube.com/watch?v=nayFxInPUqM")</f>
        <v>https://www.youtube.com/watch?v=nayFxInPUqM</v>
      </c>
      <c r="O4807">
        <v>0</v>
      </c>
      <c r="P4807">
        <v>0</v>
      </c>
      <c r="Q4807">
        <v>0</v>
      </c>
      <c r="S4807">
        <v>0</v>
      </c>
      <c r="T4807">
        <v>0</v>
      </c>
      <c r="U4807">
        <v>0</v>
      </c>
      <c r="W4807" t="s">
        <v>106</v>
      </c>
    </row>
    <row r="4808" spans="1:42" x14ac:dyDescent="0.35">
      <c r="A4808" t="s">
        <v>45</v>
      </c>
      <c r="B4808" t="s">
        <v>10852</v>
      </c>
      <c r="C4808" t="s">
        <v>47</v>
      </c>
      <c r="D4808" t="s">
        <v>10870</v>
      </c>
      <c r="E4808" t="s">
        <v>10870</v>
      </c>
      <c r="F4808" t="s">
        <v>76</v>
      </c>
      <c r="G4808" t="s">
        <v>10871</v>
      </c>
      <c r="H4808" t="s">
        <v>10872</v>
      </c>
      <c r="J4808" t="str">
        <f>HYPERLINK("https://www.facebook.com/454965103328545/posts/750017770489942?comment_id=1468637897015124","https://www.facebook.com/454965103328545/posts/750017770489942?comment_id=1468637897015124")</f>
        <v>https://www.facebook.com/454965103328545/posts/750017770489942?comment_id=1468637897015124</v>
      </c>
      <c r="O4808">
        <v>0</v>
      </c>
      <c r="P4808">
        <v>0</v>
      </c>
      <c r="Q4808">
        <v>0</v>
      </c>
      <c r="S4808">
        <v>0</v>
      </c>
      <c r="T4808">
        <v>0</v>
      </c>
      <c r="U4808">
        <v>0</v>
      </c>
      <c r="W4808" t="s">
        <v>62</v>
      </c>
    </row>
    <row r="4809" spans="1:42" x14ac:dyDescent="0.35">
      <c r="A4809" t="s">
        <v>45</v>
      </c>
      <c r="B4809" t="s">
        <v>10852</v>
      </c>
      <c r="C4809" t="s">
        <v>58</v>
      </c>
      <c r="D4809" t="s">
        <v>10873</v>
      </c>
      <c r="E4809" t="s">
        <v>10873</v>
      </c>
      <c r="F4809" t="s">
        <v>49</v>
      </c>
      <c r="G4809" t="s">
        <v>10874</v>
      </c>
      <c r="H4809" t="s">
        <v>10875</v>
      </c>
      <c r="J4809" t="str">
        <f>HYPERLINK("https://www.youtube.com/watch?v=muKq7KB6KHg","https://www.youtube.com/watch?v=muKq7KB6KHg")</f>
        <v>https://www.youtube.com/watch?v=muKq7KB6KHg</v>
      </c>
      <c r="O4809">
        <v>0</v>
      </c>
      <c r="P4809">
        <v>0</v>
      </c>
      <c r="Q4809">
        <v>0</v>
      </c>
      <c r="S4809">
        <v>0</v>
      </c>
      <c r="T4809">
        <v>0</v>
      </c>
      <c r="U4809">
        <v>0</v>
      </c>
      <c r="W4809" t="s">
        <v>106</v>
      </c>
      <c r="AP4809" t="s">
        <v>94</v>
      </c>
    </row>
    <row r="4810" spans="1:42" x14ac:dyDescent="0.35">
      <c r="A4810" t="s">
        <v>45</v>
      </c>
      <c r="B4810" t="s">
        <v>10852</v>
      </c>
      <c r="C4810" t="s">
        <v>47</v>
      </c>
      <c r="D4810" t="s">
        <v>10876</v>
      </c>
      <c r="E4810" t="s">
        <v>10876</v>
      </c>
      <c r="F4810" t="s">
        <v>49</v>
      </c>
      <c r="G4810" t="s">
        <v>373</v>
      </c>
      <c r="H4810" t="s">
        <v>10877</v>
      </c>
      <c r="J4810" t="str">
        <f>HYPERLINK("https://www.facebook.com/357267201017935/inbox/6945142532230336/","https://www.facebook.com/357267201017935/inbox/6945142532230336/")</f>
        <v>https://www.facebook.com/357267201017935/inbox/6945142532230336/</v>
      </c>
      <c r="O4810">
        <v>0</v>
      </c>
      <c r="P4810">
        <v>0</v>
      </c>
      <c r="Q4810">
        <v>0</v>
      </c>
      <c r="S4810">
        <v>0</v>
      </c>
      <c r="T4810">
        <v>0</v>
      </c>
      <c r="U4810">
        <v>0</v>
      </c>
      <c r="W4810" t="s">
        <v>52</v>
      </c>
    </row>
    <row r="4811" spans="1:42" x14ac:dyDescent="0.35">
      <c r="A4811" t="s">
        <v>45</v>
      </c>
      <c r="B4811" t="s">
        <v>10852</v>
      </c>
      <c r="C4811" t="s">
        <v>3127</v>
      </c>
      <c r="D4811" t="s">
        <v>10878</v>
      </c>
      <c r="E4811" t="s">
        <v>10878</v>
      </c>
      <c r="F4811" t="s">
        <v>76</v>
      </c>
      <c r="G4811" t="s">
        <v>10879</v>
      </c>
      <c r="H4811" t="s">
        <v>10880</v>
      </c>
      <c r="J4811" t="str">
        <f>HYPERLINK("","")</f>
        <v/>
      </c>
      <c r="O4811">
        <v>0</v>
      </c>
      <c r="P4811">
        <v>0</v>
      </c>
      <c r="Q4811">
        <v>0</v>
      </c>
      <c r="S4811">
        <v>0</v>
      </c>
      <c r="T4811">
        <v>0</v>
      </c>
      <c r="U4811">
        <v>0</v>
      </c>
    </row>
    <row r="4812" spans="1:42" x14ac:dyDescent="0.35">
      <c r="A4812" t="s">
        <v>45</v>
      </c>
      <c r="B4812" t="s">
        <v>10852</v>
      </c>
      <c r="C4812" t="s">
        <v>58</v>
      </c>
      <c r="D4812" t="s">
        <v>10878</v>
      </c>
      <c r="E4812" t="s">
        <v>10878</v>
      </c>
      <c r="F4812" t="s">
        <v>49</v>
      </c>
      <c r="G4812" t="s">
        <v>10881</v>
      </c>
      <c r="H4812" t="s">
        <v>10882</v>
      </c>
      <c r="J4812" t="str">
        <f>HYPERLINK("https://www.youtube.com/watch?v=Chr43Zlrv8Q","https://www.youtube.com/watch?v=Chr43Zlrv8Q")</f>
        <v>https://www.youtube.com/watch?v=Chr43Zlrv8Q</v>
      </c>
      <c r="O4812">
        <v>0</v>
      </c>
      <c r="P4812">
        <v>0</v>
      </c>
      <c r="Q4812">
        <v>0</v>
      </c>
      <c r="S4812">
        <v>0</v>
      </c>
      <c r="T4812">
        <v>0</v>
      </c>
      <c r="U4812">
        <v>0</v>
      </c>
      <c r="W4812" t="s">
        <v>106</v>
      </c>
    </row>
    <row r="4813" spans="1:42" x14ac:dyDescent="0.35">
      <c r="A4813" t="s">
        <v>45</v>
      </c>
      <c r="B4813" t="s">
        <v>10852</v>
      </c>
      <c r="C4813" t="s">
        <v>139</v>
      </c>
      <c r="D4813" t="s">
        <v>10883</v>
      </c>
      <c r="E4813" t="s">
        <v>10884</v>
      </c>
      <c r="F4813" t="s">
        <v>49</v>
      </c>
      <c r="G4813" t="s">
        <v>10885</v>
      </c>
      <c r="H4813" t="s">
        <v>10886</v>
      </c>
      <c r="J4813" t="str">
        <f>HYPERLINK("https://twitter.com/Full2Gaming2/status/1748958670355108024","https://twitter.com/Full2Gaming2/status/1748958670355108024")</f>
        <v>https://twitter.com/Full2Gaming2/status/1748958670355108024</v>
      </c>
      <c r="K4813" t="s">
        <v>1769</v>
      </c>
      <c r="O4813">
        <v>0</v>
      </c>
      <c r="P4813">
        <v>0</v>
      </c>
      <c r="Q4813">
        <v>20</v>
      </c>
      <c r="S4813">
        <v>0</v>
      </c>
      <c r="T4813">
        <v>0</v>
      </c>
      <c r="U4813">
        <v>0</v>
      </c>
      <c r="W4813" t="s">
        <v>146</v>
      </c>
      <c r="AP4813" t="s">
        <v>147</v>
      </c>
    </row>
    <row r="4814" spans="1:42" x14ac:dyDescent="0.35">
      <c r="A4814" t="s">
        <v>45</v>
      </c>
      <c r="B4814" t="s">
        <v>10852</v>
      </c>
      <c r="C4814" t="s">
        <v>47</v>
      </c>
      <c r="D4814" t="s">
        <v>10887</v>
      </c>
      <c r="E4814" t="s">
        <v>10887</v>
      </c>
      <c r="F4814" t="s">
        <v>49</v>
      </c>
      <c r="G4814" t="s">
        <v>10888</v>
      </c>
      <c r="H4814" t="s">
        <v>10889</v>
      </c>
      <c r="J4814" t="str">
        <f>HYPERLINK("https://www.facebook.com/357267201017935/posts/3418723634872261/?comment_id=382212931159898","https://www.facebook.com/357267201017935/posts/3418723634872261/?comment_id=382212931159898")</f>
        <v>https://www.facebook.com/357267201017935/posts/3418723634872261/?comment_id=382212931159898</v>
      </c>
      <c r="O4814">
        <v>0</v>
      </c>
      <c r="P4814">
        <v>0</v>
      </c>
      <c r="Q4814">
        <v>0</v>
      </c>
      <c r="S4814">
        <v>0</v>
      </c>
      <c r="T4814">
        <v>0</v>
      </c>
      <c r="U4814">
        <v>0</v>
      </c>
      <c r="W4814" t="s">
        <v>62</v>
      </c>
    </row>
    <row r="4815" spans="1:42" x14ac:dyDescent="0.35">
      <c r="A4815" t="s">
        <v>45</v>
      </c>
      <c r="B4815" t="s">
        <v>10852</v>
      </c>
      <c r="C4815" t="s">
        <v>58</v>
      </c>
      <c r="D4815" t="s">
        <v>5310</v>
      </c>
      <c r="E4815" t="s">
        <v>5310</v>
      </c>
      <c r="F4815" t="s">
        <v>142</v>
      </c>
      <c r="G4815" t="s">
        <v>10890</v>
      </c>
      <c r="H4815" t="s">
        <v>10891</v>
      </c>
      <c r="J4815" t="str">
        <f>HYPERLINK("https://www.youtube.com/watch?v=PyGgxlzKP_g","https://www.youtube.com/watch?v=PyGgxlzKP_g")</f>
        <v>https://www.youtube.com/watch?v=PyGgxlzKP_g</v>
      </c>
      <c r="O4815">
        <v>0</v>
      </c>
      <c r="P4815">
        <v>0</v>
      </c>
      <c r="Q4815">
        <v>0</v>
      </c>
      <c r="S4815">
        <v>0</v>
      </c>
      <c r="T4815">
        <v>0</v>
      </c>
      <c r="U4815">
        <v>0</v>
      </c>
      <c r="W4815" t="s">
        <v>106</v>
      </c>
    </row>
    <row r="4816" spans="1:42" x14ac:dyDescent="0.35">
      <c r="A4816" t="s">
        <v>45</v>
      </c>
      <c r="B4816" t="s">
        <v>10852</v>
      </c>
      <c r="C4816" t="s">
        <v>47</v>
      </c>
      <c r="D4816" t="s">
        <v>10892</v>
      </c>
      <c r="E4816" t="s">
        <v>10892</v>
      </c>
      <c r="F4816" t="s">
        <v>49</v>
      </c>
      <c r="G4816" t="s">
        <v>10893</v>
      </c>
      <c r="H4816" t="s">
        <v>10894</v>
      </c>
      <c r="J4816" t="str">
        <f>HYPERLINK("https://www.facebook.com/357267201017935/inbox/6944403482304241/","https://www.facebook.com/357267201017935/inbox/6944403482304241/")</f>
        <v>https://www.facebook.com/357267201017935/inbox/6944403482304241/</v>
      </c>
      <c r="O4816">
        <v>0</v>
      </c>
      <c r="P4816">
        <v>0</v>
      </c>
      <c r="Q4816">
        <v>0</v>
      </c>
      <c r="S4816">
        <v>0</v>
      </c>
      <c r="T4816">
        <v>0</v>
      </c>
      <c r="U4816">
        <v>0</v>
      </c>
      <c r="W4816" t="s">
        <v>52</v>
      </c>
    </row>
    <row r="4817" spans="1:42" x14ac:dyDescent="0.35">
      <c r="A4817" t="s">
        <v>45</v>
      </c>
      <c r="B4817" t="s">
        <v>10852</v>
      </c>
      <c r="C4817" t="s">
        <v>47</v>
      </c>
      <c r="D4817" t="s">
        <v>10892</v>
      </c>
      <c r="E4817" t="s">
        <v>10892</v>
      </c>
      <c r="F4817" t="s">
        <v>49</v>
      </c>
      <c r="G4817" t="s">
        <v>10895</v>
      </c>
      <c r="H4817" t="s">
        <v>10896</v>
      </c>
      <c r="J4817" t="str">
        <f>HYPERLINK("https://www.facebook.com/357267201017935/inbox/6944403482304241/","https://www.facebook.com/357267201017935/inbox/6944403482304241/")</f>
        <v>https://www.facebook.com/357267201017935/inbox/6944403482304241/</v>
      </c>
      <c r="O4817">
        <v>0</v>
      </c>
      <c r="P4817">
        <v>0</v>
      </c>
      <c r="Q4817">
        <v>0</v>
      </c>
      <c r="S4817">
        <v>0</v>
      </c>
      <c r="T4817">
        <v>0</v>
      </c>
      <c r="U4817">
        <v>0</v>
      </c>
      <c r="W4817" t="s">
        <v>52</v>
      </c>
    </row>
    <row r="4818" spans="1:42" x14ac:dyDescent="0.35">
      <c r="A4818" t="s">
        <v>45</v>
      </c>
      <c r="B4818" t="s">
        <v>10852</v>
      </c>
      <c r="C4818" t="s">
        <v>47</v>
      </c>
      <c r="D4818" t="s">
        <v>10892</v>
      </c>
      <c r="E4818" t="s">
        <v>10892</v>
      </c>
      <c r="F4818" t="s">
        <v>49</v>
      </c>
      <c r="G4818" t="s">
        <v>373</v>
      </c>
      <c r="H4818" t="s">
        <v>10897</v>
      </c>
      <c r="J4818" t="str">
        <f>HYPERLINK("https://www.facebook.com/357267201017935/inbox/6944403482304241/","https://www.facebook.com/357267201017935/inbox/6944403482304241/")</f>
        <v>https://www.facebook.com/357267201017935/inbox/6944403482304241/</v>
      </c>
      <c r="O4818">
        <v>0</v>
      </c>
      <c r="P4818">
        <v>0</v>
      </c>
      <c r="Q4818">
        <v>0</v>
      </c>
      <c r="S4818">
        <v>0</v>
      </c>
      <c r="T4818">
        <v>0</v>
      </c>
      <c r="U4818">
        <v>0</v>
      </c>
      <c r="W4818" t="s">
        <v>52</v>
      </c>
    </row>
    <row r="4819" spans="1:42" x14ac:dyDescent="0.35">
      <c r="A4819" t="s">
        <v>45</v>
      </c>
      <c r="B4819" t="s">
        <v>10852</v>
      </c>
      <c r="C4819" t="s">
        <v>139</v>
      </c>
      <c r="D4819" t="s">
        <v>10898</v>
      </c>
      <c r="E4819" t="s">
        <v>10899</v>
      </c>
      <c r="F4819" t="s">
        <v>76</v>
      </c>
      <c r="G4819" t="s">
        <v>10900</v>
      </c>
      <c r="H4819" t="s">
        <v>10901</v>
      </c>
      <c r="J4819" t="str">
        <f>HYPERLINK("https://twitter.com/Kelvin2044140/status/1748917661071720938","https://twitter.com/Kelvin2044140/status/1748917661071720938")</f>
        <v>https://twitter.com/Kelvin2044140/status/1748917661071720938</v>
      </c>
      <c r="K4819" t="s">
        <v>145</v>
      </c>
      <c r="O4819">
        <v>0</v>
      </c>
      <c r="P4819">
        <v>0</v>
      </c>
      <c r="Q4819">
        <v>1</v>
      </c>
      <c r="R4819" t="s">
        <v>10902</v>
      </c>
      <c r="S4819">
        <v>0</v>
      </c>
      <c r="T4819">
        <v>0</v>
      </c>
      <c r="U4819">
        <v>0</v>
      </c>
      <c r="W4819" t="s">
        <v>146</v>
      </c>
    </row>
    <row r="4820" spans="1:42" x14ac:dyDescent="0.35">
      <c r="A4820" t="s">
        <v>45</v>
      </c>
      <c r="B4820" t="s">
        <v>10852</v>
      </c>
      <c r="C4820" t="s">
        <v>58</v>
      </c>
      <c r="D4820" t="s">
        <v>10749</v>
      </c>
      <c r="E4820" t="s">
        <v>10749</v>
      </c>
      <c r="F4820" t="s">
        <v>142</v>
      </c>
      <c r="G4820" t="s">
        <v>10903</v>
      </c>
      <c r="H4820" t="s">
        <v>10904</v>
      </c>
      <c r="J4820" t="str">
        <f>HYPERLINK("https://www.youtube.com/watch?v=qblpY40HK_E","https://www.youtube.com/watch?v=qblpY40HK_E")</f>
        <v>https://www.youtube.com/watch?v=qblpY40HK_E</v>
      </c>
      <c r="O4820">
        <v>0</v>
      </c>
      <c r="P4820">
        <v>0</v>
      </c>
      <c r="Q4820">
        <v>0</v>
      </c>
      <c r="S4820">
        <v>0</v>
      </c>
      <c r="T4820">
        <v>0</v>
      </c>
      <c r="U4820">
        <v>0</v>
      </c>
      <c r="W4820" t="s">
        <v>106</v>
      </c>
    </row>
    <row r="4821" spans="1:42" x14ac:dyDescent="0.35">
      <c r="A4821" t="s">
        <v>45</v>
      </c>
      <c r="B4821" t="s">
        <v>10852</v>
      </c>
      <c r="C4821" t="s">
        <v>58</v>
      </c>
      <c r="D4821" t="s">
        <v>10905</v>
      </c>
      <c r="E4821" t="s">
        <v>10905</v>
      </c>
      <c r="F4821" t="s">
        <v>142</v>
      </c>
      <c r="G4821" t="s">
        <v>10906</v>
      </c>
      <c r="H4821" t="s">
        <v>10907</v>
      </c>
      <c r="J4821" t="str">
        <f>HYPERLINK("https://www.youtube.com/watch?v=_m6Bwdel2zA","https://www.youtube.com/watch?v=_m6Bwdel2zA")</f>
        <v>https://www.youtube.com/watch?v=_m6Bwdel2zA</v>
      </c>
      <c r="O4821">
        <v>0</v>
      </c>
      <c r="P4821">
        <v>0</v>
      </c>
      <c r="Q4821">
        <v>0</v>
      </c>
      <c r="S4821">
        <v>0</v>
      </c>
      <c r="T4821">
        <v>0</v>
      </c>
      <c r="U4821">
        <v>0</v>
      </c>
      <c r="W4821" t="s">
        <v>106</v>
      </c>
      <c r="AP4821" t="s">
        <v>147</v>
      </c>
    </row>
    <row r="4822" spans="1:42" x14ac:dyDescent="0.35">
      <c r="A4822" t="s">
        <v>45</v>
      </c>
      <c r="B4822" t="s">
        <v>10852</v>
      </c>
      <c r="C4822" t="s">
        <v>47</v>
      </c>
      <c r="D4822" t="s">
        <v>10908</v>
      </c>
      <c r="E4822" t="s">
        <v>10908</v>
      </c>
      <c r="F4822" t="s">
        <v>142</v>
      </c>
      <c r="G4822" t="s">
        <v>10909</v>
      </c>
      <c r="H4822" t="s">
        <v>10910</v>
      </c>
      <c r="J4822" t="str">
        <f>HYPERLINK("https://www.facebook.com/454965103328545/posts/734812295343823?comment_id=1078105780192095","https://www.facebook.com/454965103328545/posts/734812295343823?comment_id=1078105780192095")</f>
        <v>https://www.facebook.com/454965103328545/posts/734812295343823?comment_id=1078105780192095</v>
      </c>
      <c r="O4822">
        <v>0</v>
      </c>
      <c r="P4822">
        <v>0</v>
      </c>
      <c r="Q4822">
        <v>0</v>
      </c>
      <c r="S4822">
        <v>0</v>
      </c>
      <c r="T4822">
        <v>0</v>
      </c>
      <c r="U4822">
        <v>0</v>
      </c>
      <c r="W4822" t="s">
        <v>62</v>
      </c>
    </row>
    <row r="4823" spans="1:42" x14ac:dyDescent="0.35">
      <c r="A4823" t="s">
        <v>45</v>
      </c>
      <c r="B4823" t="s">
        <v>10852</v>
      </c>
      <c r="C4823" t="s">
        <v>139</v>
      </c>
      <c r="D4823" t="s">
        <v>10911</v>
      </c>
      <c r="E4823" t="s">
        <v>10912</v>
      </c>
      <c r="F4823" t="s">
        <v>49</v>
      </c>
      <c r="G4823" t="s">
        <v>10913</v>
      </c>
      <c r="H4823" t="s">
        <v>10914</v>
      </c>
      <c r="J4823" t="str">
        <f>HYPERLINK("https://twitter.com/SamuelMorr29813/status/1748876426302935296","https://twitter.com/SamuelMorr29813/status/1748876426302935296")</f>
        <v>https://twitter.com/SamuelMorr29813/status/1748876426302935296</v>
      </c>
      <c r="K4823" t="s">
        <v>145</v>
      </c>
      <c r="O4823">
        <v>0</v>
      </c>
      <c r="P4823">
        <v>0</v>
      </c>
      <c r="Q4823">
        <v>0</v>
      </c>
      <c r="S4823">
        <v>0</v>
      </c>
      <c r="T4823">
        <v>0</v>
      </c>
      <c r="U4823">
        <v>0</v>
      </c>
      <c r="W4823" t="s">
        <v>146</v>
      </c>
    </row>
    <row r="4824" spans="1:42" x14ac:dyDescent="0.35">
      <c r="A4824" t="s">
        <v>45</v>
      </c>
      <c r="B4824" t="s">
        <v>10852</v>
      </c>
      <c r="C4824" t="s">
        <v>47</v>
      </c>
      <c r="D4824" t="s">
        <v>9014</v>
      </c>
      <c r="E4824" t="s">
        <v>9014</v>
      </c>
      <c r="F4824" t="s">
        <v>142</v>
      </c>
      <c r="G4824" t="s">
        <v>10915</v>
      </c>
      <c r="H4824" t="s">
        <v>10916</v>
      </c>
      <c r="J4824" t="str">
        <f>HYPERLINK("https://www.facebook.com/454965103328545/posts/754206683404384?comment_id=891846082389870","https://www.facebook.com/454965103328545/posts/754206683404384?comment_id=891846082389870")</f>
        <v>https://www.facebook.com/454965103328545/posts/754206683404384?comment_id=891846082389870</v>
      </c>
      <c r="O4824">
        <v>0</v>
      </c>
      <c r="P4824">
        <v>0</v>
      </c>
      <c r="Q4824">
        <v>0</v>
      </c>
      <c r="S4824">
        <v>0</v>
      </c>
      <c r="T4824">
        <v>0</v>
      </c>
      <c r="U4824">
        <v>0</v>
      </c>
      <c r="W4824" t="s">
        <v>62</v>
      </c>
    </row>
    <row r="4825" spans="1:42" x14ac:dyDescent="0.35">
      <c r="A4825" t="s">
        <v>45</v>
      </c>
      <c r="B4825" t="s">
        <v>10852</v>
      </c>
      <c r="C4825" t="s">
        <v>47</v>
      </c>
      <c r="D4825" t="s">
        <v>9014</v>
      </c>
      <c r="E4825" t="s">
        <v>9014</v>
      </c>
      <c r="F4825" t="s">
        <v>142</v>
      </c>
      <c r="G4825" t="s">
        <v>10917</v>
      </c>
      <c r="H4825" t="s">
        <v>10918</v>
      </c>
      <c r="J4825" t="str">
        <f>HYPERLINK("https://www.facebook.com/454965103328545/posts/755378119953907?comment_id=901569594631680&amp;reply_comment_id=1071008727466816","https://www.facebook.com/454965103328545/posts/755378119953907?comment_id=901569594631680&amp;reply_comment_id=1071008727466816")</f>
        <v>https://www.facebook.com/454965103328545/posts/755378119953907?comment_id=901569594631680&amp;reply_comment_id=1071008727466816</v>
      </c>
      <c r="O4825">
        <v>0</v>
      </c>
      <c r="P4825">
        <v>0</v>
      </c>
      <c r="Q4825">
        <v>0</v>
      </c>
      <c r="S4825">
        <v>0</v>
      </c>
      <c r="T4825">
        <v>0</v>
      </c>
      <c r="U4825">
        <v>0</v>
      </c>
      <c r="W4825" t="s">
        <v>62</v>
      </c>
    </row>
    <row r="4826" spans="1:42" x14ac:dyDescent="0.35">
      <c r="A4826" t="s">
        <v>45</v>
      </c>
      <c r="B4826" t="s">
        <v>10852</v>
      </c>
      <c r="C4826" t="s">
        <v>139</v>
      </c>
      <c r="D4826" t="s">
        <v>10919</v>
      </c>
      <c r="E4826" t="s">
        <v>10920</v>
      </c>
      <c r="F4826" t="s">
        <v>142</v>
      </c>
      <c r="G4826" t="s">
        <v>10921</v>
      </c>
      <c r="H4826" t="s">
        <v>10922</v>
      </c>
      <c r="J4826" t="str">
        <f>HYPERLINK("https://twitter.com/grayjames044/status/1748782231844209123","https://twitter.com/grayjames044/status/1748782231844209123")</f>
        <v>https://twitter.com/grayjames044/status/1748782231844209123</v>
      </c>
      <c r="K4826" t="s">
        <v>145</v>
      </c>
      <c r="O4826">
        <v>0</v>
      </c>
      <c r="P4826">
        <v>0</v>
      </c>
      <c r="Q4826">
        <v>1</v>
      </c>
      <c r="R4826" t="s">
        <v>10923</v>
      </c>
      <c r="S4826">
        <v>0</v>
      </c>
      <c r="T4826">
        <v>0</v>
      </c>
      <c r="U4826">
        <v>0</v>
      </c>
      <c r="W4826" t="s">
        <v>146</v>
      </c>
    </row>
    <row r="4827" spans="1:42" x14ac:dyDescent="0.35">
      <c r="A4827" t="s">
        <v>45</v>
      </c>
      <c r="B4827" t="s">
        <v>10852</v>
      </c>
      <c r="C4827" t="s">
        <v>139</v>
      </c>
      <c r="D4827" t="s">
        <v>10924</v>
      </c>
      <c r="E4827" t="s">
        <v>10925</v>
      </c>
      <c r="F4827" t="s">
        <v>49</v>
      </c>
      <c r="G4827" t="s">
        <v>10926</v>
      </c>
      <c r="H4827" t="s">
        <v>10927</v>
      </c>
      <c r="J4827" t="str">
        <f>HYPERLINK("https://twitter.com/Divakar13240241/status/1748779789937529085","https://twitter.com/Divakar13240241/status/1748779789937529085")</f>
        <v>https://twitter.com/Divakar13240241/status/1748779789937529085</v>
      </c>
      <c r="K4827" t="s">
        <v>145</v>
      </c>
      <c r="O4827">
        <v>0</v>
      </c>
      <c r="P4827">
        <v>0</v>
      </c>
      <c r="Q4827">
        <v>0</v>
      </c>
      <c r="S4827">
        <v>0</v>
      </c>
      <c r="T4827">
        <v>0</v>
      </c>
      <c r="U4827">
        <v>0</v>
      </c>
      <c r="W4827" t="s">
        <v>146</v>
      </c>
    </row>
    <row r="4828" spans="1:42" x14ac:dyDescent="0.35">
      <c r="A4828" t="s">
        <v>45</v>
      </c>
      <c r="B4828" t="s">
        <v>10928</v>
      </c>
      <c r="C4828" t="s">
        <v>58</v>
      </c>
      <c r="D4828" t="s">
        <v>10929</v>
      </c>
      <c r="E4828" t="s">
        <v>10929</v>
      </c>
      <c r="F4828" t="s">
        <v>49</v>
      </c>
      <c r="G4828" t="s">
        <v>10930</v>
      </c>
      <c r="H4828" t="s">
        <v>10931</v>
      </c>
      <c r="J4828" t="str">
        <f>HYPERLINK("https://www.youtube.com/watch?v=UtGR7ObceV0","https://www.youtube.com/watch?v=UtGR7ObceV0")</f>
        <v>https://www.youtube.com/watch?v=UtGR7ObceV0</v>
      </c>
      <c r="O4828">
        <v>0</v>
      </c>
      <c r="P4828">
        <v>0</v>
      </c>
      <c r="Q4828">
        <v>0</v>
      </c>
      <c r="S4828">
        <v>0</v>
      </c>
      <c r="T4828">
        <v>0</v>
      </c>
      <c r="U4828">
        <v>0</v>
      </c>
      <c r="W4828" t="s">
        <v>106</v>
      </c>
      <c r="AP4828" t="s">
        <v>94</v>
      </c>
    </row>
    <row r="4829" spans="1:42" x14ac:dyDescent="0.35">
      <c r="A4829" t="s">
        <v>45</v>
      </c>
      <c r="B4829" t="s">
        <v>10928</v>
      </c>
      <c r="C4829" t="s">
        <v>58</v>
      </c>
      <c r="D4829" t="s">
        <v>10929</v>
      </c>
      <c r="E4829" t="s">
        <v>10929</v>
      </c>
      <c r="F4829" t="s">
        <v>76</v>
      </c>
      <c r="G4829" t="s">
        <v>10932</v>
      </c>
      <c r="H4829" t="s">
        <v>10933</v>
      </c>
      <c r="J4829" t="str">
        <f>HYPERLINK("https://www.youtube.com/watch?v=SV_kgAHZFi8","https://www.youtube.com/watch?v=SV_kgAHZFi8")</f>
        <v>https://www.youtube.com/watch?v=SV_kgAHZFi8</v>
      </c>
      <c r="O4829">
        <v>0</v>
      </c>
      <c r="P4829">
        <v>0</v>
      </c>
      <c r="Q4829">
        <v>0</v>
      </c>
      <c r="S4829">
        <v>0</v>
      </c>
      <c r="T4829">
        <v>0</v>
      </c>
      <c r="U4829">
        <v>0</v>
      </c>
      <c r="W4829" t="s">
        <v>106</v>
      </c>
      <c r="AP4829" t="s">
        <v>94</v>
      </c>
    </row>
    <row r="4830" spans="1:42" x14ac:dyDescent="0.35">
      <c r="A4830" t="s">
        <v>45</v>
      </c>
      <c r="B4830" t="s">
        <v>10928</v>
      </c>
      <c r="C4830" t="s">
        <v>58</v>
      </c>
      <c r="D4830" t="s">
        <v>10929</v>
      </c>
      <c r="E4830" t="s">
        <v>10929</v>
      </c>
      <c r="F4830" t="s">
        <v>49</v>
      </c>
      <c r="G4830" t="s">
        <v>10934</v>
      </c>
      <c r="H4830" t="s">
        <v>10935</v>
      </c>
      <c r="J4830" t="str">
        <f>HYPERLINK("https://www.youtube.com/watch?v=2CWIPrhw7JQ","https://www.youtube.com/watch?v=2CWIPrhw7JQ")</f>
        <v>https://www.youtube.com/watch?v=2CWIPrhw7JQ</v>
      </c>
      <c r="O4830">
        <v>0</v>
      </c>
      <c r="P4830">
        <v>0</v>
      </c>
      <c r="Q4830">
        <v>0</v>
      </c>
      <c r="S4830">
        <v>0</v>
      </c>
      <c r="T4830">
        <v>0</v>
      </c>
      <c r="U4830">
        <v>0</v>
      </c>
      <c r="W4830" t="s">
        <v>106</v>
      </c>
    </row>
    <row r="4831" spans="1:42" x14ac:dyDescent="0.35">
      <c r="A4831" t="s">
        <v>45</v>
      </c>
      <c r="B4831" t="s">
        <v>10928</v>
      </c>
      <c r="C4831" t="s">
        <v>58</v>
      </c>
      <c r="D4831" t="s">
        <v>10929</v>
      </c>
      <c r="E4831" t="s">
        <v>10929</v>
      </c>
      <c r="F4831" t="s">
        <v>49</v>
      </c>
      <c r="G4831" t="s">
        <v>10936</v>
      </c>
      <c r="H4831" t="s">
        <v>10937</v>
      </c>
      <c r="J4831" t="str">
        <f>HYPERLINK("https://www.youtube.com/watch?v=nPjbzUbjU78","https://www.youtube.com/watch?v=nPjbzUbjU78")</f>
        <v>https://www.youtube.com/watch?v=nPjbzUbjU78</v>
      </c>
      <c r="O4831">
        <v>0</v>
      </c>
      <c r="P4831">
        <v>0</v>
      </c>
      <c r="Q4831">
        <v>0</v>
      </c>
      <c r="S4831">
        <v>0</v>
      </c>
      <c r="T4831">
        <v>0</v>
      </c>
      <c r="U4831">
        <v>0</v>
      </c>
      <c r="W4831" t="s">
        <v>106</v>
      </c>
      <c r="AP4831" t="s">
        <v>94</v>
      </c>
    </row>
    <row r="4832" spans="1:42" x14ac:dyDescent="0.35">
      <c r="A4832" t="s">
        <v>45</v>
      </c>
      <c r="B4832" t="s">
        <v>10928</v>
      </c>
      <c r="C4832" t="s">
        <v>58</v>
      </c>
      <c r="D4832" t="s">
        <v>10929</v>
      </c>
      <c r="E4832" t="s">
        <v>10929</v>
      </c>
      <c r="F4832" t="s">
        <v>49</v>
      </c>
      <c r="G4832" t="s">
        <v>10938</v>
      </c>
      <c r="H4832" t="s">
        <v>10939</v>
      </c>
      <c r="J4832" t="str">
        <f>HYPERLINK("https://www.youtube.com/watch?v=7DJFGzgd-Yo","https://www.youtube.com/watch?v=7DJFGzgd-Yo")</f>
        <v>https://www.youtube.com/watch?v=7DJFGzgd-Yo</v>
      </c>
      <c r="O4832">
        <v>0</v>
      </c>
      <c r="P4832">
        <v>0</v>
      </c>
      <c r="Q4832">
        <v>0</v>
      </c>
      <c r="S4832">
        <v>0</v>
      </c>
      <c r="T4832">
        <v>0</v>
      </c>
      <c r="U4832">
        <v>0</v>
      </c>
      <c r="W4832" t="s">
        <v>106</v>
      </c>
      <c r="AP4832" t="s">
        <v>94</v>
      </c>
    </row>
    <row r="4833" spans="1:42" x14ac:dyDescent="0.35">
      <c r="A4833" t="s">
        <v>45</v>
      </c>
      <c r="B4833" t="s">
        <v>10928</v>
      </c>
      <c r="C4833" t="s">
        <v>58</v>
      </c>
      <c r="D4833" t="s">
        <v>10940</v>
      </c>
      <c r="E4833" t="s">
        <v>10940</v>
      </c>
      <c r="F4833" t="s">
        <v>49</v>
      </c>
      <c r="G4833" t="s">
        <v>10941</v>
      </c>
      <c r="H4833" t="s">
        <v>10942</v>
      </c>
      <c r="J4833" t="str">
        <f>HYPERLINK("https://www.youtube.com/watch?v=vcjPWoQy3Ak","https://www.youtube.com/watch?v=vcjPWoQy3Ak")</f>
        <v>https://www.youtube.com/watch?v=vcjPWoQy3Ak</v>
      </c>
      <c r="O4833">
        <v>0</v>
      </c>
      <c r="P4833">
        <v>0</v>
      </c>
      <c r="Q4833">
        <v>0</v>
      </c>
      <c r="S4833">
        <v>0</v>
      </c>
      <c r="T4833">
        <v>0</v>
      </c>
      <c r="U4833">
        <v>0</v>
      </c>
      <c r="W4833" t="s">
        <v>106</v>
      </c>
      <c r="AP4833" t="s">
        <v>94</v>
      </c>
    </row>
    <row r="4834" spans="1:42" x14ac:dyDescent="0.35">
      <c r="A4834" t="s">
        <v>45</v>
      </c>
      <c r="B4834" t="s">
        <v>10928</v>
      </c>
      <c r="C4834" t="s">
        <v>139</v>
      </c>
      <c r="D4834" t="s">
        <v>10943</v>
      </c>
      <c r="E4834" t="s">
        <v>10944</v>
      </c>
      <c r="F4834" t="s">
        <v>49</v>
      </c>
      <c r="G4834" t="s">
        <v>10945</v>
      </c>
      <c r="H4834" t="s">
        <v>10946</v>
      </c>
      <c r="J4834" t="str">
        <f>HYPERLINK("https://twitter.com/FloresEth66883/status/1748718059974427051","https://twitter.com/FloresEth66883/status/1748718059974427051")</f>
        <v>https://twitter.com/FloresEth66883/status/1748718059974427051</v>
      </c>
      <c r="O4834">
        <v>0</v>
      </c>
      <c r="P4834">
        <v>0</v>
      </c>
      <c r="Q4834">
        <v>0</v>
      </c>
      <c r="R4834" t="s">
        <v>10947</v>
      </c>
      <c r="S4834">
        <v>0</v>
      </c>
      <c r="T4834">
        <v>0</v>
      </c>
      <c r="U4834">
        <v>0</v>
      </c>
      <c r="W4834" t="s">
        <v>146</v>
      </c>
    </row>
    <row r="4835" spans="1:42" x14ac:dyDescent="0.35">
      <c r="A4835" t="s">
        <v>45</v>
      </c>
      <c r="B4835" t="s">
        <v>10928</v>
      </c>
      <c r="C4835" t="s">
        <v>58</v>
      </c>
      <c r="D4835" t="s">
        <v>10948</v>
      </c>
      <c r="E4835" t="s">
        <v>10948</v>
      </c>
      <c r="F4835" t="s">
        <v>142</v>
      </c>
      <c r="G4835" t="s">
        <v>10949</v>
      </c>
      <c r="H4835" t="s">
        <v>10950</v>
      </c>
      <c r="J4835" t="str">
        <f>HYPERLINK("https://www.youtube.com/watch?v=K9YpGQbLGDI","https://www.youtube.com/watch?v=K9YpGQbLGDI")</f>
        <v>https://www.youtube.com/watch?v=K9YpGQbLGDI</v>
      </c>
      <c r="O4835">
        <v>0</v>
      </c>
      <c r="P4835">
        <v>0</v>
      </c>
      <c r="Q4835">
        <v>0</v>
      </c>
      <c r="S4835">
        <v>0</v>
      </c>
      <c r="T4835">
        <v>0</v>
      </c>
      <c r="U4835">
        <v>0</v>
      </c>
      <c r="W4835" t="s">
        <v>106</v>
      </c>
      <c r="AP4835" t="s">
        <v>94</v>
      </c>
    </row>
    <row r="4836" spans="1:42" x14ac:dyDescent="0.35">
      <c r="A4836" t="s">
        <v>45</v>
      </c>
      <c r="B4836" t="s">
        <v>10928</v>
      </c>
      <c r="C4836" t="s">
        <v>47</v>
      </c>
      <c r="F4836" t="s">
        <v>49</v>
      </c>
      <c r="G4836" t="s">
        <v>10951</v>
      </c>
      <c r="H4836" t="s">
        <v>10952</v>
      </c>
      <c r="J4836" t="str">
        <f>HYPERLINK("https://www.facebook.com/352414827739925/posts/334288902885851?comment_id=707486244825837","https://www.facebook.com/352414827739925/posts/334288902885851?comment_id=707486244825837")</f>
        <v>https://www.facebook.com/352414827739925/posts/334288902885851?comment_id=707486244825837</v>
      </c>
      <c r="O4836">
        <v>0</v>
      </c>
      <c r="P4836">
        <v>0</v>
      </c>
      <c r="Q4836">
        <v>0</v>
      </c>
      <c r="S4836">
        <v>0</v>
      </c>
      <c r="T4836">
        <v>0</v>
      </c>
      <c r="U4836">
        <v>0</v>
      </c>
      <c r="W4836" t="s">
        <v>106</v>
      </c>
    </row>
    <row r="4837" spans="1:42" x14ac:dyDescent="0.35">
      <c r="A4837" t="s">
        <v>45</v>
      </c>
      <c r="B4837" t="s">
        <v>10928</v>
      </c>
      <c r="C4837" t="s">
        <v>139</v>
      </c>
      <c r="D4837" t="s">
        <v>10953</v>
      </c>
      <c r="E4837" t="s">
        <v>10954</v>
      </c>
      <c r="F4837" t="s">
        <v>49</v>
      </c>
      <c r="G4837" t="s">
        <v>10955</v>
      </c>
      <c r="H4837" t="s">
        <v>10956</v>
      </c>
      <c r="J4837" t="str">
        <f>HYPERLINK("https://twitter.com/AnshulA59619573/status/1748703278114939051","https://twitter.com/AnshulA59619573/status/1748703278114939051")</f>
        <v>https://twitter.com/AnshulA59619573/status/1748703278114939051</v>
      </c>
      <c r="K4837" t="s">
        <v>1769</v>
      </c>
      <c r="O4837">
        <v>0</v>
      </c>
      <c r="P4837">
        <v>0</v>
      </c>
      <c r="Q4837">
        <v>2</v>
      </c>
      <c r="S4837">
        <v>0</v>
      </c>
      <c r="T4837">
        <v>0</v>
      </c>
      <c r="U4837">
        <v>0</v>
      </c>
      <c r="W4837" t="s">
        <v>146</v>
      </c>
      <c r="AP4837" t="s">
        <v>101</v>
      </c>
    </row>
    <row r="4838" spans="1:42" x14ac:dyDescent="0.35">
      <c r="A4838" t="s">
        <v>45</v>
      </c>
      <c r="B4838" t="s">
        <v>10928</v>
      </c>
      <c r="C4838" t="s">
        <v>139</v>
      </c>
      <c r="D4838" t="s">
        <v>10957</v>
      </c>
      <c r="E4838" t="s">
        <v>10958</v>
      </c>
      <c r="F4838" t="s">
        <v>49</v>
      </c>
      <c r="G4838" t="s">
        <v>10959</v>
      </c>
      <c r="H4838" t="s">
        <v>10960</v>
      </c>
      <c r="J4838" t="str">
        <f>HYPERLINK("https://twitter.com/EthPatters2091/status/1748697306579255769","https://twitter.com/EthPatters2091/status/1748697306579255769")</f>
        <v>https://twitter.com/EthPatters2091/status/1748697306579255769</v>
      </c>
      <c r="K4838" t="s">
        <v>145</v>
      </c>
      <c r="O4838">
        <v>0</v>
      </c>
      <c r="P4838">
        <v>0</v>
      </c>
      <c r="Q4838">
        <v>0</v>
      </c>
      <c r="R4838" t="s">
        <v>10961</v>
      </c>
      <c r="S4838">
        <v>0</v>
      </c>
      <c r="T4838">
        <v>0</v>
      </c>
      <c r="U4838">
        <v>0</v>
      </c>
      <c r="W4838" t="s">
        <v>146</v>
      </c>
    </row>
    <row r="4839" spans="1:42" x14ac:dyDescent="0.35">
      <c r="A4839" t="s">
        <v>45</v>
      </c>
      <c r="B4839" t="s">
        <v>10928</v>
      </c>
      <c r="C4839" t="s">
        <v>47</v>
      </c>
      <c r="D4839" t="s">
        <v>10962</v>
      </c>
      <c r="E4839" t="s">
        <v>10962</v>
      </c>
      <c r="F4839" t="s">
        <v>49</v>
      </c>
      <c r="G4839" t="s">
        <v>2273</v>
      </c>
      <c r="H4839" t="s">
        <v>10963</v>
      </c>
      <c r="J4839" t="str">
        <f>HYPERLINK("https://www.facebook.com/357267201017935/inbox/6942115795866343/","https://www.facebook.com/357267201017935/inbox/6942115795866343/")</f>
        <v>https://www.facebook.com/357267201017935/inbox/6942115795866343/</v>
      </c>
      <c r="O4839">
        <v>0</v>
      </c>
      <c r="P4839">
        <v>0</v>
      </c>
      <c r="Q4839">
        <v>0</v>
      </c>
      <c r="S4839">
        <v>0</v>
      </c>
      <c r="T4839">
        <v>0</v>
      </c>
      <c r="U4839">
        <v>0</v>
      </c>
      <c r="W4839" t="s">
        <v>52</v>
      </c>
    </row>
    <row r="4840" spans="1:42" x14ac:dyDescent="0.35">
      <c r="A4840" t="s">
        <v>45</v>
      </c>
      <c r="B4840" t="s">
        <v>10928</v>
      </c>
      <c r="C4840" t="s">
        <v>58</v>
      </c>
      <c r="D4840" t="s">
        <v>5474</v>
      </c>
      <c r="E4840" t="s">
        <v>5474</v>
      </c>
      <c r="F4840" t="s">
        <v>49</v>
      </c>
      <c r="G4840" t="s">
        <v>10964</v>
      </c>
      <c r="H4840" t="s">
        <v>10965</v>
      </c>
      <c r="J4840" t="str">
        <f>HYPERLINK("https://www.youtube.com/watch?v=DrYlOTmbogI","https://www.youtube.com/watch?v=DrYlOTmbogI")</f>
        <v>https://www.youtube.com/watch?v=DrYlOTmbogI</v>
      </c>
      <c r="O4840">
        <v>0</v>
      </c>
      <c r="P4840">
        <v>0</v>
      </c>
      <c r="Q4840">
        <v>0</v>
      </c>
      <c r="S4840">
        <v>0</v>
      </c>
      <c r="T4840">
        <v>0</v>
      </c>
      <c r="U4840">
        <v>0</v>
      </c>
      <c r="W4840" t="s">
        <v>106</v>
      </c>
    </row>
    <row r="4841" spans="1:42" x14ac:dyDescent="0.35">
      <c r="A4841" t="s">
        <v>45</v>
      </c>
      <c r="B4841" t="s">
        <v>10928</v>
      </c>
      <c r="C4841" t="s">
        <v>139</v>
      </c>
      <c r="D4841" t="s">
        <v>10966</v>
      </c>
      <c r="E4841" t="s">
        <v>10967</v>
      </c>
      <c r="F4841" t="s">
        <v>49</v>
      </c>
      <c r="G4841" t="s">
        <v>10968</v>
      </c>
      <c r="H4841" t="s">
        <v>10969</v>
      </c>
      <c r="J4841" t="str">
        <f>HYPERLINK("https://twitter.com/rajminpanchal/status/1748677472869331162","https://twitter.com/rajminpanchal/status/1748677472869331162")</f>
        <v>https://twitter.com/rajminpanchal/status/1748677472869331162</v>
      </c>
      <c r="O4841">
        <v>0</v>
      </c>
      <c r="P4841">
        <v>0</v>
      </c>
      <c r="Q4841">
        <v>711</v>
      </c>
      <c r="S4841">
        <v>0</v>
      </c>
      <c r="T4841">
        <v>0</v>
      </c>
      <c r="U4841">
        <v>0</v>
      </c>
      <c r="W4841" t="s">
        <v>552</v>
      </c>
    </row>
    <row r="4842" spans="1:42" x14ac:dyDescent="0.35">
      <c r="A4842" t="s">
        <v>45</v>
      </c>
      <c r="B4842" t="s">
        <v>10928</v>
      </c>
      <c r="C4842" t="s">
        <v>58</v>
      </c>
      <c r="D4842" t="s">
        <v>10970</v>
      </c>
      <c r="E4842" t="s">
        <v>10970</v>
      </c>
      <c r="F4842" t="s">
        <v>142</v>
      </c>
      <c r="G4842" t="s">
        <v>5126</v>
      </c>
      <c r="H4842" t="s">
        <v>10971</v>
      </c>
      <c r="J4842" t="str">
        <f>HYPERLINK("https://www.youtube.com/watch?v=lXH2_wdTk7I","https://www.youtube.com/watch?v=lXH2_wdTk7I")</f>
        <v>https://www.youtube.com/watch?v=lXH2_wdTk7I</v>
      </c>
      <c r="O4842">
        <v>0</v>
      </c>
      <c r="P4842">
        <v>0</v>
      </c>
      <c r="Q4842">
        <v>0</v>
      </c>
      <c r="S4842">
        <v>0</v>
      </c>
      <c r="T4842">
        <v>0</v>
      </c>
      <c r="U4842">
        <v>0</v>
      </c>
      <c r="W4842" t="s">
        <v>106</v>
      </c>
      <c r="AP4842" t="s">
        <v>94</v>
      </c>
    </row>
    <row r="4843" spans="1:42" x14ac:dyDescent="0.35">
      <c r="A4843" t="s">
        <v>45</v>
      </c>
      <c r="B4843" t="s">
        <v>10928</v>
      </c>
      <c r="C4843" t="s">
        <v>58</v>
      </c>
      <c r="D4843" t="s">
        <v>3440</v>
      </c>
      <c r="E4843" t="s">
        <v>3440</v>
      </c>
      <c r="F4843" t="s">
        <v>49</v>
      </c>
      <c r="G4843" t="s">
        <v>10972</v>
      </c>
      <c r="H4843" t="s">
        <v>10973</v>
      </c>
      <c r="J4843" t="str">
        <f>HYPERLINK("https://www.youtube.com/watch?v=CWGwF9zQ6DU","https://www.youtube.com/watch?v=CWGwF9zQ6DU")</f>
        <v>https://www.youtube.com/watch?v=CWGwF9zQ6DU</v>
      </c>
      <c r="O4843">
        <v>0</v>
      </c>
      <c r="P4843">
        <v>0</v>
      </c>
      <c r="Q4843">
        <v>0</v>
      </c>
      <c r="S4843">
        <v>0</v>
      </c>
      <c r="T4843">
        <v>0</v>
      </c>
      <c r="U4843">
        <v>0</v>
      </c>
      <c r="W4843" t="s">
        <v>106</v>
      </c>
      <c r="AP4843" t="s">
        <v>101</v>
      </c>
    </row>
    <row r="4844" spans="1:42" x14ac:dyDescent="0.35">
      <c r="A4844" t="s">
        <v>45</v>
      </c>
      <c r="B4844" t="s">
        <v>10928</v>
      </c>
      <c r="C4844" t="s">
        <v>139</v>
      </c>
      <c r="D4844" t="s">
        <v>10974</v>
      </c>
      <c r="E4844" t="s">
        <v>10975</v>
      </c>
      <c r="F4844" t="s">
        <v>49</v>
      </c>
      <c r="G4844" t="s">
        <v>10976</v>
      </c>
      <c r="H4844" t="s">
        <v>10977</v>
      </c>
      <c r="J4844" t="str">
        <f>HYPERLINK("https://twitter.com/roktokhindi/status/1748660568070725738","https://twitter.com/roktokhindi/status/1748660568070725738")</f>
        <v>https://twitter.com/roktokhindi/status/1748660568070725738</v>
      </c>
      <c r="O4844">
        <v>0</v>
      </c>
      <c r="P4844">
        <v>0</v>
      </c>
      <c r="Q4844">
        <v>21</v>
      </c>
      <c r="R4844" t="s">
        <v>582</v>
      </c>
      <c r="S4844">
        <v>0</v>
      </c>
      <c r="T4844">
        <v>0</v>
      </c>
      <c r="U4844">
        <v>0</v>
      </c>
      <c r="W4844" t="s">
        <v>146</v>
      </c>
    </row>
    <row r="4845" spans="1:42" x14ac:dyDescent="0.35">
      <c r="A4845" t="s">
        <v>45</v>
      </c>
      <c r="B4845" t="s">
        <v>10928</v>
      </c>
      <c r="C4845" t="s">
        <v>58</v>
      </c>
      <c r="D4845" t="s">
        <v>1240</v>
      </c>
      <c r="E4845" t="s">
        <v>1240</v>
      </c>
      <c r="F4845" t="s">
        <v>76</v>
      </c>
      <c r="G4845" t="s">
        <v>10978</v>
      </c>
      <c r="H4845" t="s">
        <v>10979</v>
      </c>
      <c r="J4845" t="str">
        <f>HYPERLINK("https://www.youtube.com/watch?v=loYFWuBIUu0","https://www.youtube.com/watch?v=loYFWuBIUu0")</f>
        <v>https://www.youtube.com/watch?v=loYFWuBIUu0</v>
      </c>
      <c r="O4845">
        <v>0</v>
      </c>
      <c r="P4845">
        <v>0</v>
      </c>
      <c r="Q4845">
        <v>0</v>
      </c>
      <c r="S4845">
        <v>0</v>
      </c>
      <c r="T4845">
        <v>0</v>
      </c>
      <c r="U4845">
        <v>0</v>
      </c>
      <c r="W4845" t="s">
        <v>106</v>
      </c>
    </row>
    <row r="4846" spans="1:42" x14ac:dyDescent="0.35">
      <c r="A4846" t="s">
        <v>45</v>
      </c>
      <c r="B4846" t="s">
        <v>10928</v>
      </c>
      <c r="C4846" t="s">
        <v>139</v>
      </c>
      <c r="D4846" t="s">
        <v>10980</v>
      </c>
      <c r="E4846" t="s">
        <v>10981</v>
      </c>
      <c r="F4846" t="s">
        <v>49</v>
      </c>
      <c r="G4846" t="s">
        <v>10982</v>
      </c>
      <c r="H4846" t="s">
        <v>10983</v>
      </c>
      <c r="J4846" t="str">
        <f>HYPERLINK("https://twitter.com/DihyaHashmi/status/1748642748465631586","https://twitter.com/DihyaHashmi/status/1748642748465631586")</f>
        <v>https://twitter.com/DihyaHashmi/status/1748642748465631586</v>
      </c>
      <c r="K4846" t="s">
        <v>145</v>
      </c>
      <c r="O4846">
        <v>0</v>
      </c>
      <c r="P4846">
        <v>0</v>
      </c>
      <c r="Q4846">
        <v>107</v>
      </c>
      <c r="R4846" t="s">
        <v>5503</v>
      </c>
      <c r="S4846">
        <v>0</v>
      </c>
      <c r="T4846">
        <v>0</v>
      </c>
      <c r="U4846">
        <v>0</v>
      </c>
      <c r="W4846" t="s">
        <v>146</v>
      </c>
    </row>
    <row r="4847" spans="1:42" x14ac:dyDescent="0.35">
      <c r="A4847" t="s">
        <v>45</v>
      </c>
      <c r="B4847" t="s">
        <v>10928</v>
      </c>
      <c r="C4847" t="s">
        <v>139</v>
      </c>
      <c r="D4847" t="s">
        <v>10980</v>
      </c>
      <c r="E4847" t="s">
        <v>10981</v>
      </c>
      <c r="F4847" t="s">
        <v>142</v>
      </c>
      <c r="G4847" t="s">
        <v>10984</v>
      </c>
      <c r="H4847" t="s">
        <v>10985</v>
      </c>
      <c r="J4847" t="str">
        <f>HYPERLINK("https://twitter.com/DihyaHashmi/status/1748640684565819790","https://twitter.com/DihyaHashmi/status/1748640684565819790")</f>
        <v>https://twitter.com/DihyaHashmi/status/1748640684565819790</v>
      </c>
      <c r="K4847" t="s">
        <v>145</v>
      </c>
      <c r="O4847">
        <v>0</v>
      </c>
      <c r="P4847">
        <v>0</v>
      </c>
      <c r="Q4847">
        <v>107</v>
      </c>
      <c r="R4847" t="s">
        <v>5503</v>
      </c>
      <c r="S4847">
        <v>0</v>
      </c>
      <c r="T4847">
        <v>0</v>
      </c>
      <c r="U4847">
        <v>0</v>
      </c>
      <c r="W4847" t="s">
        <v>146</v>
      </c>
    </row>
    <row r="4848" spans="1:42" x14ac:dyDescent="0.35">
      <c r="A4848" t="s">
        <v>45</v>
      </c>
      <c r="B4848" t="s">
        <v>10928</v>
      </c>
      <c r="C4848" t="s">
        <v>139</v>
      </c>
      <c r="D4848" t="s">
        <v>10980</v>
      </c>
      <c r="E4848" t="s">
        <v>10981</v>
      </c>
      <c r="F4848" t="s">
        <v>142</v>
      </c>
      <c r="G4848" t="s">
        <v>10784</v>
      </c>
      <c r="H4848" t="s">
        <v>10986</v>
      </c>
      <c r="J4848" t="str">
        <f>HYPERLINK("https://twitter.com/DihyaHashmi/status/1748639363469029688","https://twitter.com/DihyaHashmi/status/1748639363469029688")</f>
        <v>https://twitter.com/DihyaHashmi/status/1748639363469029688</v>
      </c>
      <c r="K4848" t="s">
        <v>145</v>
      </c>
      <c r="O4848">
        <v>0</v>
      </c>
      <c r="P4848">
        <v>0</v>
      </c>
      <c r="Q4848">
        <v>107</v>
      </c>
      <c r="R4848" t="s">
        <v>5503</v>
      </c>
      <c r="S4848">
        <v>0</v>
      </c>
      <c r="T4848">
        <v>0</v>
      </c>
      <c r="U4848">
        <v>0</v>
      </c>
      <c r="W4848" t="s">
        <v>146</v>
      </c>
      <c r="AP4848" t="s">
        <v>147</v>
      </c>
    </row>
    <row r="4849" spans="1:42" x14ac:dyDescent="0.35">
      <c r="A4849" t="s">
        <v>45</v>
      </c>
      <c r="B4849" t="s">
        <v>10928</v>
      </c>
      <c r="C4849" t="s">
        <v>139</v>
      </c>
      <c r="D4849" t="s">
        <v>10980</v>
      </c>
      <c r="E4849" t="s">
        <v>10981</v>
      </c>
      <c r="F4849" t="s">
        <v>142</v>
      </c>
      <c r="G4849" t="s">
        <v>10987</v>
      </c>
      <c r="H4849" t="s">
        <v>10988</v>
      </c>
      <c r="J4849" t="str">
        <f>HYPERLINK("https://twitter.com/DihyaHashmi/status/1748639100176109927","https://twitter.com/DihyaHashmi/status/1748639100176109927")</f>
        <v>https://twitter.com/DihyaHashmi/status/1748639100176109927</v>
      </c>
      <c r="K4849" t="s">
        <v>145</v>
      </c>
      <c r="O4849">
        <v>0</v>
      </c>
      <c r="P4849">
        <v>0</v>
      </c>
      <c r="Q4849">
        <v>107</v>
      </c>
      <c r="R4849" t="s">
        <v>5503</v>
      </c>
      <c r="S4849">
        <v>0</v>
      </c>
      <c r="T4849">
        <v>0</v>
      </c>
      <c r="U4849">
        <v>0</v>
      </c>
      <c r="W4849" t="s">
        <v>146</v>
      </c>
      <c r="AO4849" t="s">
        <v>119</v>
      </c>
      <c r="AP4849" t="s">
        <v>147</v>
      </c>
    </row>
    <row r="4850" spans="1:42" x14ac:dyDescent="0.35">
      <c r="A4850" t="s">
        <v>45</v>
      </c>
      <c r="B4850" t="s">
        <v>10928</v>
      </c>
      <c r="C4850" t="s">
        <v>139</v>
      </c>
      <c r="D4850" t="s">
        <v>10989</v>
      </c>
      <c r="E4850" t="s">
        <v>10990</v>
      </c>
      <c r="F4850" t="s">
        <v>76</v>
      </c>
      <c r="G4850" t="s">
        <v>10991</v>
      </c>
      <c r="H4850" t="s">
        <v>10992</v>
      </c>
      <c r="J4850" t="str">
        <f>HYPERLINK("https://twitter.com/Mahenk_Gor/status/1748629652011159665","https://twitter.com/Mahenk_Gor/status/1748629652011159665")</f>
        <v>https://twitter.com/Mahenk_Gor/status/1748629652011159665</v>
      </c>
      <c r="O4850">
        <v>0</v>
      </c>
      <c r="P4850">
        <v>0</v>
      </c>
      <c r="Q4850">
        <v>4</v>
      </c>
      <c r="S4850">
        <v>0</v>
      </c>
      <c r="T4850">
        <v>0</v>
      </c>
      <c r="U4850">
        <v>0</v>
      </c>
      <c r="W4850" t="s">
        <v>146</v>
      </c>
    </row>
    <row r="4851" spans="1:42" x14ac:dyDescent="0.35">
      <c r="A4851" t="s">
        <v>45</v>
      </c>
      <c r="B4851" t="s">
        <v>10928</v>
      </c>
      <c r="C4851" t="s">
        <v>139</v>
      </c>
      <c r="D4851" t="s">
        <v>10993</v>
      </c>
      <c r="E4851" t="s">
        <v>10994</v>
      </c>
      <c r="F4851" t="s">
        <v>49</v>
      </c>
      <c r="G4851" t="s">
        <v>10968</v>
      </c>
      <c r="H4851" t="s">
        <v>10995</v>
      </c>
      <c r="J4851" t="str">
        <f>HYPERLINK("https://twitter.com/FinvestingJ/status/1748629081015636301","https://twitter.com/FinvestingJ/status/1748629081015636301")</f>
        <v>https://twitter.com/FinvestingJ/status/1748629081015636301</v>
      </c>
      <c r="O4851">
        <v>0</v>
      </c>
      <c r="P4851">
        <v>0</v>
      </c>
      <c r="Q4851">
        <v>313</v>
      </c>
      <c r="S4851">
        <v>0</v>
      </c>
      <c r="T4851">
        <v>0</v>
      </c>
      <c r="U4851">
        <v>0</v>
      </c>
      <c r="W4851" t="s">
        <v>552</v>
      </c>
    </row>
    <row r="4852" spans="1:42" x14ac:dyDescent="0.35">
      <c r="A4852" t="s">
        <v>45</v>
      </c>
      <c r="B4852" t="s">
        <v>10928</v>
      </c>
      <c r="C4852" t="s">
        <v>139</v>
      </c>
      <c r="D4852" t="s">
        <v>10993</v>
      </c>
      <c r="E4852" t="s">
        <v>10994</v>
      </c>
      <c r="F4852" t="s">
        <v>49</v>
      </c>
      <c r="G4852" t="s">
        <v>10968</v>
      </c>
      <c r="H4852" t="s">
        <v>10996</v>
      </c>
      <c r="J4852" t="str">
        <f>HYPERLINK("https://twitter.com/FinvestingJ/status/1748624719145021923","https://twitter.com/FinvestingJ/status/1748624719145021923")</f>
        <v>https://twitter.com/FinvestingJ/status/1748624719145021923</v>
      </c>
      <c r="O4852">
        <v>0</v>
      </c>
      <c r="P4852">
        <v>0</v>
      </c>
      <c r="Q4852">
        <v>313</v>
      </c>
      <c r="S4852">
        <v>0</v>
      </c>
      <c r="T4852">
        <v>0</v>
      </c>
      <c r="U4852">
        <v>0</v>
      </c>
      <c r="W4852" t="s">
        <v>146</v>
      </c>
    </row>
    <row r="4853" spans="1:42" x14ac:dyDescent="0.35">
      <c r="A4853" t="s">
        <v>45</v>
      </c>
      <c r="B4853" t="s">
        <v>10928</v>
      </c>
      <c r="C4853" t="s">
        <v>47</v>
      </c>
      <c r="D4853" t="s">
        <v>7732</v>
      </c>
      <c r="E4853" t="s">
        <v>7732</v>
      </c>
      <c r="F4853" t="s">
        <v>49</v>
      </c>
      <c r="G4853" t="s">
        <v>253</v>
      </c>
      <c r="H4853" t="s">
        <v>10997</v>
      </c>
      <c r="J4853" t="str">
        <f>HYPERLINK("https://www.facebook.com/357267201017935/inbox/6841614539249803/","https://www.facebook.com/357267201017935/inbox/6841614539249803/")</f>
        <v>https://www.facebook.com/357267201017935/inbox/6841614539249803/</v>
      </c>
      <c r="O4853">
        <v>0</v>
      </c>
      <c r="P4853">
        <v>0</v>
      </c>
      <c r="Q4853">
        <v>0</v>
      </c>
      <c r="S4853">
        <v>0</v>
      </c>
      <c r="T4853">
        <v>0</v>
      </c>
      <c r="U4853">
        <v>0</v>
      </c>
      <c r="W4853" t="s">
        <v>52</v>
      </c>
    </row>
    <row r="4854" spans="1:42" x14ac:dyDescent="0.35">
      <c r="A4854" t="s">
        <v>45</v>
      </c>
      <c r="B4854" t="s">
        <v>10928</v>
      </c>
      <c r="C4854" t="s">
        <v>47</v>
      </c>
      <c r="D4854" t="s">
        <v>10998</v>
      </c>
      <c r="E4854" t="s">
        <v>10998</v>
      </c>
      <c r="F4854" t="s">
        <v>49</v>
      </c>
      <c r="G4854" t="s">
        <v>10999</v>
      </c>
      <c r="H4854" t="s">
        <v>11000</v>
      </c>
      <c r="J4854" t="str">
        <f>HYPERLINK("https://www.facebook.com/454965103328545/posts/750007137157672?comment_id=1503924783797779","https://www.facebook.com/454965103328545/posts/750007137157672?comment_id=1503924783797779")</f>
        <v>https://www.facebook.com/454965103328545/posts/750007137157672?comment_id=1503924783797779</v>
      </c>
      <c r="O4854">
        <v>0</v>
      </c>
      <c r="P4854">
        <v>0</v>
      </c>
      <c r="Q4854">
        <v>0</v>
      </c>
      <c r="S4854">
        <v>0</v>
      </c>
      <c r="T4854">
        <v>0</v>
      </c>
      <c r="U4854">
        <v>0</v>
      </c>
      <c r="W4854" t="s">
        <v>62</v>
      </c>
    </row>
    <row r="4855" spans="1:42" x14ac:dyDescent="0.35">
      <c r="A4855" t="s">
        <v>45</v>
      </c>
      <c r="B4855" t="s">
        <v>10928</v>
      </c>
      <c r="C4855" t="s">
        <v>58</v>
      </c>
      <c r="D4855" t="s">
        <v>10645</v>
      </c>
      <c r="E4855" t="s">
        <v>10645</v>
      </c>
      <c r="F4855" t="s">
        <v>49</v>
      </c>
      <c r="G4855" t="s">
        <v>11001</v>
      </c>
      <c r="H4855" t="s">
        <v>11002</v>
      </c>
      <c r="J4855" t="str">
        <f>HYPERLINK("https://www.youtube.com/watch?v=mroR1LaWHW0","https://www.youtube.com/watch?v=mroR1LaWHW0")</f>
        <v>https://www.youtube.com/watch?v=mroR1LaWHW0</v>
      </c>
      <c r="O4855">
        <v>0</v>
      </c>
      <c r="P4855">
        <v>0</v>
      </c>
      <c r="Q4855">
        <v>0</v>
      </c>
      <c r="S4855">
        <v>0</v>
      </c>
      <c r="T4855">
        <v>0</v>
      </c>
      <c r="U4855">
        <v>0</v>
      </c>
      <c r="W4855" t="s">
        <v>106</v>
      </c>
    </row>
    <row r="4856" spans="1:42" x14ac:dyDescent="0.35">
      <c r="A4856" t="s">
        <v>45</v>
      </c>
      <c r="B4856" t="s">
        <v>10928</v>
      </c>
      <c r="C4856" t="s">
        <v>47</v>
      </c>
      <c r="D4856" t="s">
        <v>11003</v>
      </c>
      <c r="E4856" t="s">
        <v>11003</v>
      </c>
      <c r="F4856" t="s">
        <v>49</v>
      </c>
      <c r="G4856" t="s">
        <v>11004</v>
      </c>
      <c r="H4856" t="s">
        <v>11005</v>
      </c>
      <c r="J4856" t="str">
        <f>HYPERLINK("https://www.facebook.com/357267201017935/inbox/5634947916583144/","https://www.facebook.com/357267201017935/inbox/5634947916583144/")</f>
        <v>https://www.facebook.com/357267201017935/inbox/5634947916583144/</v>
      </c>
      <c r="O4856">
        <v>0</v>
      </c>
      <c r="P4856">
        <v>0</v>
      </c>
      <c r="Q4856">
        <v>0</v>
      </c>
      <c r="S4856">
        <v>0</v>
      </c>
      <c r="T4856">
        <v>0</v>
      </c>
      <c r="U4856">
        <v>0</v>
      </c>
      <c r="W4856" t="s">
        <v>52</v>
      </c>
    </row>
    <row r="4857" spans="1:42" x14ac:dyDescent="0.35">
      <c r="A4857" t="s">
        <v>45</v>
      </c>
      <c r="B4857" t="s">
        <v>10928</v>
      </c>
      <c r="C4857" t="s">
        <v>139</v>
      </c>
      <c r="D4857" t="s">
        <v>10535</v>
      </c>
      <c r="E4857" t="s">
        <v>10536</v>
      </c>
      <c r="F4857" t="s">
        <v>49</v>
      </c>
      <c r="G4857" t="s">
        <v>11006</v>
      </c>
      <c r="H4857" t="s">
        <v>11007</v>
      </c>
      <c r="J4857" t="str">
        <f>HYPERLINK("https://twitter.com/JAGDISHMENA1/status/1748545601527320686","https://twitter.com/JAGDISHMENA1/status/1748545601527320686")</f>
        <v>https://twitter.com/JAGDISHMENA1/status/1748545601527320686</v>
      </c>
      <c r="K4857" t="s">
        <v>145</v>
      </c>
      <c r="O4857">
        <v>0</v>
      </c>
      <c r="P4857">
        <v>0</v>
      </c>
      <c r="Q4857">
        <v>0</v>
      </c>
      <c r="S4857">
        <v>0</v>
      </c>
      <c r="T4857">
        <v>0</v>
      </c>
      <c r="U4857">
        <v>0</v>
      </c>
      <c r="W4857" t="s">
        <v>146</v>
      </c>
    </row>
    <row r="4858" spans="1:42" x14ac:dyDescent="0.35">
      <c r="A4858" t="s">
        <v>45</v>
      </c>
      <c r="B4858" t="s">
        <v>10928</v>
      </c>
      <c r="C4858" t="s">
        <v>139</v>
      </c>
      <c r="D4858" t="s">
        <v>10535</v>
      </c>
      <c r="E4858" t="s">
        <v>10536</v>
      </c>
      <c r="F4858" t="s">
        <v>49</v>
      </c>
      <c r="G4858" t="s">
        <v>11008</v>
      </c>
      <c r="H4858" t="s">
        <v>11009</v>
      </c>
      <c r="J4858" t="str">
        <f>HYPERLINK("https://twitter.com/JAGDISHMENA1/status/1748544761122930974","https://twitter.com/JAGDISHMENA1/status/1748544761122930974")</f>
        <v>https://twitter.com/JAGDISHMENA1/status/1748544761122930974</v>
      </c>
      <c r="K4858" t="s">
        <v>145</v>
      </c>
      <c r="O4858">
        <v>0</v>
      </c>
      <c r="P4858">
        <v>0</v>
      </c>
      <c r="Q4858">
        <v>0</v>
      </c>
      <c r="S4858">
        <v>0</v>
      </c>
      <c r="T4858">
        <v>0</v>
      </c>
      <c r="U4858">
        <v>0</v>
      </c>
      <c r="W4858" t="s">
        <v>146</v>
      </c>
      <c r="AO4858" t="s">
        <v>67</v>
      </c>
    </row>
    <row r="4859" spans="1:42" x14ac:dyDescent="0.35">
      <c r="A4859" t="s">
        <v>45</v>
      </c>
      <c r="B4859" t="s">
        <v>10928</v>
      </c>
      <c r="C4859" t="s">
        <v>139</v>
      </c>
      <c r="D4859" t="s">
        <v>10535</v>
      </c>
      <c r="E4859" t="s">
        <v>10536</v>
      </c>
      <c r="F4859" t="s">
        <v>49</v>
      </c>
      <c r="G4859" t="s">
        <v>11010</v>
      </c>
      <c r="H4859" t="s">
        <v>11011</v>
      </c>
      <c r="J4859" t="str">
        <f>HYPERLINK("https://twitter.com/JAGDISHMENA1/status/1748544573457232368","https://twitter.com/JAGDISHMENA1/status/1748544573457232368")</f>
        <v>https://twitter.com/JAGDISHMENA1/status/1748544573457232368</v>
      </c>
      <c r="K4859" t="s">
        <v>145</v>
      </c>
      <c r="O4859">
        <v>0</v>
      </c>
      <c r="P4859">
        <v>0</v>
      </c>
      <c r="Q4859">
        <v>0</v>
      </c>
      <c r="S4859">
        <v>0</v>
      </c>
      <c r="T4859">
        <v>0</v>
      </c>
      <c r="U4859">
        <v>0</v>
      </c>
      <c r="W4859" t="s">
        <v>146</v>
      </c>
    </row>
    <row r="4860" spans="1:42" x14ac:dyDescent="0.35">
      <c r="A4860" t="s">
        <v>45</v>
      </c>
      <c r="B4860" t="s">
        <v>10928</v>
      </c>
      <c r="C4860" t="s">
        <v>139</v>
      </c>
      <c r="D4860" t="s">
        <v>11012</v>
      </c>
      <c r="E4860" t="s">
        <v>7425</v>
      </c>
      <c r="F4860" t="s">
        <v>142</v>
      </c>
      <c r="G4860" t="s">
        <v>11013</v>
      </c>
      <c r="H4860" t="s">
        <v>11014</v>
      </c>
      <c r="J4860" t="str">
        <f>HYPERLINK("https://twitter.com/MunnakrX/status/1748529395134787947","https://twitter.com/MunnakrX/status/1748529395134787947")</f>
        <v>https://twitter.com/MunnakrX/status/1748529395134787947</v>
      </c>
      <c r="K4860" t="s">
        <v>145</v>
      </c>
      <c r="O4860">
        <v>0</v>
      </c>
      <c r="P4860">
        <v>0</v>
      </c>
      <c r="Q4860">
        <v>1</v>
      </c>
      <c r="S4860">
        <v>0</v>
      </c>
      <c r="T4860">
        <v>0</v>
      </c>
      <c r="U4860">
        <v>0</v>
      </c>
      <c r="W4860" t="s">
        <v>146</v>
      </c>
    </row>
    <row r="4861" spans="1:42" x14ac:dyDescent="0.35">
      <c r="A4861" t="s">
        <v>45</v>
      </c>
      <c r="B4861" t="s">
        <v>10928</v>
      </c>
      <c r="C4861" t="s">
        <v>47</v>
      </c>
      <c r="D4861" t="s">
        <v>98</v>
      </c>
      <c r="E4861" t="s">
        <v>98</v>
      </c>
      <c r="F4861" t="s">
        <v>49</v>
      </c>
      <c r="G4861" t="s">
        <v>11015</v>
      </c>
      <c r="H4861" t="s">
        <v>11016</v>
      </c>
      <c r="J4861" t="str">
        <f>HYPERLINK("https://www.facebook.com/454965103328545/posts/754206683404384?comment_id=879456477193934","https://www.facebook.com/454965103328545/posts/754206683404384?comment_id=879456477193934")</f>
        <v>https://www.facebook.com/454965103328545/posts/754206683404384?comment_id=879456477193934</v>
      </c>
      <c r="O4861">
        <v>0</v>
      </c>
      <c r="P4861">
        <v>0</v>
      </c>
      <c r="Q4861">
        <v>0</v>
      </c>
      <c r="S4861">
        <v>0</v>
      </c>
      <c r="T4861">
        <v>0</v>
      </c>
      <c r="U4861">
        <v>0</v>
      </c>
      <c r="W4861" t="s">
        <v>62</v>
      </c>
    </row>
    <row r="4862" spans="1:42" x14ac:dyDescent="0.35">
      <c r="A4862" t="s">
        <v>45</v>
      </c>
      <c r="B4862" t="s">
        <v>10928</v>
      </c>
      <c r="C4862" t="s">
        <v>139</v>
      </c>
      <c r="D4862" t="s">
        <v>11017</v>
      </c>
      <c r="E4862" t="s">
        <v>11018</v>
      </c>
      <c r="F4862" t="s">
        <v>49</v>
      </c>
      <c r="G4862" t="s">
        <v>11019</v>
      </c>
      <c r="H4862" t="s">
        <v>11020</v>
      </c>
      <c r="J4862" t="str">
        <f>HYPERLINK("https://twitter.com/tinghiscoc75362/status/1748463111567188008","https://twitter.com/tinghiscoc75362/status/1748463111567188008")</f>
        <v>https://twitter.com/tinghiscoc75362/status/1748463111567188008</v>
      </c>
      <c r="O4862">
        <v>0</v>
      </c>
      <c r="P4862">
        <v>0</v>
      </c>
      <c r="Q4862">
        <v>0</v>
      </c>
      <c r="S4862">
        <v>0</v>
      </c>
      <c r="T4862">
        <v>0</v>
      </c>
      <c r="U4862">
        <v>0</v>
      </c>
      <c r="W4862" t="s">
        <v>146</v>
      </c>
    </row>
    <row r="4863" spans="1:42" x14ac:dyDescent="0.35">
      <c r="A4863" t="s">
        <v>45</v>
      </c>
      <c r="B4863" t="s">
        <v>10928</v>
      </c>
      <c r="C4863" t="s">
        <v>139</v>
      </c>
      <c r="D4863" t="s">
        <v>11021</v>
      </c>
      <c r="E4863" t="s">
        <v>11022</v>
      </c>
      <c r="F4863" t="s">
        <v>49</v>
      </c>
      <c r="G4863" t="s">
        <v>11023</v>
      </c>
      <c r="H4863" t="s">
        <v>11024</v>
      </c>
      <c r="J4863" t="str">
        <f>HYPERLINK("https://twitter.com/Debjyoti1/status/1748423052730499345","https://twitter.com/Debjyoti1/status/1748423052730499345")</f>
        <v>https://twitter.com/Debjyoti1/status/1748423052730499345</v>
      </c>
      <c r="K4863" t="s">
        <v>145</v>
      </c>
      <c r="O4863">
        <v>0</v>
      </c>
      <c r="P4863">
        <v>0</v>
      </c>
      <c r="Q4863">
        <v>1</v>
      </c>
      <c r="R4863" t="s">
        <v>11025</v>
      </c>
      <c r="S4863">
        <v>0</v>
      </c>
      <c r="T4863">
        <v>0</v>
      </c>
      <c r="U4863">
        <v>0</v>
      </c>
      <c r="W4863" t="s">
        <v>146</v>
      </c>
    </row>
    <row r="4864" spans="1:42" x14ac:dyDescent="0.35">
      <c r="A4864" t="s">
        <v>45</v>
      </c>
      <c r="B4864" t="s">
        <v>11026</v>
      </c>
      <c r="C4864" t="s">
        <v>47</v>
      </c>
      <c r="D4864" t="s">
        <v>11027</v>
      </c>
      <c r="E4864" t="s">
        <v>11027</v>
      </c>
      <c r="F4864" t="s">
        <v>49</v>
      </c>
      <c r="G4864" t="s">
        <v>11028</v>
      </c>
      <c r="H4864" t="s">
        <v>11029</v>
      </c>
      <c r="J4864" t="str">
        <f>HYPERLINK("https://www.facebook.com/454965103328545/posts/734812295343823?comment_id=286052607458672","https://www.facebook.com/454965103328545/posts/734812295343823?comment_id=286052607458672")</f>
        <v>https://www.facebook.com/454965103328545/posts/734812295343823?comment_id=286052607458672</v>
      </c>
      <c r="O4864">
        <v>0</v>
      </c>
      <c r="P4864">
        <v>0</v>
      </c>
      <c r="Q4864">
        <v>0</v>
      </c>
      <c r="S4864">
        <v>0</v>
      </c>
      <c r="T4864">
        <v>0</v>
      </c>
      <c r="U4864">
        <v>0</v>
      </c>
      <c r="W4864" t="s">
        <v>62</v>
      </c>
    </row>
    <row r="4865" spans="1:42" x14ac:dyDescent="0.35">
      <c r="A4865" t="s">
        <v>45</v>
      </c>
      <c r="B4865" t="s">
        <v>11026</v>
      </c>
      <c r="C4865" t="s">
        <v>47</v>
      </c>
      <c r="D4865" t="s">
        <v>11030</v>
      </c>
      <c r="E4865" t="s">
        <v>11030</v>
      </c>
      <c r="F4865" t="s">
        <v>49</v>
      </c>
      <c r="G4865" t="s">
        <v>253</v>
      </c>
      <c r="H4865" t="s">
        <v>11031</v>
      </c>
      <c r="J4865" t="str">
        <f>HYPERLINK("https://www.facebook.com/357267201017935/inbox/6939143099496946/","https://www.facebook.com/357267201017935/inbox/6939143099496946/")</f>
        <v>https://www.facebook.com/357267201017935/inbox/6939143099496946/</v>
      </c>
      <c r="O4865">
        <v>0</v>
      </c>
      <c r="P4865">
        <v>0</v>
      </c>
      <c r="Q4865">
        <v>0</v>
      </c>
      <c r="S4865">
        <v>0</v>
      </c>
      <c r="T4865">
        <v>0</v>
      </c>
      <c r="U4865">
        <v>0</v>
      </c>
      <c r="W4865" t="s">
        <v>52</v>
      </c>
    </row>
    <row r="4866" spans="1:42" x14ac:dyDescent="0.35">
      <c r="A4866" t="s">
        <v>45</v>
      </c>
      <c r="B4866" t="s">
        <v>11026</v>
      </c>
      <c r="C4866" t="s">
        <v>47</v>
      </c>
      <c r="D4866" t="s">
        <v>11030</v>
      </c>
      <c r="E4866" t="s">
        <v>11030</v>
      </c>
      <c r="F4866" t="s">
        <v>76</v>
      </c>
      <c r="G4866" t="s">
        <v>11032</v>
      </c>
      <c r="H4866" t="s">
        <v>11031</v>
      </c>
      <c r="J4866" t="str">
        <f>HYPERLINK("https://www.facebook.com/357267201017935/inbox/6939143099496946/","https://www.facebook.com/357267201017935/inbox/6939143099496946/")</f>
        <v>https://www.facebook.com/357267201017935/inbox/6939143099496946/</v>
      </c>
      <c r="O4866">
        <v>0</v>
      </c>
      <c r="P4866">
        <v>0</v>
      </c>
      <c r="Q4866">
        <v>0</v>
      </c>
      <c r="S4866">
        <v>0</v>
      </c>
      <c r="T4866">
        <v>0</v>
      </c>
      <c r="U4866">
        <v>0</v>
      </c>
      <c r="W4866" t="s">
        <v>52</v>
      </c>
    </row>
    <row r="4867" spans="1:42" x14ac:dyDescent="0.35">
      <c r="A4867" t="s">
        <v>45</v>
      </c>
      <c r="B4867" t="s">
        <v>11026</v>
      </c>
      <c r="C4867" t="s">
        <v>47</v>
      </c>
      <c r="D4867" t="s">
        <v>11033</v>
      </c>
      <c r="E4867" t="s">
        <v>11033</v>
      </c>
      <c r="F4867" t="s">
        <v>49</v>
      </c>
      <c r="G4867" t="s">
        <v>11034</v>
      </c>
      <c r="H4867" t="s">
        <v>11035</v>
      </c>
      <c r="J4867" t="str">
        <f>HYPERLINK("https://www.facebook.com/454965103328545/posts/734812295343823?comment_id=1818418432004932","https://www.facebook.com/454965103328545/posts/734812295343823?comment_id=1818418432004932")</f>
        <v>https://www.facebook.com/454965103328545/posts/734812295343823?comment_id=1818418432004932</v>
      </c>
      <c r="O4867">
        <v>0</v>
      </c>
      <c r="P4867">
        <v>0</v>
      </c>
      <c r="Q4867">
        <v>0</v>
      </c>
      <c r="S4867">
        <v>0</v>
      </c>
      <c r="T4867">
        <v>0</v>
      </c>
      <c r="U4867">
        <v>0</v>
      </c>
      <c r="W4867" t="s">
        <v>62</v>
      </c>
      <c r="AP4867" t="s">
        <v>94</v>
      </c>
    </row>
    <row r="4868" spans="1:42" x14ac:dyDescent="0.35">
      <c r="A4868" t="s">
        <v>45</v>
      </c>
      <c r="B4868" t="s">
        <v>11026</v>
      </c>
      <c r="C4868" t="s">
        <v>58</v>
      </c>
      <c r="D4868" t="s">
        <v>11036</v>
      </c>
      <c r="E4868" t="s">
        <v>11036</v>
      </c>
      <c r="F4868" t="s">
        <v>49</v>
      </c>
      <c r="G4868" t="s">
        <v>11037</v>
      </c>
      <c r="H4868" t="s">
        <v>11038</v>
      </c>
      <c r="J4868" t="str">
        <f>HYPERLINK("https://www.youtube.com/watch?v=NdpxWBJPElA","https://www.youtube.com/watch?v=NdpxWBJPElA")</f>
        <v>https://www.youtube.com/watch?v=NdpxWBJPElA</v>
      </c>
      <c r="O4868">
        <v>0</v>
      </c>
      <c r="P4868">
        <v>0</v>
      </c>
      <c r="Q4868">
        <v>0</v>
      </c>
      <c r="S4868">
        <v>0</v>
      </c>
      <c r="T4868">
        <v>0</v>
      </c>
      <c r="U4868">
        <v>0</v>
      </c>
      <c r="W4868" t="s">
        <v>106</v>
      </c>
      <c r="AP4868" t="s">
        <v>101</v>
      </c>
    </row>
    <row r="4869" spans="1:42" x14ac:dyDescent="0.35">
      <c r="A4869" t="s">
        <v>45</v>
      </c>
      <c r="B4869" t="s">
        <v>11026</v>
      </c>
      <c r="C4869" t="s">
        <v>139</v>
      </c>
      <c r="D4869" t="s">
        <v>11039</v>
      </c>
      <c r="E4869" t="s">
        <v>11040</v>
      </c>
      <c r="F4869" t="s">
        <v>142</v>
      </c>
      <c r="G4869" t="s">
        <v>11041</v>
      </c>
      <c r="H4869" t="s">
        <v>11042</v>
      </c>
      <c r="J4869" t="str">
        <f>HYPERLINK("https://twitter.com/UdityaSingh19/status/1748365039109906747","https://twitter.com/UdityaSingh19/status/1748365039109906747")</f>
        <v>https://twitter.com/UdityaSingh19/status/1748365039109906747</v>
      </c>
      <c r="K4869" t="s">
        <v>145</v>
      </c>
      <c r="O4869">
        <v>0</v>
      </c>
      <c r="P4869">
        <v>0</v>
      </c>
      <c r="Q4869">
        <v>20</v>
      </c>
      <c r="S4869">
        <v>0</v>
      </c>
      <c r="T4869">
        <v>0</v>
      </c>
      <c r="U4869">
        <v>0</v>
      </c>
      <c r="W4869" t="s">
        <v>146</v>
      </c>
      <c r="AP4869" t="s">
        <v>147</v>
      </c>
    </row>
    <row r="4870" spans="1:42" x14ac:dyDescent="0.35">
      <c r="A4870" t="s">
        <v>45</v>
      </c>
      <c r="B4870" t="s">
        <v>11026</v>
      </c>
      <c r="C4870" t="s">
        <v>139</v>
      </c>
      <c r="D4870" t="s">
        <v>11043</v>
      </c>
      <c r="E4870" t="s">
        <v>11044</v>
      </c>
      <c r="F4870" t="s">
        <v>76</v>
      </c>
      <c r="G4870" t="s">
        <v>11045</v>
      </c>
      <c r="H4870" t="s">
        <v>11046</v>
      </c>
      <c r="J4870" t="str">
        <f>HYPERLINK("https://twitter.com/arapamop1978563/status/1748364245832437979","https://twitter.com/arapamop1978563/status/1748364245832437979")</f>
        <v>https://twitter.com/arapamop1978563/status/1748364245832437979</v>
      </c>
      <c r="O4870">
        <v>0</v>
      </c>
      <c r="P4870">
        <v>0</v>
      </c>
      <c r="Q4870">
        <v>0</v>
      </c>
      <c r="S4870">
        <v>0</v>
      </c>
      <c r="T4870">
        <v>0</v>
      </c>
      <c r="U4870">
        <v>0</v>
      </c>
      <c r="W4870" t="s">
        <v>146</v>
      </c>
    </row>
    <row r="4871" spans="1:42" x14ac:dyDescent="0.35">
      <c r="A4871" t="s">
        <v>45</v>
      </c>
      <c r="B4871" t="s">
        <v>11026</v>
      </c>
      <c r="C4871" t="s">
        <v>139</v>
      </c>
      <c r="D4871" t="s">
        <v>11047</v>
      </c>
      <c r="E4871" t="s">
        <v>11048</v>
      </c>
      <c r="F4871" t="s">
        <v>142</v>
      </c>
      <c r="G4871" t="s">
        <v>11049</v>
      </c>
      <c r="H4871" t="s">
        <v>11050</v>
      </c>
      <c r="J4871" t="str">
        <f>HYPERLINK("https://twitter.com/Parmeshwar7755/status/1748362765155307972","https://twitter.com/Parmeshwar7755/status/1748362765155307972")</f>
        <v>https://twitter.com/Parmeshwar7755/status/1748362765155307972</v>
      </c>
      <c r="K4871" t="s">
        <v>145</v>
      </c>
      <c r="O4871">
        <v>0</v>
      </c>
      <c r="P4871">
        <v>0</v>
      </c>
      <c r="Q4871">
        <v>27</v>
      </c>
      <c r="R4871" t="s">
        <v>582</v>
      </c>
      <c r="S4871">
        <v>0</v>
      </c>
      <c r="T4871">
        <v>0</v>
      </c>
      <c r="U4871">
        <v>0</v>
      </c>
      <c r="W4871" t="s">
        <v>146</v>
      </c>
    </row>
    <row r="4872" spans="1:42" x14ac:dyDescent="0.35">
      <c r="A4872" t="s">
        <v>45</v>
      </c>
      <c r="B4872" t="s">
        <v>11026</v>
      </c>
      <c r="C4872" t="s">
        <v>139</v>
      </c>
      <c r="D4872" t="s">
        <v>11047</v>
      </c>
      <c r="E4872" t="s">
        <v>11048</v>
      </c>
      <c r="F4872" t="s">
        <v>76</v>
      </c>
      <c r="G4872" t="s">
        <v>11051</v>
      </c>
      <c r="H4872" t="s">
        <v>11052</v>
      </c>
      <c r="J4872" t="str">
        <f>HYPERLINK("https://twitter.com/Parmeshwar7755/status/1748362322610176200","https://twitter.com/Parmeshwar7755/status/1748362322610176200")</f>
        <v>https://twitter.com/Parmeshwar7755/status/1748362322610176200</v>
      </c>
      <c r="K4872" t="s">
        <v>145</v>
      </c>
      <c r="O4872">
        <v>0</v>
      </c>
      <c r="P4872">
        <v>0</v>
      </c>
      <c r="Q4872">
        <v>27</v>
      </c>
      <c r="R4872" t="s">
        <v>582</v>
      </c>
      <c r="S4872">
        <v>0</v>
      </c>
      <c r="T4872">
        <v>0</v>
      </c>
      <c r="U4872">
        <v>0</v>
      </c>
      <c r="W4872" t="s">
        <v>146</v>
      </c>
    </row>
    <row r="4873" spans="1:42" x14ac:dyDescent="0.35">
      <c r="A4873" t="s">
        <v>45</v>
      </c>
      <c r="B4873" t="s">
        <v>11026</v>
      </c>
      <c r="C4873" t="s">
        <v>139</v>
      </c>
      <c r="D4873" t="s">
        <v>11047</v>
      </c>
      <c r="E4873" t="s">
        <v>11048</v>
      </c>
      <c r="F4873" t="s">
        <v>49</v>
      </c>
      <c r="G4873" t="s">
        <v>11053</v>
      </c>
      <c r="H4873" t="s">
        <v>11054</v>
      </c>
      <c r="J4873" t="str">
        <f>HYPERLINK("https://twitter.com/Parmeshwar7755/status/1748360934719181113","https://twitter.com/Parmeshwar7755/status/1748360934719181113")</f>
        <v>https://twitter.com/Parmeshwar7755/status/1748360934719181113</v>
      </c>
      <c r="K4873" t="s">
        <v>145</v>
      </c>
      <c r="O4873">
        <v>0</v>
      </c>
      <c r="P4873">
        <v>0</v>
      </c>
      <c r="Q4873">
        <v>27</v>
      </c>
      <c r="R4873" t="s">
        <v>582</v>
      </c>
      <c r="S4873">
        <v>0</v>
      </c>
      <c r="T4873">
        <v>0</v>
      </c>
      <c r="U4873">
        <v>0</v>
      </c>
      <c r="W4873" t="s">
        <v>146</v>
      </c>
      <c r="AO4873" t="s">
        <v>119</v>
      </c>
      <c r="AP4873" t="s">
        <v>101</v>
      </c>
    </row>
    <row r="4874" spans="1:42" x14ac:dyDescent="0.35">
      <c r="A4874" t="s">
        <v>45</v>
      </c>
      <c r="B4874" t="s">
        <v>11026</v>
      </c>
      <c r="C4874" t="s">
        <v>139</v>
      </c>
      <c r="D4874" t="s">
        <v>11047</v>
      </c>
      <c r="E4874" t="s">
        <v>11048</v>
      </c>
      <c r="F4874" t="s">
        <v>142</v>
      </c>
      <c r="G4874" t="s">
        <v>11055</v>
      </c>
      <c r="H4874" t="s">
        <v>11056</v>
      </c>
      <c r="J4874" t="str">
        <f>HYPERLINK("https://twitter.com/Parmeshwar7755/status/1748360445315211412","https://twitter.com/Parmeshwar7755/status/1748360445315211412")</f>
        <v>https://twitter.com/Parmeshwar7755/status/1748360445315211412</v>
      </c>
      <c r="K4874" t="s">
        <v>145</v>
      </c>
      <c r="O4874">
        <v>0</v>
      </c>
      <c r="P4874">
        <v>0</v>
      </c>
      <c r="Q4874">
        <v>27</v>
      </c>
      <c r="R4874" t="s">
        <v>582</v>
      </c>
      <c r="S4874">
        <v>0</v>
      </c>
      <c r="T4874">
        <v>0</v>
      </c>
      <c r="U4874">
        <v>0</v>
      </c>
      <c r="W4874" t="s">
        <v>146</v>
      </c>
    </row>
    <row r="4875" spans="1:42" x14ac:dyDescent="0.35">
      <c r="A4875" t="s">
        <v>45</v>
      </c>
      <c r="B4875" t="s">
        <v>11026</v>
      </c>
      <c r="C4875" t="s">
        <v>139</v>
      </c>
      <c r="D4875" t="s">
        <v>11047</v>
      </c>
      <c r="E4875" t="s">
        <v>11048</v>
      </c>
      <c r="F4875" t="s">
        <v>142</v>
      </c>
      <c r="G4875" t="s">
        <v>11057</v>
      </c>
      <c r="H4875" t="s">
        <v>11058</v>
      </c>
      <c r="J4875" t="str">
        <f>HYPERLINK("https://twitter.com/Parmeshwar7755/status/1748359935988281625","https://twitter.com/Parmeshwar7755/status/1748359935988281625")</f>
        <v>https://twitter.com/Parmeshwar7755/status/1748359935988281625</v>
      </c>
      <c r="K4875" t="s">
        <v>145</v>
      </c>
      <c r="O4875">
        <v>0</v>
      </c>
      <c r="P4875">
        <v>0</v>
      </c>
      <c r="Q4875">
        <v>27</v>
      </c>
      <c r="R4875" t="s">
        <v>582</v>
      </c>
      <c r="S4875">
        <v>0</v>
      </c>
      <c r="T4875">
        <v>0</v>
      </c>
      <c r="U4875">
        <v>0</v>
      </c>
      <c r="W4875" t="s">
        <v>146</v>
      </c>
    </row>
    <row r="4876" spans="1:42" x14ac:dyDescent="0.35">
      <c r="A4876" t="s">
        <v>45</v>
      </c>
      <c r="B4876" t="s">
        <v>11026</v>
      </c>
      <c r="C4876" t="s">
        <v>139</v>
      </c>
      <c r="D4876" t="s">
        <v>11047</v>
      </c>
      <c r="E4876" t="s">
        <v>11048</v>
      </c>
      <c r="F4876" t="s">
        <v>142</v>
      </c>
      <c r="G4876" t="s">
        <v>11059</v>
      </c>
      <c r="H4876" t="s">
        <v>11060</v>
      </c>
      <c r="J4876" t="str">
        <f>HYPERLINK("https://twitter.com/Parmeshwar7755/status/1748359760771227650","https://twitter.com/Parmeshwar7755/status/1748359760771227650")</f>
        <v>https://twitter.com/Parmeshwar7755/status/1748359760771227650</v>
      </c>
      <c r="K4876" t="s">
        <v>145</v>
      </c>
      <c r="O4876">
        <v>0</v>
      </c>
      <c r="P4876">
        <v>0</v>
      </c>
      <c r="Q4876">
        <v>27</v>
      </c>
      <c r="R4876" t="s">
        <v>582</v>
      </c>
      <c r="S4876">
        <v>0</v>
      </c>
      <c r="T4876">
        <v>0</v>
      </c>
      <c r="U4876">
        <v>0</v>
      </c>
      <c r="W4876" t="s">
        <v>146</v>
      </c>
    </row>
    <row r="4877" spans="1:42" x14ac:dyDescent="0.35">
      <c r="A4877" t="s">
        <v>45</v>
      </c>
      <c r="B4877" t="s">
        <v>11026</v>
      </c>
      <c r="C4877" t="s">
        <v>139</v>
      </c>
      <c r="D4877" t="s">
        <v>11047</v>
      </c>
      <c r="E4877" t="s">
        <v>11048</v>
      </c>
      <c r="F4877" t="s">
        <v>142</v>
      </c>
      <c r="G4877" t="s">
        <v>11061</v>
      </c>
      <c r="H4877" t="s">
        <v>11062</v>
      </c>
      <c r="J4877" t="str">
        <f>HYPERLINK("https://twitter.com/Parmeshwar7755/status/1748359439852441846","https://twitter.com/Parmeshwar7755/status/1748359439852441846")</f>
        <v>https://twitter.com/Parmeshwar7755/status/1748359439852441846</v>
      </c>
      <c r="K4877" t="s">
        <v>145</v>
      </c>
      <c r="O4877">
        <v>0</v>
      </c>
      <c r="P4877">
        <v>0</v>
      </c>
      <c r="Q4877">
        <v>27</v>
      </c>
      <c r="R4877" t="s">
        <v>582</v>
      </c>
      <c r="S4877">
        <v>0</v>
      </c>
      <c r="T4877">
        <v>0</v>
      </c>
      <c r="U4877">
        <v>0</v>
      </c>
      <c r="W4877" t="s">
        <v>146</v>
      </c>
    </row>
    <row r="4878" spans="1:42" x14ac:dyDescent="0.35">
      <c r="A4878" t="s">
        <v>45</v>
      </c>
      <c r="B4878" t="s">
        <v>11026</v>
      </c>
      <c r="C4878" t="s">
        <v>139</v>
      </c>
      <c r="D4878" t="s">
        <v>190</v>
      </c>
      <c r="E4878" t="s">
        <v>45</v>
      </c>
      <c r="F4878" t="s">
        <v>49</v>
      </c>
      <c r="G4878" t="s">
        <v>11063</v>
      </c>
      <c r="H4878" t="s">
        <v>11064</v>
      </c>
      <c r="J4878" t="str">
        <f>HYPERLINK("https://twitter.com/FinoPaymntsBank/status/1748353488747389251","https://twitter.com/FinoPaymntsBank/status/1748353488747389251")</f>
        <v>https://twitter.com/FinoPaymntsBank/status/1748353488747389251</v>
      </c>
      <c r="K4878" t="s">
        <v>145</v>
      </c>
      <c r="O4878">
        <v>0</v>
      </c>
      <c r="P4878">
        <v>0</v>
      </c>
      <c r="Q4878">
        <v>8314</v>
      </c>
      <c r="R4878" t="s">
        <v>193</v>
      </c>
      <c r="S4878">
        <v>0</v>
      </c>
      <c r="T4878">
        <v>0</v>
      </c>
      <c r="U4878">
        <v>0</v>
      </c>
      <c r="W4878" t="s">
        <v>146</v>
      </c>
    </row>
    <row r="4879" spans="1:42" x14ac:dyDescent="0.35">
      <c r="A4879" t="s">
        <v>45</v>
      </c>
      <c r="B4879" t="s">
        <v>11026</v>
      </c>
      <c r="C4879" t="s">
        <v>63</v>
      </c>
      <c r="D4879" t="s">
        <v>186</v>
      </c>
      <c r="E4879" t="s">
        <v>186</v>
      </c>
      <c r="F4879" t="s">
        <v>49</v>
      </c>
      <c r="G4879" t="s">
        <v>11065</v>
      </c>
      <c r="H4879" t="s">
        <v>11066</v>
      </c>
      <c r="J4879" t="str">
        <f>HYPERLINK("https://www.instagram.com/reel/C2SQ9rzPLK8/","https://www.instagram.com/reel/C2SQ9rzPLK8/")</f>
        <v>https://www.instagram.com/reel/C2SQ9rzPLK8/</v>
      </c>
      <c r="O4879">
        <v>0</v>
      </c>
      <c r="P4879">
        <v>0</v>
      </c>
      <c r="Q4879">
        <v>0</v>
      </c>
      <c r="S4879">
        <v>0</v>
      </c>
      <c r="T4879">
        <v>84</v>
      </c>
      <c r="U4879">
        <v>0</v>
      </c>
      <c r="W4879" t="s">
        <v>106</v>
      </c>
    </row>
    <row r="4880" spans="1:42" x14ac:dyDescent="0.35">
      <c r="A4880" t="s">
        <v>45</v>
      </c>
      <c r="B4880" t="s">
        <v>11026</v>
      </c>
      <c r="C4880" t="s">
        <v>47</v>
      </c>
      <c r="D4880" t="s">
        <v>45</v>
      </c>
      <c r="E4880" t="s">
        <v>45</v>
      </c>
      <c r="F4880" t="s">
        <v>49</v>
      </c>
      <c r="G4880" t="s">
        <v>11065</v>
      </c>
      <c r="H4880" t="s">
        <v>11067</v>
      </c>
      <c r="J4880" t="str">
        <f>HYPERLINK("https://www.facebook.com/357267201017935_756092463215806","https://www.facebook.com/357267201017935_756092463215806")</f>
        <v>https://www.facebook.com/357267201017935_756092463215806</v>
      </c>
      <c r="O4880">
        <v>0</v>
      </c>
      <c r="P4880">
        <v>0</v>
      </c>
      <c r="Q4880">
        <v>0</v>
      </c>
      <c r="S4880">
        <v>1</v>
      </c>
      <c r="T4880">
        <v>28</v>
      </c>
      <c r="U4880">
        <v>6</v>
      </c>
      <c r="W4880" t="s">
        <v>106</v>
      </c>
    </row>
    <row r="4881" spans="1:42" x14ac:dyDescent="0.35">
      <c r="A4881" t="s">
        <v>45</v>
      </c>
      <c r="B4881" t="s">
        <v>11026</v>
      </c>
      <c r="C4881" t="s">
        <v>47</v>
      </c>
      <c r="D4881" t="s">
        <v>11068</v>
      </c>
      <c r="E4881" t="s">
        <v>11068</v>
      </c>
      <c r="F4881" t="s">
        <v>49</v>
      </c>
      <c r="G4881" t="s">
        <v>11069</v>
      </c>
      <c r="H4881" t="s">
        <v>11070</v>
      </c>
      <c r="J4881" t="str">
        <f>HYPERLINK("https://www.facebook.com/357267201017935/inbox/6938422759568980/","https://www.facebook.com/357267201017935/inbox/6938422759568980/")</f>
        <v>https://www.facebook.com/357267201017935/inbox/6938422759568980/</v>
      </c>
      <c r="O4881">
        <v>0</v>
      </c>
      <c r="P4881">
        <v>0</v>
      </c>
      <c r="Q4881">
        <v>0</v>
      </c>
      <c r="S4881">
        <v>0</v>
      </c>
      <c r="T4881">
        <v>0</v>
      </c>
      <c r="U4881">
        <v>0</v>
      </c>
      <c r="W4881" t="s">
        <v>52</v>
      </c>
    </row>
    <row r="4882" spans="1:42" x14ac:dyDescent="0.35">
      <c r="A4882" t="s">
        <v>45</v>
      </c>
      <c r="B4882" t="s">
        <v>11026</v>
      </c>
      <c r="C4882" t="s">
        <v>47</v>
      </c>
      <c r="D4882" t="s">
        <v>11068</v>
      </c>
      <c r="E4882" t="s">
        <v>11068</v>
      </c>
      <c r="F4882" t="s">
        <v>49</v>
      </c>
      <c r="G4882" t="s">
        <v>11071</v>
      </c>
      <c r="H4882" t="s">
        <v>11072</v>
      </c>
      <c r="J4882" t="str">
        <f>HYPERLINK("https://www.facebook.com/357267201017935/inbox/6938422759568980/","https://www.facebook.com/357267201017935/inbox/6938422759568980/")</f>
        <v>https://www.facebook.com/357267201017935/inbox/6938422759568980/</v>
      </c>
      <c r="O4882">
        <v>0</v>
      </c>
      <c r="P4882">
        <v>0</v>
      </c>
      <c r="Q4882">
        <v>0</v>
      </c>
      <c r="S4882">
        <v>0</v>
      </c>
      <c r="T4882">
        <v>0</v>
      </c>
      <c r="U4882">
        <v>0</v>
      </c>
      <c r="W4882" t="s">
        <v>52</v>
      </c>
    </row>
    <row r="4883" spans="1:42" x14ac:dyDescent="0.35">
      <c r="A4883" t="s">
        <v>45</v>
      </c>
      <c r="B4883" t="s">
        <v>11026</v>
      </c>
      <c r="C4883" t="s">
        <v>47</v>
      </c>
      <c r="D4883" t="s">
        <v>11068</v>
      </c>
      <c r="E4883" t="s">
        <v>11068</v>
      </c>
      <c r="F4883" t="s">
        <v>49</v>
      </c>
      <c r="G4883" t="s">
        <v>11073</v>
      </c>
      <c r="H4883" t="s">
        <v>11074</v>
      </c>
      <c r="J4883" t="str">
        <f>HYPERLINK("https://www.facebook.com/357267201017935/inbox/6938422759568980/","https://www.facebook.com/357267201017935/inbox/6938422759568980/")</f>
        <v>https://www.facebook.com/357267201017935/inbox/6938422759568980/</v>
      </c>
      <c r="O4883">
        <v>0</v>
      </c>
      <c r="P4883">
        <v>0</v>
      </c>
      <c r="Q4883">
        <v>0</v>
      </c>
      <c r="S4883">
        <v>0</v>
      </c>
      <c r="T4883">
        <v>0</v>
      </c>
      <c r="U4883">
        <v>0</v>
      </c>
      <c r="W4883" t="s">
        <v>52</v>
      </c>
    </row>
    <row r="4884" spans="1:42" x14ac:dyDescent="0.35">
      <c r="A4884" t="s">
        <v>45</v>
      </c>
      <c r="B4884" t="s">
        <v>11026</v>
      </c>
      <c r="C4884" t="s">
        <v>47</v>
      </c>
      <c r="D4884" t="s">
        <v>11068</v>
      </c>
      <c r="E4884" t="s">
        <v>11068</v>
      </c>
      <c r="F4884" t="s">
        <v>49</v>
      </c>
      <c r="G4884" t="s">
        <v>50</v>
      </c>
      <c r="H4884" t="s">
        <v>11075</v>
      </c>
      <c r="J4884" t="str">
        <f>HYPERLINK("https://www.facebook.com/357267201017935/inbox/6938422759568980/","https://www.facebook.com/357267201017935/inbox/6938422759568980/")</f>
        <v>https://www.facebook.com/357267201017935/inbox/6938422759568980/</v>
      </c>
      <c r="O4884">
        <v>0</v>
      </c>
      <c r="P4884">
        <v>0</v>
      </c>
      <c r="Q4884">
        <v>0</v>
      </c>
      <c r="S4884">
        <v>0</v>
      </c>
      <c r="T4884">
        <v>0</v>
      </c>
      <c r="U4884">
        <v>0</v>
      </c>
      <c r="W4884" t="s">
        <v>52</v>
      </c>
    </row>
    <row r="4885" spans="1:42" x14ac:dyDescent="0.35">
      <c r="A4885" t="s">
        <v>45</v>
      </c>
      <c r="B4885" t="s">
        <v>11026</v>
      </c>
      <c r="C4885" t="s">
        <v>47</v>
      </c>
      <c r="D4885" t="s">
        <v>11076</v>
      </c>
      <c r="E4885" t="s">
        <v>11076</v>
      </c>
      <c r="F4885" t="s">
        <v>49</v>
      </c>
      <c r="G4885" t="s">
        <v>131</v>
      </c>
      <c r="H4885" t="s">
        <v>11077</v>
      </c>
      <c r="J4885" t="str">
        <f>HYPERLINK("https://www.facebook.com/454965103328545/videos/297238147986937?comment_id=1492676807944457","https://www.facebook.com/454965103328545/videos/297238147986937?comment_id=1492676807944457")</f>
        <v>https://www.facebook.com/454965103328545/videos/297238147986937?comment_id=1492676807944457</v>
      </c>
      <c r="O4885">
        <v>0</v>
      </c>
      <c r="P4885">
        <v>0</v>
      </c>
      <c r="Q4885">
        <v>0</v>
      </c>
      <c r="S4885">
        <v>0</v>
      </c>
      <c r="T4885">
        <v>0</v>
      </c>
      <c r="U4885">
        <v>0</v>
      </c>
      <c r="W4885" t="s">
        <v>62</v>
      </c>
    </row>
    <row r="4886" spans="1:42" x14ac:dyDescent="0.35">
      <c r="A4886" t="s">
        <v>45</v>
      </c>
      <c r="B4886" t="s">
        <v>11026</v>
      </c>
      <c r="C4886" t="s">
        <v>58</v>
      </c>
      <c r="D4886" t="s">
        <v>3179</v>
      </c>
      <c r="E4886" t="s">
        <v>3179</v>
      </c>
      <c r="F4886" t="s">
        <v>49</v>
      </c>
      <c r="G4886" t="s">
        <v>11078</v>
      </c>
      <c r="H4886" t="s">
        <v>11079</v>
      </c>
      <c r="J4886" t="str">
        <f>HYPERLINK("https://www.youtube.com/watch?v=slQ7JH9hEVA","https://www.youtube.com/watch?v=slQ7JH9hEVA")</f>
        <v>https://www.youtube.com/watch?v=slQ7JH9hEVA</v>
      </c>
      <c r="O4886">
        <v>0</v>
      </c>
      <c r="P4886">
        <v>0</v>
      </c>
      <c r="Q4886">
        <v>0</v>
      </c>
      <c r="S4886">
        <v>0</v>
      </c>
      <c r="T4886">
        <v>0</v>
      </c>
      <c r="U4886">
        <v>0</v>
      </c>
      <c r="W4886" t="s">
        <v>106</v>
      </c>
    </row>
    <row r="4887" spans="1:42" x14ac:dyDescent="0.35">
      <c r="A4887" t="s">
        <v>45</v>
      </c>
      <c r="B4887" t="s">
        <v>11026</v>
      </c>
      <c r="C4887" t="s">
        <v>58</v>
      </c>
      <c r="D4887" t="s">
        <v>11080</v>
      </c>
      <c r="E4887" t="s">
        <v>11080</v>
      </c>
      <c r="F4887" t="s">
        <v>49</v>
      </c>
      <c r="G4887" t="s">
        <v>11081</v>
      </c>
      <c r="H4887" t="s">
        <v>11082</v>
      </c>
      <c r="J4887" t="str">
        <f>HYPERLINK("https://www.youtube.com/watch?v=53rORA8IfWY","https://www.youtube.com/watch?v=53rORA8IfWY")</f>
        <v>https://www.youtube.com/watch?v=53rORA8IfWY</v>
      </c>
      <c r="O4887">
        <v>0</v>
      </c>
      <c r="P4887">
        <v>0</v>
      </c>
      <c r="Q4887">
        <v>0</v>
      </c>
      <c r="S4887">
        <v>0</v>
      </c>
      <c r="T4887">
        <v>0</v>
      </c>
      <c r="U4887">
        <v>0</v>
      </c>
      <c r="W4887" t="s">
        <v>106</v>
      </c>
    </row>
    <row r="4888" spans="1:42" x14ac:dyDescent="0.35">
      <c r="A4888" t="s">
        <v>45</v>
      </c>
      <c r="B4888" t="s">
        <v>11026</v>
      </c>
      <c r="C4888" t="s">
        <v>58</v>
      </c>
      <c r="D4888" t="s">
        <v>11083</v>
      </c>
      <c r="E4888" t="s">
        <v>11083</v>
      </c>
      <c r="F4888" t="s">
        <v>49</v>
      </c>
      <c r="G4888" s="1" t="s">
        <v>11084</v>
      </c>
      <c r="H4888" t="s">
        <v>11085</v>
      </c>
      <c r="J4888" t="str">
        <f>HYPERLINK("https://www.youtube.com/watch?v=cmTMiT7q3bE&amp;lc=UgwfWrtnTiJGAlUtSGV4AaABAg","https://www.youtube.com/watch?v=cmTMiT7q3bE&amp;lc=UgwfWrtnTiJGAlUtSGV4AaABAg")</f>
        <v>https://www.youtube.com/watch?v=cmTMiT7q3bE&amp;lc=UgwfWrtnTiJGAlUtSGV4AaABAg</v>
      </c>
      <c r="O4888">
        <v>0</v>
      </c>
      <c r="P4888">
        <v>0</v>
      </c>
      <c r="Q4888">
        <v>0</v>
      </c>
      <c r="S4888">
        <v>0</v>
      </c>
      <c r="T4888">
        <v>0</v>
      </c>
      <c r="U4888">
        <v>0</v>
      </c>
      <c r="W4888" t="s">
        <v>62</v>
      </c>
    </row>
    <row r="4889" spans="1:42" x14ac:dyDescent="0.35">
      <c r="A4889" t="s">
        <v>45</v>
      </c>
      <c r="B4889" t="s">
        <v>11026</v>
      </c>
      <c r="C4889" t="s">
        <v>47</v>
      </c>
      <c r="F4889" t="s">
        <v>49</v>
      </c>
      <c r="G4889" t="s">
        <v>11086</v>
      </c>
      <c r="H4889" t="s">
        <v>11087</v>
      </c>
      <c r="J4889" t="str">
        <f>HYPERLINK("https://www.facebook.com/228251043696880_730296562379651","https://www.facebook.com/228251043696880_730296562379651")</f>
        <v>https://www.facebook.com/228251043696880_730296562379651</v>
      </c>
      <c r="O4889">
        <v>0</v>
      </c>
      <c r="P4889">
        <v>0</v>
      </c>
      <c r="Q4889">
        <v>0</v>
      </c>
      <c r="S4889">
        <v>0</v>
      </c>
      <c r="T4889">
        <v>0</v>
      </c>
      <c r="U4889">
        <v>0</v>
      </c>
      <c r="W4889" t="s">
        <v>106</v>
      </c>
    </row>
    <row r="4890" spans="1:42" x14ac:dyDescent="0.35">
      <c r="A4890" t="s">
        <v>45</v>
      </c>
      <c r="B4890" t="s">
        <v>11026</v>
      </c>
      <c r="C4890" t="s">
        <v>47</v>
      </c>
      <c r="D4890" t="s">
        <v>4488</v>
      </c>
      <c r="E4890" t="s">
        <v>4488</v>
      </c>
      <c r="F4890" t="s">
        <v>49</v>
      </c>
      <c r="G4890" t="s">
        <v>45</v>
      </c>
      <c r="H4890" t="s">
        <v>11088</v>
      </c>
      <c r="J4890" t="str">
        <f>HYPERLINK("https://www.facebook.com/454965103328545/posts/752516700240049?comment_id=1041602820241828&amp;reply_comment_id=1050674529494426","https://www.facebook.com/454965103328545/posts/752516700240049?comment_id=1041602820241828&amp;reply_comment_id=1050674529494426")</f>
        <v>https://www.facebook.com/454965103328545/posts/752516700240049?comment_id=1041602820241828&amp;reply_comment_id=1050674529494426</v>
      </c>
      <c r="O4890">
        <v>0</v>
      </c>
      <c r="P4890">
        <v>0</v>
      </c>
      <c r="Q4890">
        <v>0</v>
      </c>
      <c r="S4890">
        <v>0</v>
      </c>
      <c r="T4890">
        <v>0</v>
      </c>
      <c r="U4890">
        <v>0</v>
      </c>
      <c r="W4890" t="s">
        <v>62</v>
      </c>
    </row>
    <row r="4891" spans="1:42" x14ac:dyDescent="0.35">
      <c r="A4891" t="s">
        <v>45</v>
      </c>
      <c r="B4891" t="s">
        <v>11026</v>
      </c>
      <c r="C4891" t="s">
        <v>47</v>
      </c>
      <c r="D4891" t="s">
        <v>45</v>
      </c>
      <c r="E4891" t="s">
        <v>45</v>
      </c>
      <c r="F4891" t="s">
        <v>49</v>
      </c>
      <c r="G4891" t="s">
        <v>11089</v>
      </c>
      <c r="H4891" t="s">
        <v>11090</v>
      </c>
      <c r="J4891" t="str">
        <f>HYPERLINK("https://www.facebook.com/454965103328545/posts/752516700240049?comment_id=1041602820241828&amp;reply_comment_id=344777031653648","https://www.facebook.com/454965103328545/posts/752516700240049?comment_id=1041602820241828&amp;reply_comment_id=344777031653648")</f>
        <v>https://www.facebook.com/454965103328545/posts/752516700240049?comment_id=1041602820241828&amp;reply_comment_id=344777031653648</v>
      </c>
      <c r="O4891">
        <v>0</v>
      </c>
      <c r="P4891">
        <v>0</v>
      </c>
      <c r="Q4891">
        <v>0</v>
      </c>
      <c r="S4891">
        <v>0</v>
      </c>
      <c r="T4891">
        <v>0</v>
      </c>
      <c r="U4891">
        <v>0</v>
      </c>
      <c r="W4891" t="s">
        <v>62</v>
      </c>
      <c r="AP4891" t="s">
        <v>147</v>
      </c>
    </row>
    <row r="4892" spans="1:42" x14ac:dyDescent="0.35">
      <c r="A4892" t="s">
        <v>45</v>
      </c>
      <c r="B4892" t="s">
        <v>11026</v>
      </c>
      <c r="C4892" t="s">
        <v>139</v>
      </c>
      <c r="D4892" t="s">
        <v>190</v>
      </c>
      <c r="E4892" t="s">
        <v>45</v>
      </c>
      <c r="F4892" t="s">
        <v>49</v>
      </c>
      <c r="G4892" t="s">
        <v>11091</v>
      </c>
      <c r="H4892" t="s">
        <v>11092</v>
      </c>
      <c r="J4892" t="str">
        <f>HYPERLINK("https://twitter.com/FinoPaymntsBank/status/1748270712819974520","https://twitter.com/FinoPaymntsBank/status/1748270712819974520")</f>
        <v>https://twitter.com/FinoPaymntsBank/status/1748270712819974520</v>
      </c>
      <c r="K4892" t="s">
        <v>145</v>
      </c>
      <c r="O4892">
        <v>0</v>
      </c>
      <c r="P4892">
        <v>0</v>
      </c>
      <c r="Q4892">
        <v>8312</v>
      </c>
      <c r="R4892" t="s">
        <v>193</v>
      </c>
      <c r="S4892">
        <v>0</v>
      </c>
      <c r="T4892">
        <v>0</v>
      </c>
      <c r="U4892">
        <v>0</v>
      </c>
      <c r="W4892" t="s">
        <v>146</v>
      </c>
    </row>
    <row r="4893" spans="1:42" x14ac:dyDescent="0.35">
      <c r="A4893" t="s">
        <v>45</v>
      </c>
      <c r="B4893" t="s">
        <v>11026</v>
      </c>
      <c r="C4893" t="s">
        <v>47</v>
      </c>
      <c r="D4893" t="s">
        <v>11093</v>
      </c>
      <c r="E4893" t="s">
        <v>11093</v>
      </c>
      <c r="F4893" t="s">
        <v>49</v>
      </c>
      <c r="G4893" t="s">
        <v>45</v>
      </c>
      <c r="H4893" t="s">
        <v>11094</v>
      </c>
      <c r="J4893" t="str">
        <f>HYPERLINK("https://www.facebook.com/454965103328545/posts/734812295343823?comment_id=1454408025511044&amp;reply_comment_id=1190258275287646","https://www.facebook.com/454965103328545/posts/734812295343823?comment_id=1454408025511044&amp;reply_comment_id=1190258275287646")</f>
        <v>https://www.facebook.com/454965103328545/posts/734812295343823?comment_id=1454408025511044&amp;reply_comment_id=1190258275287646</v>
      </c>
      <c r="O4893">
        <v>0</v>
      </c>
      <c r="P4893">
        <v>0</v>
      </c>
      <c r="Q4893">
        <v>0</v>
      </c>
      <c r="S4893">
        <v>0</v>
      </c>
      <c r="T4893">
        <v>0</v>
      </c>
      <c r="U4893">
        <v>0</v>
      </c>
      <c r="W4893" t="s">
        <v>62</v>
      </c>
    </row>
    <row r="4894" spans="1:42" x14ac:dyDescent="0.35">
      <c r="A4894" t="s">
        <v>45</v>
      </c>
      <c r="B4894" t="s">
        <v>11026</v>
      </c>
      <c r="C4894" t="s">
        <v>47</v>
      </c>
      <c r="D4894" t="s">
        <v>45</v>
      </c>
      <c r="E4894" t="s">
        <v>45</v>
      </c>
      <c r="F4894" t="s">
        <v>49</v>
      </c>
      <c r="G4894" t="s">
        <v>11095</v>
      </c>
      <c r="H4894" t="s">
        <v>11096</v>
      </c>
      <c r="J4894" t="str">
        <f>HYPERLINK("https://www.facebook.com/454965103328545/posts/734812295343823?comment_id=1454408025511044&amp;reply_comment_id=406673708466996","https://www.facebook.com/454965103328545/posts/734812295343823?comment_id=1454408025511044&amp;reply_comment_id=406673708466996")</f>
        <v>https://www.facebook.com/454965103328545/posts/734812295343823?comment_id=1454408025511044&amp;reply_comment_id=406673708466996</v>
      </c>
      <c r="O4894">
        <v>0</v>
      </c>
      <c r="P4894">
        <v>0</v>
      </c>
      <c r="Q4894">
        <v>0</v>
      </c>
      <c r="S4894">
        <v>0</v>
      </c>
      <c r="T4894">
        <v>0</v>
      </c>
      <c r="U4894">
        <v>0</v>
      </c>
      <c r="W4894" t="s">
        <v>62</v>
      </c>
    </row>
    <row r="4895" spans="1:42" x14ac:dyDescent="0.35">
      <c r="A4895" t="s">
        <v>45</v>
      </c>
      <c r="B4895" t="s">
        <v>11026</v>
      </c>
      <c r="C4895" t="s">
        <v>139</v>
      </c>
      <c r="D4895" t="s">
        <v>190</v>
      </c>
      <c r="E4895" t="s">
        <v>45</v>
      </c>
      <c r="F4895" t="s">
        <v>49</v>
      </c>
      <c r="G4895" t="s">
        <v>11097</v>
      </c>
      <c r="H4895" t="s">
        <v>11098</v>
      </c>
      <c r="J4895" t="str">
        <f>HYPERLINK("https://twitter.com/FinoPaymntsBank/status/1748269320340476263","https://twitter.com/FinoPaymntsBank/status/1748269320340476263")</f>
        <v>https://twitter.com/FinoPaymntsBank/status/1748269320340476263</v>
      </c>
      <c r="K4895" t="s">
        <v>145</v>
      </c>
      <c r="O4895">
        <v>0</v>
      </c>
      <c r="P4895">
        <v>0</v>
      </c>
      <c r="Q4895">
        <v>8312</v>
      </c>
      <c r="R4895" t="s">
        <v>193</v>
      </c>
      <c r="S4895">
        <v>0</v>
      </c>
      <c r="T4895">
        <v>0</v>
      </c>
      <c r="U4895">
        <v>0</v>
      </c>
      <c r="W4895" t="s">
        <v>146</v>
      </c>
    </row>
    <row r="4896" spans="1:42" x14ac:dyDescent="0.35">
      <c r="A4896" t="s">
        <v>45</v>
      </c>
      <c r="B4896" t="s">
        <v>11026</v>
      </c>
      <c r="C4896" t="s">
        <v>139</v>
      </c>
      <c r="D4896" t="s">
        <v>190</v>
      </c>
      <c r="E4896" t="s">
        <v>45</v>
      </c>
      <c r="F4896" t="s">
        <v>49</v>
      </c>
      <c r="G4896" t="s">
        <v>11099</v>
      </c>
      <c r="H4896" t="s">
        <v>11100</v>
      </c>
      <c r="J4896" t="str">
        <f>HYPERLINK("https://twitter.com/FinoPaymntsBank/status/1748269262517817751","https://twitter.com/FinoPaymntsBank/status/1748269262517817751")</f>
        <v>https://twitter.com/FinoPaymntsBank/status/1748269262517817751</v>
      </c>
      <c r="K4896" t="s">
        <v>145</v>
      </c>
      <c r="O4896">
        <v>0</v>
      </c>
      <c r="P4896">
        <v>0</v>
      </c>
      <c r="Q4896">
        <v>8312</v>
      </c>
      <c r="R4896" t="s">
        <v>193</v>
      </c>
      <c r="S4896">
        <v>0</v>
      </c>
      <c r="T4896">
        <v>0</v>
      </c>
      <c r="U4896">
        <v>0</v>
      </c>
      <c r="W4896" t="s">
        <v>146</v>
      </c>
    </row>
    <row r="4897" spans="1:42" x14ac:dyDescent="0.35">
      <c r="A4897" t="s">
        <v>45</v>
      </c>
      <c r="B4897" t="s">
        <v>11026</v>
      </c>
      <c r="C4897" t="s">
        <v>47</v>
      </c>
      <c r="D4897" t="s">
        <v>11101</v>
      </c>
      <c r="E4897" t="s">
        <v>11101</v>
      </c>
      <c r="F4897" t="s">
        <v>49</v>
      </c>
      <c r="G4897" t="s">
        <v>11102</v>
      </c>
      <c r="H4897" t="s">
        <v>11103</v>
      </c>
      <c r="J4897" t="str">
        <f>HYPERLINK("https://www.facebook.com/357267201017935/inbox/6936723076405615/","https://www.facebook.com/357267201017935/inbox/6936723076405615/")</f>
        <v>https://www.facebook.com/357267201017935/inbox/6936723076405615/</v>
      </c>
      <c r="O4897">
        <v>0</v>
      </c>
      <c r="P4897">
        <v>0</v>
      </c>
      <c r="Q4897">
        <v>0</v>
      </c>
      <c r="S4897">
        <v>0</v>
      </c>
      <c r="T4897">
        <v>0</v>
      </c>
      <c r="U4897">
        <v>0</v>
      </c>
      <c r="W4897" t="s">
        <v>52</v>
      </c>
    </row>
    <row r="4898" spans="1:42" x14ac:dyDescent="0.35">
      <c r="A4898" t="s">
        <v>45</v>
      </c>
      <c r="B4898" t="s">
        <v>11026</v>
      </c>
      <c r="C4898" t="s">
        <v>47</v>
      </c>
      <c r="D4898" t="s">
        <v>11101</v>
      </c>
      <c r="E4898" t="s">
        <v>11101</v>
      </c>
      <c r="F4898" t="s">
        <v>49</v>
      </c>
      <c r="G4898" t="s">
        <v>11104</v>
      </c>
      <c r="H4898" t="s">
        <v>11105</v>
      </c>
      <c r="J4898" t="str">
        <f>HYPERLINK("https://www.facebook.com/357267201017935/inbox/6936723076405615/","https://www.facebook.com/357267201017935/inbox/6936723076405615/")</f>
        <v>https://www.facebook.com/357267201017935/inbox/6936723076405615/</v>
      </c>
      <c r="O4898">
        <v>0</v>
      </c>
      <c r="P4898">
        <v>0</v>
      </c>
      <c r="Q4898">
        <v>0</v>
      </c>
      <c r="S4898">
        <v>0</v>
      </c>
      <c r="T4898">
        <v>0</v>
      </c>
      <c r="U4898">
        <v>0</v>
      </c>
      <c r="W4898" t="s">
        <v>52</v>
      </c>
      <c r="AP4898" t="s">
        <v>101</v>
      </c>
    </row>
    <row r="4899" spans="1:42" x14ac:dyDescent="0.35">
      <c r="A4899" t="s">
        <v>45</v>
      </c>
      <c r="B4899" t="s">
        <v>11026</v>
      </c>
      <c r="C4899" t="s">
        <v>47</v>
      </c>
      <c r="D4899" t="s">
        <v>11101</v>
      </c>
      <c r="E4899" t="s">
        <v>11101</v>
      </c>
      <c r="F4899" t="s">
        <v>49</v>
      </c>
      <c r="G4899" t="s">
        <v>11106</v>
      </c>
      <c r="H4899" t="s">
        <v>11107</v>
      </c>
      <c r="J4899" t="str">
        <f>HYPERLINK("https://www.facebook.com/357267201017935/inbox/6936723076405615/","https://www.facebook.com/357267201017935/inbox/6936723076405615/")</f>
        <v>https://www.facebook.com/357267201017935/inbox/6936723076405615/</v>
      </c>
      <c r="O4899">
        <v>0</v>
      </c>
      <c r="P4899">
        <v>0</v>
      </c>
      <c r="Q4899">
        <v>0</v>
      </c>
      <c r="S4899">
        <v>0</v>
      </c>
      <c r="T4899">
        <v>0</v>
      </c>
      <c r="U4899">
        <v>0</v>
      </c>
      <c r="W4899" t="s">
        <v>52</v>
      </c>
      <c r="AP4899" t="s">
        <v>94</v>
      </c>
    </row>
    <row r="4900" spans="1:42" x14ac:dyDescent="0.35">
      <c r="A4900" t="s">
        <v>45</v>
      </c>
      <c r="B4900" t="s">
        <v>11026</v>
      </c>
      <c r="C4900" t="s">
        <v>47</v>
      </c>
      <c r="D4900" t="s">
        <v>45</v>
      </c>
      <c r="E4900" t="s">
        <v>45</v>
      </c>
      <c r="F4900" t="s">
        <v>49</v>
      </c>
      <c r="G4900" t="s">
        <v>11108</v>
      </c>
      <c r="H4900" t="s">
        <v>11109</v>
      </c>
      <c r="J4900" t="str">
        <f>HYPERLINK("https://www.facebook.com/454965103328545/posts/750007137157672?comment_id=314881000950480&amp;reply_comment_id=382796364332882","https://www.facebook.com/454965103328545/posts/750007137157672?comment_id=314881000950480&amp;reply_comment_id=382796364332882")</f>
        <v>https://www.facebook.com/454965103328545/posts/750007137157672?comment_id=314881000950480&amp;reply_comment_id=382796364332882</v>
      </c>
      <c r="O4900">
        <v>0</v>
      </c>
      <c r="P4900">
        <v>0</v>
      </c>
      <c r="Q4900">
        <v>0</v>
      </c>
      <c r="S4900">
        <v>0</v>
      </c>
      <c r="T4900">
        <v>0</v>
      </c>
      <c r="U4900">
        <v>0</v>
      </c>
      <c r="W4900" t="s">
        <v>62</v>
      </c>
    </row>
    <row r="4901" spans="1:42" x14ac:dyDescent="0.35">
      <c r="A4901" t="s">
        <v>45</v>
      </c>
      <c r="B4901" t="s">
        <v>11026</v>
      </c>
      <c r="C4901" t="s">
        <v>47</v>
      </c>
      <c r="D4901" t="s">
        <v>45</v>
      </c>
      <c r="E4901" t="s">
        <v>45</v>
      </c>
      <c r="F4901" t="s">
        <v>49</v>
      </c>
      <c r="G4901" t="s">
        <v>11110</v>
      </c>
      <c r="H4901" t="s">
        <v>11111</v>
      </c>
      <c r="J4901" t="str">
        <f>HYPERLINK("https://www.facebook.com/357267201017935/inbox/6676058172472108/","https://www.facebook.com/357267201017935/inbox/6676058172472108/")</f>
        <v>https://www.facebook.com/357267201017935/inbox/6676058172472108/</v>
      </c>
      <c r="O4901">
        <v>0</v>
      </c>
      <c r="P4901">
        <v>0</v>
      </c>
      <c r="Q4901">
        <v>0</v>
      </c>
      <c r="S4901">
        <v>0</v>
      </c>
      <c r="T4901">
        <v>0</v>
      </c>
      <c r="U4901">
        <v>0</v>
      </c>
      <c r="W4901" t="s">
        <v>52</v>
      </c>
      <c r="AP4901" t="s">
        <v>101</v>
      </c>
    </row>
    <row r="4902" spans="1:42" x14ac:dyDescent="0.35">
      <c r="A4902" t="s">
        <v>45</v>
      </c>
      <c r="B4902" t="s">
        <v>11026</v>
      </c>
      <c r="C4902" t="s">
        <v>139</v>
      </c>
      <c r="D4902" t="s">
        <v>190</v>
      </c>
      <c r="E4902" t="s">
        <v>45</v>
      </c>
      <c r="F4902" t="s">
        <v>49</v>
      </c>
      <c r="G4902" t="s">
        <v>11112</v>
      </c>
      <c r="H4902" t="s">
        <v>11113</v>
      </c>
      <c r="J4902" t="str">
        <f>HYPERLINK("https://twitter.com/FinoPaymntsBank/status/1748267500524224766","https://twitter.com/FinoPaymntsBank/status/1748267500524224766")</f>
        <v>https://twitter.com/FinoPaymntsBank/status/1748267500524224766</v>
      </c>
      <c r="K4902" t="s">
        <v>145</v>
      </c>
      <c r="O4902">
        <v>0</v>
      </c>
      <c r="P4902">
        <v>0</v>
      </c>
      <c r="Q4902">
        <v>8312</v>
      </c>
      <c r="R4902" t="s">
        <v>193</v>
      </c>
      <c r="S4902">
        <v>0</v>
      </c>
      <c r="T4902">
        <v>0</v>
      </c>
      <c r="U4902">
        <v>0</v>
      </c>
      <c r="W4902" t="s">
        <v>146</v>
      </c>
    </row>
    <row r="4903" spans="1:42" x14ac:dyDescent="0.35">
      <c r="A4903" t="s">
        <v>45</v>
      </c>
      <c r="B4903" t="s">
        <v>11026</v>
      </c>
      <c r="C4903" t="s">
        <v>47</v>
      </c>
      <c r="D4903" t="s">
        <v>45</v>
      </c>
      <c r="E4903" t="s">
        <v>45</v>
      </c>
      <c r="F4903" t="s">
        <v>49</v>
      </c>
      <c r="G4903" t="s">
        <v>11114</v>
      </c>
      <c r="H4903" t="s">
        <v>11115</v>
      </c>
      <c r="J4903" t="str">
        <f>HYPERLINK("https://www.facebook.com/454965103328545/posts/734813295343723?comment_id=342628381912511&amp;reply_comment_id=763378308998715","https://www.facebook.com/454965103328545/posts/734813295343723?comment_id=342628381912511&amp;reply_comment_id=763378308998715")</f>
        <v>https://www.facebook.com/454965103328545/posts/734813295343723?comment_id=342628381912511&amp;reply_comment_id=763378308998715</v>
      </c>
      <c r="O4903">
        <v>0</v>
      </c>
      <c r="P4903">
        <v>0</v>
      </c>
      <c r="Q4903">
        <v>0</v>
      </c>
      <c r="S4903">
        <v>0</v>
      </c>
      <c r="T4903">
        <v>0</v>
      </c>
      <c r="U4903">
        <v>0</v>
      </c>
      <c r="W4903" t="s">
        <v>62</v>
      </c>
    </row>
    <row r="4904" spans="1:42" x14ac:dyDescent="0.35">
      <c r="A4904" t="s">
        <v>45</v>
      </c>
      <c r="B4904" t="s">
        <v>11026</v>
      </c>
      <c r="C4904" t="s">
        <v>139</v>
      </c>
      <c r="D4904" t="s">
        <v>190</v>
      </c>
      <c r="E4904" t="s">
        <v>45</v>
      </c>
      <c r="F4904" t="s">
        <v>49</v>
      </c>
      <c r="G4904" t="s">
        <v>11116</v>
      </c>
      <c r="H4904" t="s">
        <v>11117</v>
      </c>
      <c r="J4904" t="str">
        <f>HYPERLINK("https://twitter.com/FinoPaymntsBank/status/1748267337059594530","https://twitter.com/FinoPaymntsBank/status/1748267337059594530")</f>
        <v>https://twitter.com/FinoPaymntsBank/status/1748267337059594530</v>
      </c>
      <c r="K4904" t="s">
        <v>145</v>
      </c>
      <c r="O4904">
        <v>0</v>
      </c>
      <c r="P4904">
        <v>0</v>
      </c>
      <c r="Q4904">
        <v>8312</v>
      </c>
      <c r="R4904" t="s">
        <v>193</v>
      </c>
      <c r="S4904">
        <v>0</v>
      </c>
      <c r="T4904">
        <v>0</v>
      </c>
      <c r="U4904">
        <v>0</v>
      </c>
      <c r="W4904" t="s">
        <v>146</v>
      </c>
    </row>
    <row r="4905" spans="1:42" x14ac:dyDescent="0.35">
      <c r="A4905" t="s">
        <v>45</v>
      </c>
      <c r="B4905" t="s">
        <v>11026</v>
      </c>
      <c r="C4905" t="s">
        <v>47</v>
      </c>
      <c r="D4905" t="s">
        <v>45</v>
      </c>
      <c r="E4905" t="s">
        <v>45</v>
      </c>
      <c r="F4905" t="s">
        <v>49</v>
      </c>
      <c r="G4905" t="s">
        <v>11118</v>
      </c>
      <c r="H4905" t="s">
        <v>11119</v>
      </c>
      <c r="J4905" t="str">
        <f>HYPERLINK("https://www.facebook.com/454965103328545/posts/750007137157672?comment_id=1811683485954824&amp;reply_comment_id=1733436007137662","https://www.facebook.com/454965103328545/posts/750007137157672?comment_id=1811683485954824&amp;reply_comment_id=1733436007137662")</f>
        <v>https://www.facebook.com/454965103328545/posts/750007137157672?comment_id=1811683485954824&amp;reply_comment_id=1733436007137662</v>
      </c>
      <c r="O4905">
        <v>0</v>
      </c>
      <c r="P4905">
        <v>0</v>
      </c>
      <c r="Q4905">
        <v>0</v>
      </c>
      <c r="S4905">
        <v>0</v>
      </c>
      <c r="T4905">
        <v>0</v>
      </c>
      <c r="U4905">
        <v>0</v>
      </c>
      <c r="W4905" t="s">
        <v>62</v>
      </c>
    </row>
    <row r="4906" spans="1:42" x14ac:dyDescent="0.35">
      <c r="A4906" t="s">
        <v>45</v>
      </c>
      <c r="B4906" t="s">
        <v>11026</v>
      </c>
      <c r="C4906" t="s">
        <v>47</v>
      </c>
      <c r="D4906" t="s">
        <v>45</v>
      </c>
      <c r="E4906" t="s">
        <v>45</v>
      </c>
      <c r="F4906" t="s">
        <v>49</v>
      </c>
      <c r="G4906" t="s">
        <v>11120</v>
      </c>
      <c r="H4906" t="s">
        <v>11121</v>
      </c>
      <c r="J4906" t="str">
        <f>HYPERLINK("https://www.facebook.com/357267201017935/inbox/6934449066633016/","https://www.facebook.com/357267201017935/inbox/6934449066633016/")</f>
        <v>https://www.facebook.com/357267201017935/inbox/6934449066633016/</v>
      </c>
      <c r="O4906">
        <v>0</v>
      </c>
      <c r="P4906">
        <v>0</v>
      </c>
      <c r="Q4906">
        <v>0</v>
      </c>
      <c r="S4906">
        <v>0</v>
      </c>
      <c r="T4906">
        <v>0</v>
      </c>
      <c r="U4906">
        <v>0</v>
      </c>
      <c r="W4906" t="s">
        <v>52</v>
      </c>
    </row>
    <row r="4907" spans="1:42" x14ac:dyDescent="0.35">
      <c r="A4907" t="s">
        <v>45</v>
      </c>
      <c r="B4907" t="s">
        <v>11026</v>
      </c>
      <c r="C4907" t="s">
        <v>139</v>
      </c>
      <c r="D4907" t="s">
        <v>190</v>
      </c>
      <c r="E4907" t="s">
        <v>45</v>
      </c>
      <c r="F4907" t="s">
        <v>49</v>
      </c>
      <c r="G4907" t="s">
        <v>11122</v>
      </c>
      <c r="H4907" t="s">
        <v>11123</v>
      </c>
      <c r="J4907" t="str">
        <f>HYPERLINK("https://twitter.com/FinoPaymntsBank/status/1748239827265614056","https://twitter.com/FinoPaymntsBank/status/1748239827265614056")</f>
        <v>https://twitter.com/FinoPaymntsBank/status/1748239827265614056</v>
      </c>
      <c r="K4907" t="s">
        <v>145</v>
      </c>
      <c r="O4907">
        <v>0</v>
      </c>
      <c r="P4907">
        <v>0</v>
      </c>
      <c r="Q4907">
        <v>8313</v>
      </c>
      <c r="R4907" t="s">
        <v>193</v>
      </c>
      <c r="S4907">
        <v>0</v>
      </c>
      <c r="T4907">
        <v>0</v>
      </c>
      <c r="U4907">
        <v>0</v>
      </c>
      <c r="W4907" t="s">
        <v>146</v>
      </c>
    </row>
    <row r="4908" spans="1:42" x14ac:dyDescent="0.35">
      <c r="A4908" t="s">
        <v>45</v>
      </c>
      <c r="B4908" t="s">
        <v>11026</v>
      </c>
      <c r="C4908" t="s">
        <v>139</v>
      </c>
      <c r="D4908" t="s">
        <v>190</v>
      </c>
      <c r="E4908" t="s">
        <v>45</v>
      </c>
      <c r="F4908" t="s">
        <v>49</v>
      </c>
      <c r="G4908" t="s">
        <v>11122</v>
      </c>
      <c r="H4908" t="s">
        <v>11124</v>
      </c>
      <c r="J4908" t="str">
        <f>HYPERLINK("https://twitter.com/FinoPaymntsBank/status/1748239661229818204","https://twitter.com/FinoPaymntsBank/status/1748239661229818204")</f>
        <v>https://twitter.com/FinoPaymntsBank/status/1748239661229818204</v>
      </c>
      <c r="K4908" t="s">
        <v>145</v>
      </c>
      <c r="O4908">
        <v>0</v>
      </c>
      <c r="P4908">
        <v>0</v>
      </c>
      <c r="Q4908">
        <v>8313</v>
      </c>
      <c r="R4908" t="s">
        <v>193</v>
      </c>
      <c r="S4908">
        <v>0</v>
      </c>
      <c r="T4908">
        <v>0</v>
      </c>
      <c r="U4908">
        <v>0</v>
      </c>
      <c r="W4908" t="s">
        <v>146</v>
      </c>
    </row>
    <row r="4909" spans="1:42" x14ac:dyDescent="0.35">
      <c r="A4909" t="s">
        <v>45</v>
      </c>
      <c r="B4909" t="s">
        <v>11026</v>
      </c>
      <c r="C4909" t="s">
        <v>139</v>
      </c>
      <c r="D4909" t="s">
        <v>11125</v>
      </c>
      <c r="E4909" t="s">
        <v>11126</v>
      </c>
      <c r="F4909" t="s">
        <v>49</v>
      </c>
      <c r="G4909" t="s">
        <v>11127</v>
      </c>
      <c r="H4909" t="s">
        <v>11128</v>
      </c>
      <c r="J4909" t="str">
        <f>HYPERLINK("https://twitter.com/righdarxdi64747/status/1748239515267788919","https://twitter.com/righdarxdi64747/status/1748239515267788919")</f>
        <v>https://twitter.com/righdarxdi64747/status/1748239515267788919</v>
      </c>
      <c r="O4909">
        <v>0</v>
      </c>
      <c r="P4909">
        <v>0</v>
      </c>
      <c r="Q4909">
        <v>0</v>
      </c>
      <c r="S4909">
        <v>0</v>
      </c>
      <c r="T4909">
        <v>0</v>
      </c>
      <c r="U4909">
        <v>0</v>
      </c>
      <c r="W4909" t="s">
        <v>146</v>
      </c>
    </row>
    <row r="4910" spans="1:42" x14ac:dyDescent="0.35">
      <c r="A4910" t="s">
        <v>45</v>
      </c>
      <c r="B4910" t="s">
        <v>11026</v>
      </c>
      <c r="C4910" t="s">
        <v>47</v>
      </c>
      <c r="D4910" t="s">
        <v>45</v>
      </c>
      <c r="E4910" t="s">
        <v>45</v>
      </c>
      <c r="F4910" t="s">
        <v>49</v>
      </c>
      <c r="G4910" t="s">
        <v>11129</v>
      </c>
      <c r="H4910" t="s">
        <v>11130</v>
      </c>
      <c r="J4910" t="str">
        <f>HYPERLINK("https://www.facebook.com/357267201017935/inbox/6937228853021704/","https://www.facebook.com/357267201017935/inbox/6937228853021704/")</f>
        <v>https://www.facebook.com/357267201017935/inbox/6937228853021704/</v>
      </c>
      <c r="O4910">
        <v>0</v>
      </c>
      <c r="P4910">
        <v>0</v>
      </c>
      <c r="Q4910">
        <v>0</v>
      </c>
      <c r="S4910">
        <v>0</v>
      </c>
      <c r="T4910">
        <v>0</v>
      </c>
      <c r="U4910">
        <v>0</v>
      </c>
      <c r="W4910" t="s">
        <v>52</v>
      </c>
    </row>
    <row r="4911" spans="1:42" x14ac:dyDescent="0.35">
      <c r="A4911" t="s">
        <v>45</v>
      </c>
      <c r="B4911" t="s">
        <v>11026</v>
      </c>
      <c r="C4911" t="s">
        <v>58</v>
      </c>
      <c r="D4911" t="s">
        <v>277</v>
      </c>
      <c r="E4911" t="s">
        <v>277</v>
      </c>
      <c r="F4911" t="s">
        <v>49</v>
      </c>
      <c r="G4911" t="s">
        <v>296</v>
      </c>
      <c r="H4911" t="s">
        <v>11131</v>
      </c>
      <c r="J4911" t="str">
        <f>HYPERLINK("https://www.youtube.com/watch?v=SRXMhy7oPyE&amp;lc=Ugz0iYuKX7D0m2TwbUV4AaABAg.9zdDOsFP3hC9zjxm48Qb17","https://www.youtube.com/watch?v=SRXMhy7oPyE&amp;lc=Ugz0iYuKX7D0m2TwbUV4AaABAg.9zdDOsFP3hC9zjxm48Qb17")</f>
        <v>https://www.youtube.com/watch?v=SRXMhy7oPyE&amp;lc=Ugz0iYuKX7D0m2TwbUV4AaABAg.9zdDOsFP3hC9zjxm48Qb17</v>
      </c>
      <c r="O4911">
        <v>0</v>
      </c>
      <c r="P4911">
        <v>0</v>
      </c>
      <c r="Q4911">
        <v>0</v>
      </c>
      <c r="S4911">
        <v>0</v>
      </c>
      <c r="T4911">
        <v>0</v>
      </c>
      <c r="U4911">
        <v>0</v>
      </c>
      <c r="W4911" t="s">
        <v>62</v>
      </c>
    </row>
    <row r="4912" spans="1:42" x14ac:dyDescent="0.35">
      <c r="A4912" t="s">
        <v>45</v>
      </c>
      <c r="B4912" t="s">
        <v>11026</v>
      </c>
      <c r="C4912" t="s">
        <v>47</v>
      </c>
      <c r="D4912" t="s">
        <v>45</v>
      </c>
      <c r="E4912" t="s">
        <v>45</v>
      </c>
      <c r="F4912" t="s">
        <v>49</v>
      </c>
      <c r="G4912" t="s">
        <v>11132</v>
      </c>
      <c r="H4912" t="s">
        <v>11133</v>
      </c>
      <c r="J4912" t="str">
        <f>HYPERLINK("https://www.facebook.com/357267201017935/inbox/6927264270684829/","https://www.facebook.com/357267201017935/inbox/6927264270684829/")</f>
        <v>https://www.facebook.com/357267201017935/inbox/6927264270684829/</v>
      </c>
      <c r="O4912">
        <v>0</v>
      </c>
      <c r="P4912">
        <v>0</v>
      </c>
      <c r="Q4912">
        <v>0</v>
      </c>
      <c r="S4912">
        <v>0</v>
      </c>
      <c r="T4912">
        <v>0</v>
      </c>
      <c r="U4912">
        <v>0</v>
      </c>
      <c r="W4912" t="s">
        <v>52</v>
      </c>
    </row>
    <row r="4913" spans="1:45" x14ac:dyDescent="0.35">
      <c r="A4913" t="s">
        <v>45</v>
      </c>
      <c r="B4913" t="s">
        <v>11026</v>
      </c>
      <c r="C4913" t="s">
        <v>47</v>
      </c>
      <c r="D4913" t="s">
        <v>45</v>
      </c>
      <c r="E4913" t="s">
        <v>45</v>
      </c>
      <c r="F4913" t="s">
        <v>49</v>
      </c>
      <c r="G4913" t="s">
        <v>11134</v>
      </c>
      <c r="H4913" t="s">
        <v>11135</v>
      </c>
      <c r="J4913" t="str">
        <f>HYPERLINK("https://www.facebook.com/357267201017935/inbox/6851875061557084/","https://www.facebook.com/357267201017935/inbox/6851875061557084/")</f>
        <v>https://www.facebook.com/357267201017935/inbox/6851875061557084/</v>
      </c>
      <c r="O4913">
        <v>0</v>
      </c>
      <c r="P4913">
        <v>0</v>
      </c>
      <c r="Q4913">
        <v>0</v>
      </c>
      <c r="S4913">
        <v>0</v>
      </c>
      <c r="T4913">
        <v>0</v>
      </c>
      <c r="U4913">
        <v>0</v>
      </c>
      <c r="W4913" t="s">
        <v>52</v>
      </c>
    </row>
    <row r="4914" spans="1:45" x14ac:dyDescent="0.35">
      <c r="A4914" t="s">
        <v>45</v>
      </c>
      <c r="B4914" t="s">
        <v>11026</v>
      </c>
      <c r="C4914" t="s">
        <v>139</v>
      </c>
      <c r="D4914" t="s">
        <v>190</v>
      </c>
      <c r="E4914" t="s">
        <v>45</v>
      </c>
      <c r="F4914" t="s">
        <v>49</v>
      </c>
      <c r="G4914" t="s">
        <v>11136</v>
      </c>
      <c r="H4914" t="s">
        <v>11137</v>
      </c>
      <c r="J4914" t="str">
        <f>HYPERLINK("https://twitter.com/FinoPaymntsBank/status/1748238069588021363","https://twitter.com/FinoPaymntsBank/status/1748238069588021363")</f>
        <v>https://twitter.com/FinoPaymntsBank/status/1748238069588021363</v>
      </c>
      <c r="K4914" t="s">
        <v>145</v>
      </c>
      <c r="O4914">
        <v>0</v>
      </c>
      <c r="P4914">
        <v>0</v>
      </c>
      <c r="Q4914">
        <v>8313</v>
      </c>
      <c r="R4914" t="s">
        <v>193</v>
      </c>
      <c r="S4914">
        <v>0</v>
      </c>
      <c r="T4914">
        <v>0</v>
      </c>
      <c r="U4914">
        <v>0</v>
      </c>
      <c r="W4914" t="s">
        <v>146</v>
      </c>
    </row>
    <row r="4915" spans="1:45" x14ac:dyDescent="0.35">
      <c r="A4915" t="s">
        <v>45</v>
      </c>
      <c r="B4915" t="s">
        <v>11026</v>
      </c>
      <c r="C4915" t="s">
        <v>47</v>
      </c>
      <c r="D4915" t="s">
        <v>45</v>
      </c>
      <c r="E4915" t="s">
        <v>45</v>
      </c>
      <c r="F4915" t="s">
        <v>49</v>
      </c>
      <c r="G4915" t="s">
        <v>11138</v>
      </c>
      <c r="H4915" t="s">
        <v>11139</v>
      </c>
      <c r="J4915" t="str">
        <f>HYPERLINK("https://www.facebook.com/357267201017935/inbox/6928936067184316/","https://www.facebook.com/357267201017935/inbox/6928936067184316/")</f>
        <v>https://www.facebook.com/357267201017935/inbox/6928936067184316/</v>
      </c>
      <c r="O4915">
        <v>0</v>
      </c>
      <c r="P4915">
        <v>0</v>
      </c>
      <c r="Q4915">
        <v>0</v>
      </c>
      <c r="S4915">
        <v>0</v>
      </c>
      <c r="T4915">
        <v>0</v>
      </c>
      <c r="U4915">
        <v>0</v>
      </c>
      <c r="W4915" t="s">
        <v>52</v>
      </c>
    </row>
    <row r="4916" spans="1:45" x14ac:dyDescent="0.35">
      <c r="A4916" t="s">
        <v>45</v>
      </c>
      <c r="B4916" t="s">
        <v>11026</v>
      </c>
      <c r="C4916" t="s">
        <v>139</v>
      </c>
      <c r="D4916" t="s">
        <v>190</v>
      </c>
      <c r="E4916" t="s">
        <v>45</v>
      </c>
      <c r="F4916" t="s">
        <v>49</v>
      </c>
      <c r="G4916" t="s">
        <v>11140</v>
      </c>
      <c r="H4916" t="s">
        <v>11141</v>
      </c>
      <c r="J4916" t="str">
        <f>HYPERLINK("https://twitter.com/FinoPaymntsBank/status/1748237569266250037","https://twitter.com/FinoPaymntsBank/status/1748237569266250037")</f>
        <v>https://twitter.com/FinoPaymntsBank/status/1748237569266250037</v>
      </c>
      <c r="K4916" t="s">
        <v>145</v>
      </c>
      <c r="O4916">
        <v>0</v>
      </c>
      <c r="P4916">
        <v>0</v>
      </c>
      <c r="Q4916">
        <v>8313</v>
      </c>
      <c r="R4916" t="s">
        <v>193</v>
      </c>
      <c r="S4916">
        <v>0</v>
      </c>
      <c r="T4916">
        <v>0</v>
      </c>
      <c r="U4916">
        <v>0</v>
      </c>
      <c r="W4916" t="s">
        <v>146</v>
      </c>
    </row>
    <row r="4917" spans="1:45" x14ac:dyDescent="0.35">
      <c r="A4917" t="s">
        <v>45</v>
      </c>
      <c r="B4917" t="s">
        <v>11026</v>
      </c>
      <c r="C4917" t="s">
        <v>47</v>
      </c>
      <c r="D4917" t="s">
        <v>6724</v>
      </c>
      <c r="E4917" t="s">
        <v>6724</v>
      </c>
      <c r="F4917" t="s">
        <v>49</v>
      </c>
      <c r="G4917" t="s">
        <v>11142</v>
      </c>
      <c r="H4917" t="s">
        <v>11143</v>
      </c>
      <c r="J4917" t="str">
        <f>HYPERLINK("https://www.facebook.com/454965103328545/posts/755378119953907?comment_id=897904981969621","https://www.facebook.com/454965103328545/posts/755378119953907?comment_id=897904981969621")</f>
        <v>https://www.facebook.com/454965103328545/posts/755378119953907?comment_id=897904981969621</v>
      </c>
      <c r="O4917">
        <v>0</v>
      </c>
      <c r="P4917">
        <v>0</v>
      </c>
      <c r="Q4917">
        <v>0</v>
      </c>
      <c r="S4917">
        <v>0</v>
      </c>
      <c r="T4917">
        <v>0</v>
      </c>
      <c r="U4917">
        <v>0</v>
      </c>
      <c r="W4917" t="s">
        <v>62</v>
      </c>
    </row>
    <row r="4918" spans="1:45" x14ac:dyDescent="0.35">
      <c r="A4918" t="s">
        <v>45</v>
      </c>
      <c r="B4918" t="s">
        <v>11026</v>
      </c>
      <c r="C4918" t="s">
        <v>47</v>
      </c>
      <c r="D4918" t="s">
        <v>11144</v>
      </c>
      <c r="E4918" t="s">
        <v>11144</v>
      </c>
      <c r="F4918" t="s">
        <v>49</v>
      </c>
      <c r="G4918" t="s">
        <v>11145</v>
      </c>
      <c r="H4918" t="s">
        <v>11146</v>
      </c>
      <c r="J4918" t="str">
        <f>HYPERLINK("https://www.facebook.com/357267201017935/inbox/6937254893019100/","https://www.facebook.com/357267201017935/inbox/6937254893019100/")</f>
        <v>https://www.facebook.com/357267201017935/inbox/6937254893019100/</v>
      </c>
      <c r="O4918">
        <v>0</v>
      </c>
      <c r="P4918">
        <v>0</v>
      </c>
      <c r="Q4918">
        <v>0</v>
      </c>
      <c r="S4918">
        <v>0</v>
      </c>
      <c r="T4918">
        <v>0</v>
      </c>
      <c r="U4918">
        <v>0</v>
      </c>
      <c r="W4918" t="s">
        <v>52</v>
      </c>
      <c r="AO4918" t="s">
        <v>119</v>
      </c>
      <c r="AP4918" t="s">
        <v>101</v>
      </c>
    </row>
    <row r="4919" spans="1:45" x14ac:dyDescent="0.35">
      <c r="A4919" t="s">
        <v>45</v>
      </c>
      <c r="B4919" t="s">
        <v>11026</v>
      </c>
      <c r="C4919" t="s">
        <v>47</v>
      </c>
      <c r="D4919" t="s">
        <v>11144</v>
      </c>
      <c r="E4919" t="s">
        <v>11144</v>
      </c>
      <c r="F4919" t="s">
        <v>49</v>
      </c>
      <c r="G4919" t="s">
        <v>11147</v>
      </c>
      <c r="H4919" t="s">
        <v>11148</v>
      </c>
      <c r="J4919" t="str">
        <f>HYPERLINK("https://www.facebook.com/357267201017935/inbox/6937254893019100/","https://www.facebook.com/357267201017935/inbox/6937254893019100/")</f>
        <v>https://www.facebook.com/357267201017935/inbox/6937254893019100/</v>
      </c>
      <c r="O4919">
        <v>0</v>
      </c>
      <c r="P4919">
        <v>0</v>
      </c>
      <c r="Q4919">
        <v>0</v>
      </c>
      <c r="S4919">
        <v>0</v>
      </c>
      <c r="T4919">
        <v>0</v>
      </c>
      <c r="U4919">
        <v>0</v>
      </c>
      <c r="W4919" t="s">
        <v>52</v>
      </c>
    </row>
    <row r="4920" spans="1:45" x14ac:dyDescent="0.35">
      <c r="A4920" t="s">
        <v>45</v>
      </c>
      <c r="B4920" t="s">
        <v>11026</v>
      </c>
      <c r="C4920" t="s">
        <v>139</v>
      </c>
      <c r="D4920" t="s">
        <v>11149</v>
      </c>
      <c r="E4920" t="s">
        <v>11150</v>
      </c>
      <c r="F4920" t="s">
        <v>49</v>
      </c>
      <c r="G4920" t="s">
        <v>11151</v>
      </c>
      <c r="H4920" t="s">
        <v>11152</v>
      </c>
      <c r="J4920" t="str">
        <f>HYPERLINK("https://twitter.com/Vipin04937239/status/1748233690776523076","https://twitter.com/Vipin04937239/status/1748233690776523076")</f>
        <v>https://twitter.com/Vipin04937239/status/1748233690776523076</v>
      </c>
      <c r="K4920" t="s">
        <v>145</v>
      </c>
      <c r="O4920">
        <v>0</v>
      </c>
      <c r="P4920">
        <v>0</v>
      </c>
      <c r="Q4920">
        <v>9</v>
      </c>
      <c r="R4920" t="s">
        <v>11153</v>
      </c>
      <c r="S4920">
        <v>0</v>
      </c>
      <c r="T4920">
        <v>0</v>
      </c>
      <c r="U4920">
        <v>0</v>
      </c>
      <c r="W4920" t="s">
        <v>146</v>
      </c>
    </row>
    <row r="4921" spans="1:45" x14ac:dyDescent="0.35">
      <c r="A4921" t="s">
        <v>45</v>
      </c>
      <c r="B4921" t="s">
        <v>11026</v>
      </c>
      <c r="C4921" t="s">
        <v>47</v>
      </c>
      <c r="D4921" t="s">
        <v>8704</v>
      </c>
      <c r="E4921" t="s">
        <v>8704</v>
      </c>
      <c r="F4921" t="s">
        <v>49</v>
      </c>
      <c r="G4921" t="s">
        <v>45</v>
      </c>
      <c r="H4921" t="s">
        <v>11154</v>
      </c>
      <c r="J4921" t="str">
        <f>HYPERLINK("https://www.facebook.com/454965103328545/posts/734812295343823?comment_id=244324352037410&amp;reply_comment_id=389896170202371","https://www.facebook.com/454965103328545/posts/734812295343823?comment_id=244324352037410&amp;reply_comment_id=389896170202371")</f>
        <v>https://www.facebook.com/454965103328545/posts/734812295343823?comment_id=244324352037410&amp;reply_comment_id=389896170202371</v>
      </c>
      <c r="O4921">
        <v>0</v>
      </c>
      <c r="P4921">
        <v>0</v>
      </c>
      <c r="Q4921">
        <v>0</v>
      </c>
      <c r="S4921">
        <v>0</v>
      </c>
      <c r="T4921">
        <v>0</v>
      </c>
      <c r="U4921">
        <v>0</v>
      </c>
      <c r="W4921" t="s">
        <v>106</v>
      </c>
    </row>
    <row r="4922" spans="1:45" x14ac:dyDescent="0.35">
      <c r="A4922" t="s">
        <v>45</v>
      </c>
      <c r="B4922" t="s">
        <v>11026</v>
      </c>
      <c r="C4922" t="s">
        <v>139</v>
      </c>
      <c r="D4922" t="s">
        <v>190</v>
      </c>
      <c r="E4922" t="s">
        <v>45</v>
      </c>
      <c r="F4922" t="s">
        <v>49</v>
      </c>
      <c r="G4922" t="s">
        <v>11140</v>
      </c>
      <c r="H4922" t="s">
        <v>11155</v>
      </c>
      <c r="J4922" t="str">
        <f>HYPERLINK("https://twitter.com/FinoPaymntsBank/status/1748233273434919175","https://twitter.com/FinoPaymntsBank/status/1748233273434919175")</f>
        <v>https://twitter.com/FinoPaymntsBank/status/1748233273434919175</v>
      </c>
      <c r="K4922" t="s">
        <v>145</v>
      </c>
      <c r="O4922">
        <v>0</v>
      </c>
      <c r="P4922">
        <v>0</v>
      </c>
      <c r="Q4922">
        <v>8313</v>
      </c>
      <c r="R4922" t="s">
        <v>193</v>
      </c>
      <c r="S4922">
        <v>0</v>
      </c>
      <c r="T4922">
        <v>0</v>
      </c>
      <c r="U4922">
        <v>0</v>
      </c>
      <c r="W4922" t="s">
        <v>146</v>
      </c>
    </row>
    <row r="4923" spans="1:45" x14ac:dyDescent="0.35">
      <c r="A4923" t="s">
        <v>45</v>
      </c>
      <c r="B4923" t="s">
        <v>11026</v>
      </c>
      <c r="C4923" t="s">
        <v>47</v>
      </c>
      <c r="D4923" t="s">
        <v>45</v>
      </c>
      <c r="E4923" t="s">
        <v>45</v>
      </c>
      <c r="F4923" t="s">
        <v>49</v>
      </c>
      <c r="G4923" t="s">
        <v>11156</v>
      </c>
      <c r="H4923" t="s">
        <v>11157</v>
      </c>
      <c r="J4923" t="str">
        <f>HYPERLINK("https://www.facebook.com/454965103328545/posts/734812295343823?comment_id=244324352037410&amp;reply_comment_id=898693451890358","https://www.facebook.com/454965103328545/posts/734812295343823?comment_id=244324352037410&amp;reply_comment_id=898693451890358")</f>
        <v>https://www.facebook.com/454965103328545/posts/734812295343823?comment_id=244324352037410&amp;reply_comment_id=898693451890358</v>
      </c>
      <c r="O4923">
        <v>0</v>
      </c>
      <c r="P4923">
        <v>0</v>
      </c>
      <c r="Q4923">
        <v>0</v>
      </c>
      <c r="S4923">
        <v>0</v>
      </c>
      <c r="T4923">
        <v>0</v>
      </c>
      <c r="U4923">
        <v>0</v>
      </c>
      <c r="W4923" t="s">
        <v>62</v>
      </c>
    </row>
    <row r="4924" spans="1:45" x14ac:dyDescent="0.35">
      <c r="A4924" t="s">
        <v>45</v>
      </c>
      <c r="B4924" t="s">
        <v>11026</v>
      </c>
      <c r="C4924" t="s">
        <v>47</v>
      </c>
      <c r="D4924" t="s">
        <v>11158</v>
      </c>
      <c r="E4924" t="s">
        <v>11158</v>
      </c>
      <c r="F4924" t="s">
        <v>49</v>
      </c>
      <c r="G4924" t="s">
        <v>56</v>
      </c>
      <c r="H4924" t="s">
        <v>11159</v>
      </c>
      <c r="J4924" t="str">
        <f>HYPERLINK("https://www.facebook.com/357267201017935/inbox/6937228853021704/","https://www.facebook.com/357267201017935/inbox/6937228853021704/")</f>
        <v>https://www.facebook.com/357267201017935/inbox/6937228853021704/</v>
      </c>
      <c r="O4924">
        <v>0</v>
      </c>
      <c r="P4924">
        <v>0</v>
      </c>
      <c r="Q4924">
        <v>0</v>
      </c>
      <c r="S4924">
        <v>0</v>
      </c>
      <c r="T4924">
        <v>0</v>
      </c>
      <c r="U4924">
        <v>0</v>
      </c>
      <c r="W4924" t="s">
        <v>52</v>
      </c>
      <c r="AS4924" t="s">
        <v>375</v>
      </c>
    </row>
    <row r="4925" spans="1:45" x14ac:dyDescent="0.35">
      <c r="A4925" t="s">
        <v>45</v>
      </c>
      <c r="B4925" t="s">
        <v>11026</v>
      </c>
      <c r="C4925" t="s">
        <v>139</v>
      </c>
      <c r="D4925" t="s">
        <v>190</v>
      </c>
      <c r="E4925" t="s">
        <v>45</v>
      </c>
      <c r="F4925" t="s">
        <v>49</v>
      </c>
      <c r="G4925" t="s">
        <v>11160</v>
      </c>
      <c r="H4925" t="s">
        <v>11161</v>
      </c>
      <c r="J4925" t="str">
        <f>HYPERLINK("https://twitter.com/FinoPaymntsBank/status/1748232015647043895","https://twitter.com/FinoPaymntsBank/status/1748232015647043895")</f>
        <v>https://twitter.com/FinoPaymntsBank/status/1748232015647043895</v>
      </c>
      <c r="K4925" t="s">
        <v>145</v>
      </c>
      <c r="O4925">
        <v>0</v>
      </c>
      <c r="P4925">
        <v>0</v>
      </c>
      <c r="Q4925">
        <v>8313</v>
      </c>
      <c r="R4925" t="s">
        <v>193</v>
      </c>
      <c r="S4925">
        <v>0</v>
      </c>
      <c r="T4925">
        <v>0</v>
      </c>
      <c r="U4925">
        <v>0</v>
      </c>
      <c r="W4925" t="s">
        <v>146</v>
      </c>
    </row>
    <row r="4926" spans="1:45" x14ac:dyDescent="0.35">
      <c r="A4926" t="s">
        <v>45</v>
      </c>
      <c r="B4926" t="s">
        <v>11026</v>
      </c>
      <c r="C4926" t="s">
        <v>139</v>
      </c>
      <c r="D4926" t="s">
        <v>4902</v>
      </c>
      <c r="E4926" t="s">
        <v>4903</v>
      </c>
      <c r="F4926" t="s">
        <v>49</v>
      </c>
      <c r="G4926" t="s">
        <v>11162</v>
      </c>
      <c r="H4926" t="s">
        <v>11163</v>
      </c>
      <c r="J4926" t="str">
        <f>HYPERLINK("https://twitter.com/lovepartner_1/status/1748231486183264629","https://twitter.com/lovepartner_1/status/1748231486183264629")</f>
        <v>https://twitter.com/lovepartner_1/status/1748231486183264629</v>
      </c>
      <c r="K4926" t="s">
        <v>145</v>
      </c>
      <c r="O4926">
        <v>0</v>
      </c>
      <c r="P4926">
        <v>0</v>
      </c>
      <c r="Q4926">
        <v>17</v>
      </c>
      <c r="R4926" t="s">
        <v>4587</v>
      </c>
      <c r="S4926">
        <v>0</v>
      </c>
      <c r="T4926">
        <v>0</v>
      </c>
      <c r="U4926">
        <v>0</v>
      </c>
      <c r="W4926" t="s">
        <v>146</v>
      </c>
      <c r="AS4926" t="s">
        <v>375</v>
      </c>
    </row>
    <row r="4927" spans="1:45" x14ac:dyDescent="0.35">
      <c r="A4927" t="s">
        <v>45</v>
      </c>
      <c r="B4927" t="s">
        <v>11026</v>
      </c>
      <c r="C4927" t="s">
        <v>139</v>
      </c>
      <c r="D4927" t="s">
        <v>4902</v>
      </c>
      <c r="E4927" t="s">
        <v>4903</v>
      </c>
      <c r="F4927" t="s">
        <v>49</v>
      </c>
      <c r="G4927" t="s">
        <v>11164</v>
      </c>
      <c r="H4927" t="s">
        <v>11165</v>
      </c>
      <c r="J4927" t="str">
        <f>HYPERLINK("https://twitter.com/lovepartner_1/status/1748231079272816851","https://twitter.com/lovepartner_1/status/1748231079272816851")</f>
        <v>https://twitter.com/lovepartner_1/status/1748231079272816851</v>
      </c>
      <c r="K4927" t="s">
        <v>145</v>
      </c>
      <c r="O4927">
        <v>0</v>
      </c>
      <c r="P4927">
        <v>0</v>
      </c>
      <c r="Q4927">
        <v>17</v>
      </c>
      <c r="R4927" t="s">
        <v>4587</v>
      </c>
      <c r="S4927">
        <v>0</v>
      </c>
      <c r="T4927">
        <v>0</v>
      </c>
      <c r="U4927">
        <v>0</v>
      </c>
      <c r="W4927" t="s">
        <v>146</v>
      </c>
    </row>
    <row r="4928" spans="1:45" x14ac:dyDescent="0.35">
      <c r="A4928" t="s">
        <v>45</v>
      </c>
      <c r="B4928" t="s">
        <v>11026</v>
      </c>
      <c r="C4928" t="s">
        <v>47</v>
      </c>
      <c r="D4928" t="s">
        <v>8096</v>
      </c>
      <c r="E4928" t="s">
        <v>8096</v>
      </c>
      <c r="F4928" t="s">
        <v>49</v>
      </c>
      <c r="G4928" t="s">
        <v>11166</v>
      </c>
      <c r="H4928" t="s">
        <v>11167</v>
      </c>
      <c r="J4928" t="str">
        <f>HYPERLINK("https://www.facebook.com/357267201017935/inbox/6933954390015817/","https://www.facebook.com/357267201017935/inbox/6933954390015817/")</f>
        <v>https://www.facebook.com/357267201017935/inbox/6933954390015817/</v>
      </c>
      <c r="O4928">
        <v>0</v>
      </c>
      <c r="P4928">
        <v>0</v>
      </c>
      <c r="Q4928">
        <v>0</v>
      </c>
      <c r="S4928">
        <v>0</v>
      </c>
      <c r="T4928">
        <v>0</v>
      </c>
      <c r="U4928">
        <v>0</v>
      </c>
      <c r="W4928" t="s">
        <v>52</v>
      </c>
      <c r="Y4928" t="s">
        <v>11168</v>
      </c>
      <c r="Z4928" t="s">
        <v>613</v>
      </c>
      <c r="AA4928" t="s">
        <v>614</v>
      </c>
    </row>
    <row r="4929" spans="1:45" x14ac:dyDescent="0.35">
      <c r="A4929" t="s">
        <v>45</v>
      </c>
      <c r="B4929" t="s">
        <v>11026</v>
      </c>
      <c r="C4929" t="s">
        <v>47</v>
      </c>
      <c r="D4929" t="s">
        <v>8096</v>
      </c>
      <c r="E4929" t="s">
        <v>8096</v>
      </c>
      <c r="F4929" t="s">
        <v>49</v>
      </c>
      <c r="G4929" t="s">
        <v>11169</v>
      </c>
      <c r="H4929" t="s">
        <v>11170</v>
      </c>
      <c r="J4929" t="str">
        <f>HYPERLINK("https://www.facebook.com/357267201017935/inbox/6933954390015817/","https://www.facebook.com/357267201017935/inbox/6933954390015817/")</f>
        <v>https://www.facebook.com/357267201017935/inbox/6933954390015817/</v>
      </c>
      <c r="O4929">
        <v>0</v>
      </c>
      <c r="P4929">
        <v>0</v>
      </c>
      <c r="Q4929">
        <v>0</v>
      </c>
      <c r="S4929">
        <v>0</v>
      </c>
      <c r="T4929">
        <v>0</v>
      </c>
      <c r="U4929">
        <v>0</v>
      </c>
      <c r="W4929" t="s">
        <v>52</v>
      </c>
      <c r="Y4929" t="s">
        <v>11171</v>
      </c>
      <c r="Z4929" t="s">
        <v>613</v>
      </c>
      <c r="AA4929" t="s">
        <v>614</v>
      </c>
    </row>
    <row r="4930" spans="1:45" x14ac:dyDescent="0.35">
      <c r="A4930" t="s">
        <v>45</v>
      </c>
      <c r="B4930" t="s">
        <v>11026</v>
      </c>
      <c r="C4930" t="s">
        <v>139</v>
      </c>
      <c r="D4930" t="s">
        <v>4902</v>
      </c>
      <c r="E4930" t="s">
        <v>4903</v>
      </c>
      <c r="F4930" t="s">
        <v>49</v>
      </c>
      <c r="G4930" t="s">
        <v>11172</v>
      </c>
      <c r="H4930" t="s">
        <v>11173</v>
      </c>
      <c r="J4930" t="str">
        <f>HYPERLINK("https://twitter.com/lovepartner_1/status/1748230810938089857","https://twitter.com/lovepartner_1/status/1748230810938089857")</f>
        <v>https://twitter.com/lovepartner_1/status/1748230810938089857</v>
      </c>
      <c r="K4930" t="s">
        <v>145</v>
      </c>
      <c r="O4930">
        <v>0</v>
      </c>
      <c r="P4930">
        <v>0</v>
      </c>
      <c r="Q4930">
        <v>17</v>
      </c>
      <c r="R4930" t="s">
        <v>4587</v>
      </c>
      <c r="S4930">
        <v>0</v>
      </c>
      <c r="T4930">
        <v>0</v>
      </c>
      <c r="U4930">
        <v>0</v>
      </c>
      <c r="W4930" t="s">
        <v>146</v>
      </c>
      <c r="AS4930" t="s">
        <v>375</v>
      </c>
    </row>
    <row r="4931" spans="1:45" x14ac:dyDescent="0.35">
      <c r="A4931" t="s">
        <v>45</v>
      </c>
      <c r="B4931" t="s">
        <v>11026</v>
      </c>
      <c r="C4931" t="s">
        <v>139</v>
      </c>
      <c r="D4931" t="s">
        <v>4902</v>
      </c>
      <c r="E4931" t="s">
        <v>4903</v>
      </c>
      <c r="F4931" t="s">
        <v>49</v>
      </c>
      <c r="G4931" t="s">
        <v>11174</v>
      </c>
      <c r="H4931" t="s">
        <v>11175</v>
      </c>
      <c r="J4931" t="str">
        <f>HYPERLINK("https://twitter.com/lovepartner_1/status/1748230660177977410","https://twitter.com/lovepartner_1/status/1748230660177977410")</f>
        <v>https://twitter.com/lovepartner_1/status/1748230660177977410</v>
      </c>
      <c r="K4931" t="s">
        <v>145</v>
      </c>
      <c r="O4931">
        <v>0</v>
      </c>
      <c r="P4931">
        <v>0</v>
      </c>
      <c r="Q4931">
        <v>17</v>
      </c>
      <c r="R4931" t="s">
        <v>4587</v>
      </c>
      <c r="S4931">
        <v>0</v>
      </c>
      <c r="T4931">
        <v>0</v>
      </c>
      <c r="U4931">
        <v>0</v>
      </c>
      <c r="W4931" t="s">
        <v>146</v>
      </c>
    </row>
    <row r="4932" spans="1:45" x14ac:dyDescent="0.35">
      <c r="A4932" t="s">
        <v>45</v>
      </c>
      <c r="B4932" t="s">
        <v>11026</v>
      </c>
      <c r="C4932" t="s">
        <v>139</v>
      </c>
      <c r="D4932" t="s">
        <v>4902</v>
      </c>
      <c r="E4932" t="s">
        <v>4903</v>
      </c>
      <c r="F4932" t="s">
        <v>49</v>
      </c>
      <c r="G4932" t="s">
        <v>11176</v>
      </c>
      <c r="H4932" t="s">
        <v>11177</v>
      </c>
      <c r="J4932" t="str">
        <f>HYPERLINK("https://twitter.com/lovepartner_1/status/1748230567097991487","https://twitter.com/lovepartner_1/status/1748230567097991487")</f>
        <v>https://twitter.com/lovepartner_1/status/1748230567097991487</v>
      </c>
      <c r="K4932" t="s">
        <v>145</v>
      </c>
      <c r="O4932">
        <v>0</v>
      </c>
      <c r="P4932">
        <v>0</v>
      </c>
      <c r="Q4932">
        <v>17</v>
      </c>
      <c r="R4932" t="s">
        <v>4587</v>
      </c>
      <c r="S4932">
        <v>0</v>
      </c>
      <c r="T4932">
        <v>0</v>
      </c>
      <c r="U4932">
        <v>0</v>
      </c>
      <c r="W4932" t="s">
        <v>146</v>
      </c>
    </row>
    <row r="4933" spans="1:45" x14ac:dyDescent="0.35">
      <c r="A4933" t="s">
        <v>45</v>
      </c>
      <c r="B4933" t="s">
        <v>11026</v>
      </c>
      <c r="C4933" t="s">
        <v>47</v>
      </c>
      <c r="D4933" t="s">
        <v>8096</v>
      </c>
      <c r="E4933" t="s">
        <v>8096</v>
      </c>
      <c r="F4933" t="s">
        <v>49</v>
      </c>
      <c r="G4933" t="s">
        <v>11178</v>
      </c>
      <c r="H4933" t="s">
        <v>11179</v>
      </c>
      <c r="J4933" t="str">
        <f>HYPERLINK("https://www.facebook.com/357267201017935/inbox/6933954390015817/","https://www.facebook.com/357267201017935/inbox/6933954390015817/")</f>
        <v>https://www.facebook.com/357267201017935/inbox/6933954390015817/</v>
      </c>
      <c r="O4933">
        <v>0</v>
      </c>
      <c r="P4933">
        <v>0</v>
      </c>
      <c r="Q4933">
        <v>0</v>
      </c>
      <c r="S4933">
        <v>0</v>
      </c>
      <c r="T4933">
        <v>0</v>
      </c>
      <c r="U4933">
        <v>0</v>
      </c>
      <c r="W4933" t="s">
        <v>52</v>
      </c>
    </row>
    <row r="4934" spans="1:45" x14ac:dyDescent="0.35">
      <c r="A4934" t="s">
        <v>45</v>
      </c>
      <c r="B4934" t="s">
        <v>11026</v>
      </c>
      <c r="C4934" t="s">
        <v>139</v>
      </c>
      <c r="D4934" t="s">
        <v>4902</v>
      </c>
      <c r="E4934" t="s">
        <v>4903</v>
      </c>
      <c r="F4934" t="s">
        <v>49</v>
      </c>
      <c r="G4934" t="s">
        <v>11174</v>
      </c>
      <c r="H4934" t="s">
        <v>11180</v>
      </c>
      <c r="J4934" t="str">
        <f>HYPERLINK("https://twitter.com/lovepartner_1/status/1748230426320400870","https://twitter.com/lovepartner_1/status/1748230426320400870")</f>
        <v>https://twitter.com/lovepartner_1/status/1748230426320400870</v>
      </c>
      <c r="K4934" t="s">
        <v>145</v>
      </c>
      <c r="O4934">
        <v>0</v>
      </c>
      <c r="P4934">
        <v>0</v>
      </c>
      <c r="Q4934">
        <v>17</v>
      </c>
      <c r="R4934" t="s">
        <v>4587</v>
      </c>
      <c r="S4934">
        <v>0</v>
      </c>
      <c r="T4934">
        <v>0</v>
      </c>
      <c r="U4934">
        <v>0</v>
      </c>
      <c r="W4934" t="s">
        <v>146</v>
      </c>
    </row>
    <row r="4935" spans="1:45" x14ac:dyDescent="0.35">
      <c r="A4935" t="s">
        <v>45</v>
      </c>
      <c r="B4935" t="s">
        <v>11026</v>
      </c>
      <c r="C4935" t="s">
        <v>139</v>
      </c>
      <c r="D4935" t="s">
        <v>4902</v>
      </c>
      <c r="E4935" t="s">
        <v>4903</v>
      </c>
      <c r="F4935" t="s">
        <v>49</v>
      </c>
      <c r="G4935" t="s">
        <v>11181</v>
      </c>
      <c r="H4935" t="s">
        <v>11182</v>
      </c>
      <c r="J4935" t="str">
        <f>HYPERLINK("https://twitter.com/lovepartner_1/status/1748230387703394748","https://twitter.com/lovepartner_1/status/1748230387703394748")</f>
        <v>https://twitter.com/lovepartner_1/status/1748230387703394748</v>
      </c>
      <c r="K4935" t="s">
        <v>145</v>
      </c>
      <c r="O4935">
        <v>0</v>
      </c>
      <c r="P4935">
        <v>0</v>
      </c>
      <c r="Q4935">
        <v>17</v>
      </c>
      <c r="R4935" t="s">
        <v>4587</v>
      </c>
      <c r="S4935">
        <v>0</v>
      </c>
      <c r="T4935">
        <v>0</v>
      </c>
      <c r="U4935">
        <v>0</v>
      </c>
      <c r="W4935" t="s">
        <v>146</v>
      </c>
    </row>
    <row r="4936" spans="1:45" x14ac:dyDescent="0.35">
      <c r="A4936" t="s">
        <v>45</v>
      </c>
      <c r="B4936" t="s">
        <v>11026</v>
      </c>
      <c r="C4936" t="s">
        <v>139</v>
      </c>
      <c r="D4936" t="s">
        <v>4902</v>
      </c>
      <c r="E4936" t="s">
        <v>4903</v>
      </c>
      <c r="F4936" t="s">
        <v>49</v>
      </c>
      <c r="G4936" t="s">
        <v>11183</v>
      </c>
      <c r="H4936" t="s">
        <v>11184</v>
      </c>
      <c r="J4936" t="str">
        <f>HYPERLINK("https://twitter.com/lovepartner_1/status/1748230328303697986","https://twitter.com/lovepartner_1/status/1748230328303697986")</f>
        <v>https://twitter.com/lovepartner_1/status/1748230328303697986</v>
      </c>
      <c r="K4936" t="s">
        <v>145</v>
      </c>
      <c r="O4936">
        <v>0</v>
      </c>
      <c r="P4936">
        <v>0</v>
      </c>
      <c r="Q4936">
        <v>17</v>
      </c>
      <c r="R4936" t="s">
        <v>4587</v>
      </c>
      <c r="S4936">
        <v>0</v>
      </c>
      <c r="T4936">
        <v>0</v>
      </c>
      <c r="U4936">
        <v>0</v>
      </c>
      <c r="W4936" t="s">
        <v>146</v>
      </c>
    </row>
    <row r="4937" spans="1:45" x14ac:dyDescent="0.35">
      <c r="A4937" t="s">
        <v>45</v>
      </c>
      <c r="B4937" t="s">
        <v>11026</v>
      </c>
      <c r="C4937" t="s">
        <v>139</v>
      </c>
      <c r="D4937" t="s">
        <v>4902</v>
      </c>
      <c r="E4937" t="s">
        <v>4903</v>
      </c>
      <c r="F4937" t="s">
        <v>49</v>
      </c>
      <c r="G4937" t="s">
        <v>11185</v>
      </c>
      <c r="H4937" t="s">
        <v>11186</v>
      </c>
      <c r="J4937" t="str">
        <f>HYPERLINK("https://twitter.com/lovepartner_1/status/1748230253393375683","https://twitter.com/lovepartner_1/status/1748230253393375683")</f>
        <v>https://twitter.com/lovepartner_1/status/1748230253393375683</v>
      </c>
      <c r="K4937" t="s">
        <v>145</v>
      </c>
      <c r="O4937">
        <v>0</v>
      </c>
      <c r="P4937">
        <v>0</v>
      </c>
      <c r="Q4937">
        <v>17</v>
      </c>
      <c r="R4937" t="s">
        <v>4587</v>
      </c>
      <c r="S4937">
        <v>0</v>
      </c>
      <c r="T4937">
        <v>0</v>
      </c>
      <c r="U4937">
        <v>0</v>
      </c>
      <c r="W4937" t="s">
        <v>146</v>
      </c>
    </row>
    <row r="4938" spans="1:45" x14ac:dyDescent="0.35">
      <c r="A4938" t="s">
        <v>45</v>
      </c>
      <c r="B4938" t="s">
        <v>11026</v>
      </c>
      <c r="C4938" t="s">
        <v>139</v>
      </c>
      <c r="D4938" t="s">
        <v>4902</v>
      </c>
      <c r="E4938" t="s">
        <v>4903</v>
      </c>
      <c r="F4938" t="s">
        <v>49</v>
      </c>
      <c r="G4938" t="s">
        <v>11187</v>
      </c>
      <c r="H4938" t="s">
        <v>11188</v>
      </c>
      <c r="J4938" t="str">
        <f>HYPERLINK("https://twitter.com/lovepartner_1/status/1748230242601500728","https://twitter.com/lovepartner_1/status/1748230242601500728")</f>
        <v>https://twitter.com/lovepartner_1/status/1748230242601500728</v>
      </c>
      <c r="K4938" t="s">
        <v>145</v>
      </c>
      <c r="O4938">
        <v>0</v>
      </c>
      <c r="P4938">
        <v>0</v>
      </c>
      <c r="Q4938">
        <v>17</v>
      </c>
      <c r="R4938" t="s">
        <v>4587</v>
      </c>
      <c r="S4938">
        <v>0</v>
      </c>
      <c r="T4938">
        <v>0</v>
      </c>
      <c r="U4938">
        <v>0</v>
      </c>
      <c r="W4938" t="s">
        <v>146</v>
      </c>
    </row>
    <row r="4939" spans="1:45" x14ac:dyDescent="0.35">
      <c r="A4939" t="s">
        <v>45</v>
      </c>
      <c r="B4939" t="s">
        <v>11026</v>
      </c>
      <c r="C4939" t="s">
        <v>139</v>
      </c>
      <c r="D4939" t="s">
        <v>4902</v>
      </c>
      <c r="E4939" t="s">
        <v>4903</v>
      </c>
      <c r="F4939" t="s">
        <v>49</v>
      </c>
      <c r="G4939" t="s">
        <v>11189</v>
      </c>
      <c r="H4939" t="s">
        <v>11190</v>
      </c>
      <c r="J4939" t="str">
        <f>HYPERLINK("https://twitter.com/lovepartner_1/status/1748230088947314811","https://twitter.com/lovepartner_1/status/1748230088947314811")</f>
        <v>https://twitter.com/lovepartner_1/status/1748230088947314811</v>
      </c>
      <c r="K4939" t="s">
        <v>145</v>
      </c>
      <c r="O4939">
        <v>0</v>
      </c>
      <c r="P4939">
        <v>0</v>
      </c>
      <c r="Q4939">
        <v>17</v>
      </c>
      <c r="R4939" t="s">
        <v>4587</v>
      </c>
      <c r="S4939">
        <v>0</v>
      </c>
      <c r="T4939">
        <v>0</v>
      </c>
      <c r="U4939">
        <v>0</v>
      </c>
      <c r="W4939" t="s">
        <v>146</v>
      </c>
    </row>
    <row r="4940" spans="1:45" x14ac:dyDescent="0.35">
      <c r="A4940" t="s">
        <v>45</v>
      </c>
      <c r="B4940" t="s">
        <v>11026</v>
      </c>
      <c r="C4940" t="s">
        <v>139</v>
      </c>
      <c r="D4940" t="s">
        <v>4902</v>
      </c>
      <c r="E4940" t="s">
        <v>4903</v>
      </c>
      <c r="F4940" t="s">
        <v>49</v>
      </c>
      <c r="G4940" t="s">
        <v>11191</v>
      </c>
      <c r="H4940" t="s">
        <v>11192</v>
      </c>
      <c r="J4940" t="str">
        <f>HYPERLINK("https://twitter.com/lovepartner_1/status/1748229834319524223","https://twitter.com/lovepartner_1/status/1748229834319524223")</f>
        <v>https://twitter.com/lovepartner_1/status/1748229834319524223</v>
      </c>
      <c r="K4940" t="s">
        <v>145</v>
      </c>
      <c r="O4940">
        <v>0</v>
      </c>
      <c r="P4940">
        <v>0</v>
      </c>
      <c r="Q4940">
        <v>17</v>
      </c>
      <c r="R4940" t="s">
        <v>4587</v>
      </c>
      <c r="S4940">
        <v>0</v>
      </c>
      <c r="T4940">
        <v>0</v>
      </c>
      <c r="U4940">
        <v>0</v>
      </c>
      <c r="W4940" t="s">
        <v>146</v>
      </c>
    </row>
    <row r="4941" spans="1:45" x14ac:dyDescent="0.35">
      <c r="A4941" t="s">
        <v>45</v>
      </c>
      <c r="B4941" t="s">
        <v>11026</v>
      </c>
      <c r="C4941" t="s">
        <v>47</v>
      </c>
      <c r="D4941" t="s">
        <v>11193</v>
      </c>
      <c r="E4941" t="s">
        <v>11193</v>
      </c>
      <c r="F4941" t="s">
        <v>49</v>
      </c>
      <c r="G4941" t="s">
        <v>11194</v>
      </c>
      <c r="H4941" t="s">
        <v>11195</v>
      </c>
      <c r="J4941" t="str">
        <f>HYPERLINK("https://www.facebook.com/357267201017935/inbox/6888120801265843/","https://www.facebook.com/357267201017935/inbox/6888120801265843/")</f>
        <v>https://www.facebook.com/357267201017935/inbox/6888120801265843/</v>
      </c>
      <c r="O4941">
        <v>0</v>
      </c>
      <c r="P4941">
        <v>0</v>
      </c>
      <c r="Q4941">
        <v>0</v>
      </c>
      <c r="S4941">
        <v>0</v>
      </c>
      <c r="T4941">
        <v>0</v>
      </c>
      <c r="U4941">
        <v>0</v>
      </c>
      <c r="W4941" t="s">
        <v>52</v>
      </c>
      <c r="Y4941" t="s">
        <v>11196</v>
      </c>
      <c r="Z4941" t="s">
        <v>613</v>
      </c>
      <c r="AA4941" t="s">
        <v>614</v>
      </c>
    </row>
    <row r="4942" spans="1:45" x14ac:dyDescent="0.35">
      <c r="A4942" t="s">
        <v>45</v>
      </c>
      <c r="B4942" t="s">
        <v>11026</v>
      </c>
      <c r="C4942" t="s">
        <v>139</v>
      </c>
      <c r="D4942" t="s">
        <v>190</v>
      </c>
      <c r="E4942" t="s">
        <v>45</v>
      </c>
      <c r="F4942" t="s">
        <v>49</v>
      </c>
      <c r="G4942" t="s">
        <v>11197</v>
      </c>
      <c r="H4942" t="s">
        <v>11198</v>
      </c>
      <c r="J4942" t="str">
        <f>HYPERLINK("https://twitter.com/FinoPaymntsBank/status/1748228987074351171","https://twitter.com/FinoPaymntsBank/status/1748228987074351171")</f>
        <v>https://twitter.com/FinoPaymntsBank/status/1748228987074351171</v>
      </c>
      <c r="K4942" t="s">
        <v>145</v>
      </c>
      <c r="O4942">
        <v>0</v>
      </c>
      <c r="P4942">
        <v>0</v>
      </c>
      <c r="Q4942">
        <v>8313</v>
      </c>
      <c r="R4942" t="s">
        <v>193</v>
      </c>
      <c r="S4942">
        <v>0</v>
      </c>
      <c r="T4942">
        <v>0</v>
      </c>
      <c r="U4942">
        <v>0</v>
      </c>
      <c r="W4942" t="s">
        <v>146</v>
      </c>
    </row>
    <row r="4943" spans="1:45" x14ac:dyDescent="0.35">
      <c r="A4943" t="s">
        <v>45</v>
      </c>
      <c r="B4943" t="s">
        <v>11026</v>
      </c>
      <c r="C4943" t="s">
        <v>47</v>
      </c>
      <c r="D4943" t="s">
        <v>11199</v>
      </c>
      <c r="E4943" t="s">
        <v>11199</v>
      </c>
      <c r="F4943" t="s">
        <v>49</v>
      </c>
      <c r="G4943" t="s">
        <v>11200</v>
      </c>
      <c r="H4943" t="s">
        <v>11201</v>
      </c>
      <c r="J4943" t="str">
        <f>HYPERLINK("https://www.facebook.com/357267201017935/inbox/6930813676996555/","https://www.facebook.com/357267201017935/inbox/6930813676996555/")</f>
        <v>https://www.facebook.com/357267201017935/inbox/6930813676996555/</v>
      </c>
      <c r="O4943">
        <v>0</v>
      </c>
      <c r="P4943">
        <v>0</v>
      </c>
      <c r="Q4943">
        <v>0</v>
      </c>
      <c r="S4943">
        <v>0</v>
      </c>
      <c r="T4943">
        <v>0</v>
      </c>
      <c r="U4943">
        <v>0</v>
      </c>
      <c r="W4943" t="s">
        <v>52</v>
      </c>
    </row>
    <row r="4944" spans="1:45" x14ac:dyDescent="0.35">
      <c r="A4944" t="s">
        <v>45</v>
      </c>
      <c r="B4944" t="s">
        <v>11026</v>
      </c>
      <c r="C4944" t="s">
        <v>139</v>
      </c>
      <c r="D4944" t="s">
        <v>4902</v>
      </c>
      <c r="E4944" t="s">
        <v>4903</v>
      </c>
      <c r="F4944" t="s">
        <v>49</v>
      </c>
      <c r="G4944" t="s">
        <v>11202</v>
      </c>
      <c r="H4944" t="s">
        <v>11203</v>
      </c>
      <c r="J4944" t="str">
        <f>HYPERLINK("https://twitter.com/lovepartner_1/status/1748227919598801213","https://twitter.com/lovepartner_1/status/1748227919598801213")</f>
        <v>https://twitter.com/lovepartner_1/status/1748227919598801213</v>
      </c>
      <c r="K4944" t="s">
        <v>145</v>
      </c>
      <c r="O4944">
        <v>0</v>
      </c>
      <c r="P4944">
        <v>0</v>
      </c>
      <c r="Q4944">
        <v>17</v>
      </c>
      <c r="R4944" t="s">
        <v>4587</v>
      </c>
      <c r="S4944">
        <v>0</v>
      </c>
      <c r="T4944">
        <v>0</v>
      </c>
      <c r="U4944">
        <v>0</v>
      </c>
      <c r="W4944" t="s">
        <v>146</v>
      </c>
    </row>
    <row r="4945" spans="1:42" x14ac:dyDescent="0.35">
      <c r="A4945" t="s">
        <v>45</v>
      </c>
      <c r="B4945" t="s">
        <v>11026</v>
      </c>
      <c r="C4945" t="s">
        <v>47</v>
      </c>
      <c r="D4945" t="s">
        <v>45</v>
      </c>
      <c r="E4945" t="s">
        <v>45</v>
      </c>
      <c r="F4945" t="s">
        <v>49</v>
      </c>
      <c r="G4945" t="s">
        <v>11204</v>
      </c>
      <c r="H4945" t="s">
        <v>11205</v>
      </c>
      <c r="J4945" t="str">
        <f>HYPERLINK("https://www.facebook.com/454965103328545/posts/734812295343823?comment_id=2243354199192135&amp;reply_comment_id=335908655986619","https://www.facebook.com/454965103328545/posts/734812295343823?comment_id=2243354199192135&amp;reply_comment_id=335908655986619")</f>
        <v>https://www.facebook.com/454965103328545/posts/734812295343823?comment_id=2243354199192135&amp;reply_comment_id=335908655986619</v>
      </c>
      <c r="O4945">
        <v>0</v>
      </c>
      <c r="P4945">
        <v>0</v>
      </c>
      <c r="Q4945">
        <v>0</v>
      </c>
      <c r="S4945">
        <v>0</v>
      </c>
      <c r="T4945">
        <v>0</v>
      </c>
      <c r="U4945">
        <v>0</v>
      </c>
      <c r="W4945" t="s">
        <v>62</v>
      </c>
    </row>
    <row r="4946" spans="1:42" x14ac:dyDescent="0.35">
      <c r="A4946" t="s">
        <v>45</v>
      </c>
      <c r="B4946" t="s">
        <v>11026</v>
      </c>
      <c r="C4946" t="s">
        <v>47</v>
      </c>
      <c r="D4946" t="s">
        <v>45</v>
      </c>
      <c r="E4946" t="s">
        <v>45</v>
      </c>
      <c r="F4946" t="s">
        <v>49</v>
      </c>
      <c r="G4946" t="s">
        <v>11206</v>
      </c>
      <c r="H4946" t="s">
        <v>11207</v>
      </c>
      <c r="J4946" t="str">
        <f>HYPERLINK("https://www.facebook.com/357267201017935/inbox/6930123623732227/","https://www.facebook.com/357267201017935/inbox/6930123623732227/")</f>
        <v>https://www.facebook.com/357267201017935/inbox/6930123623732227/</v>
      </c>
      <c r="O4946">
        <v>0</v>
      </c>
      <c r="P4946">
        <v>0</v>
      </c>
      <c r="Q4946">
        <v>0</v>
      </c>
      <c r="S4946">
        <v>0</v>
      </c>
      <c r="T4946">
        <v>0</v>
      </c>
      <c r="U4946">
        <v>0</v>
      </c>
      <c r="W4946" t="s">
        <v>52</v>
      </c>
    </row>
    <row r="4947" spans="1:42" x14ac:dyDescent="0.35">
      <c r="A4947" t="s">
        <v>45</v>
      </c>
      <c r="B4947" t="s">
        <v>11026</v>
      </c>
      <c r="C4947" t="s">
        <v>47</v>
      </c>
      <c r="D4947" t="s">
        <v>45</v>
      </c>
      <c r="E4947" t="s">
        <v>45</v>
      </c>
      <c r="F4947" t="s">
        <v>49</v>
      </c>
      <c r="G4947" t="s">
        <v>11208</v>
      </c>
      <c r="H4947" t="s">
        <v>11209</v>
      </c>
      <c r="J4947" t="str">
        <f>HYPERLINK("https://www.facebook.com/357267201017935/inbox/6930269377050985/","https://www.facebook.com/357267201017935/inbox/6930269377050985/")</f>
        <v>https://www.facebook.com/357267201017935/inbox/6930269377050985/</v>
      </c>
      <c r="O4947">
        <v>0</v>
      </c>
      <c r="P4947">
        <v>0</v>
      </c>
      <c r="Q4947">
        <v>0</v>
      </c>
      <c r="S4947">
        <v>0</v>
      </c>
      <c r="T4947">
        <v>0</v>
      </c>
      <c r="U4947">
        <v>0</v>
      </c>
      <c r="W4947" t="s">
        <v>52</v>
      </c>
    </row>
    <row r="4948" spans="1:42" x14ac:dyDescent="0.35">
      <c r="A4948" t="s">
        <v>45</v>
      </c>
      <c r="B4948" t="s">
        <v>11026</v>
      </c>
      <c r="C4948" t="s">
        <v>47</v>
      </c>
      <c r="D4948" t="s">
        <v>45</v>
      </c>
      <c r="E4948" t="s">
        <v>45</v>
      </c>
      <c r="F4948" t="s">
        <v>49</v>
      </c>
      <c r="G4948" t="s">
        <v>11210</v>
      </c>
      <c r="H4948" t="s">
        <v>11211</v>
      </c>
      <c r="J4948" t="str">
        <f>HYPERLINK("https://www.facebook.com/454965103328545/posts/734812295343823?comment_id=1331496107567971&amp;reply_comment_id=3189323088042127","https://www.facebook.com/454965103328545/posts/734812295343823?comment_id=1331496107567971&amp;reply_comment_id=3189323088042127")</f>
        <v>https://www.facebook.com/454965103328545/posts/734812295343823?comment_id=1331496107567971&amp;reply_comment_id=3189323088042127</v>
      </c>
      <c r="O4948">
        <v>0</v>
      </c>
      <c r="P4948">
        <v>0</v>
      </c>
      <c r="Q4948">
        <v>0</v>
      </c>
      <c r="S4948">
        <v>0</v>
      </c>
      <c r="T4948">
        <v>0</v>
      </c>
      <c r="U4948">
        <v>0</v>
      </c>
      <c r="W4948" t="s">
        <v>62</v>
      </c>
    </row>
    <row r="4949" spans="1:42" x14ac:dyDescent="0.35">
      <c r="A4949" t="s">
        <v>45</v>
      </c>
      <c r="B4949" t="s">
        <v>11026</v>
      </c>
      <c r="C4949" t="s">
        <v>47</v>
      </c>
      <c r="D4949" t="s">
        <v>45</v>
      </c>
      <c r="E4949" t="s">
        <v>45</v>
      </c>
      <c r="F4949" t="s">
        <v>49</v>
      </c>
      <c r="G4949" t="s">
        <v>11212</v>
      </c>
      <c r="H4949" t="s">
        <v>11213</v>
      </c>
      <c r="J4949" t="str">
        <f>HYPERLINK("https://www.facebook.com/357267201017935/inbox/6930813676996555/","https://www.facebook.com/357267201017935/inbox/6930813676996555/")</f>
        <v>https://www.facebook.com/357267201017935/inbox/6930813676996555/</v>
      </c>
      <c r="O4949">
        <v>0</v>
      </c>
      <c r="P4949">
        <v>0</v>
      </c>
      <c r="Q4949">
        <v>0</v>
      </c>
      <c r="S4949">
        <v>0</v>
      </c>
      <c r="T4949">
        <v>0</v>
      </c>
      <c r="U4949">
        <v>0</v>
      </c>
      <c r="W4949" t="s">
        <v>52</v>
      </c>
    </row>
    <row r="4950" spans="1:42" x14ac:dyDescent="0.35">
      <c r="A4950" t="s">
        <v>45</v>
      </c>
      <c r="B4950" t="s">
        <v>11026</v>
      </c>
      <c r="C4950" t="s">
        <v>47</v>
      </c>
      <c r="D4950" t="s">
        <v>45</v>
      </c>
      <c r="E4950" t="s">
        <v>45</v>
      </c>
      <c r="F4950" t="s">
        <v>49</v>
      </c>
      <c r="G4950" t="s">
        <v>11214</v>
      </c>
      <c r="H4950" t="s">
        <v>11215</v>
      </c>
      <c r="J4950" t="str">
        <f>HYPERLINK("https://www.facebook.com/357267201017935/inbox/6888120801265843/","https://www.facebook.com/357267201017935/inbox/6888120801265843/")</f>
        <v>https://www.facebook.com/357267201017935/inbox/6888120801265843/</v>
      </c>
      <c r="O4950">
        <v>0</v>
      </c>
      <c r="P4950">
        <v>0</v>
      </c>
      <c r="Q4950">
        <v>0</v>
      </c>
      <c r="S4950">
        <v>0</v>
      </c>
      <c r="T4950">
        <v>0</v>
      </c>
      <c r="U4950">
        <v>0</v>
      </c>
      <c r="W4950" t="s">
        <v>52</v>
      </c>
    </row>
    <row r="4951" spans="1:42" x14ac:dyDescent="0.35">
      <c r="A4951" t="s">
        <v>45</v>
      </c>
      <c r="B4951" t="s">
        <v>11026</v>
      </c>
      <c r="C4951" t="s">
        <v>47</v>
      </c>
      <c r="D4951" t="s">
        <v>45</v>
      </c>
      <c r="E4951" t="s">
        <v>45</v>
      </c>
      <c r="F4951" t="s">
        <v>49</v>
      </c>
      <c r="G4951" t="s">
        <v>11216</v>
      </c>
      <c r="H4951" t="s">
        <v>11217</v>
      </c>
      <c r="J4951" t="str">
        <f>HYPERLINK("https://www.facebook.com/357267201017935/inbox/6931349323609657/","https://www.facebook.com/357267201017935/inbox/6931349323609657/")</f>
        <v>https://www.facebook.com/357267201017935/inbox/6931349323609657/</v>
      </c>
      <c r="O4951">
        <v>0</v>
      </c>
      <c r="P4951">
        <v>0</v>
      </c>
      <c r="Q4951">
        <v>0</v>
      </c>
      <c r="S4951">
        <v>0</v>
      </c>
      <c r="T4951">
        <v>0</v>
      </c>
      <c r="U4951">
        <v>0</v>
      </c>
      <c r="W4951" t="s">
        <v>52</v>
      </c>
    </row>
    <row r="4952" spans="1:42" x14ac:dyDescent="0.35">
      <c r="A4952" t="s">
        <v>45</v>
      </c>
      <c r="B4952" t="s">
        <v>11026</v>
      </c>
      <c r="C4952" t="s">
        <v>58</v>
      </c>
      <c r="D4952" t="s">
        <v>2705</v>
      </c>
      <c r="E4952" t="s">
        <v>2705</v>
      </c>
      <c r="F4952" t="s">
        <v>76</v>
      </c>
      <c r="G4952" t="s">
        <v>11218</v>
      </c>
      <c r="H4952" t="s">
        <v>11219</v>
      </c>
      <c r="J4952" t="str">
        <f>HYPERLINK("https://www.youtube.com/watch?v=gpEWBl8zcB4","https://www.youtube.com/watch?v=gpEWBl8zcB4")</f>
        <v>https://www.youtube.com/watch?v=gpEWBl8zcB4</v>
      </c>
      <c r="O4952">
        <v>0</v>
      </c>
      <c r="P4952">
        <v>0</v>
      </c>
      <c r="Q4952">
        <v>0</v>
      </c>
      <c r="S4952">
        <v>0</v>
      </c>
      <c r="T4952">
        <v>0</v>
      </c>
      <c r="U4952">
        <v>0</v>
      </c>
      <c r="W4952" t="s">
        <v>106</v>
      </c>
    </row>
    <row r="4953" spans="1:42" x14ac:dyDescent="0.35">
      <c r="A4953" t="s">
        <v>45</v>
      </c>
      <c r="B4953" t="s">
        <v>11026</v>
      </c>
      <c r="C4953" t="s">
        <v>47</v>
      </c>
      <c r="D4953" t="s">
        <v>45</v>
      </c>
      <c r="E4953" t="s">
        <v>45</v>
      </c>
      <c r="F4953" t="s">
        <v>49</v>
      </c>
      <c r="G4953" t="s">
        <v>320</v>
      </c>
      <c r="H4953" t="s">
        <v>11220</v>
      </c>
      <c r="J4953" t="str">
        <f>HYPERLINK("https://www.facebook.com/454965103328545/posts/490024586489263?comment_id=753721949989445&amp;reply_comment_id=1137060931070256","https://www.facebook.com/454965103328545/posts/490024586489263?comment_id=753721949989445&amp;reply_comment_id=1137060931070256")</f>
        <v>https://www.facebook.com/454965103328545/posts/490024586489263?comment_id=753721949989445&amp;reply_comment_id=1137060931070256</v>
      </c>
      <c r="O4953">
        <v>0</v>
      </c>
      <c r="P4953">
        <v>0</v>
      </c>
      <c r="Q4953">
        <v>0</v>
      </c>
      <c r="S4953">
        <v>0</v>
      </c>
      <c r="T4953">
        <v>0</v>
      </c>
      <c r="U4953">
        <v>0</v>
      </c>
      <c r="W4953" t="s">
        <v>62</v>
      </c>
    </row>
    <row r="4954" spans="1:42" x14ac:dyDescent="0.35">
      <c r="A4954" t="s">
        <v>45</v>
      </c>
      <c r="B4954" t="s">
        <v>11026</v>
      </c>
      <c r="C4954" t="s">
        <v>47</v>
      </c>
      <c r="D4954" t="s">
        <v>45</v>
      </c>
      <c r="E4954" t="s">
        <v>45</v>
      </c>
      <c r="F4954" t="s">
        <v>49</v>
      </c>
      <c r="G4954" t="s">
        <v>11221</v>
      </c>
      <c r="H4954" t="s">
        <v>11222</v>
      </c>
      <c r="J4954" t="str">
        <f>HYPERLINK("https://www.facebook.com/454965103328545/posts/490024586489263?comment_id=1093614931665427&amp;reply_comment_id=889368816263744","https://www.facebook.com/454965103328545/posts/490024586489263?comment_id=1093614931665427&amp;reply_comment_id=889368816263744")</f>
        <v>https://www.facebook.com/454965103328545/posts/490024586489263?comment_id=1093614931665427&amp;reply_comment_id=889368816263744</v>
      </c>
      <c r="O4954">
        <v>0</v>
      </c>
      <c r="P4954">
        <v>0</v>
      </c>
      <c r="Q4954">
        <v>0</v>
      </c>
      <c r="S4954">
        <v>0</v>
      </c>
      <c r="T4954">
        <v>0</v>
      </c>
      <c r="U4954">
        <v>0</v>
      </c>
      <c r="W4954" t="s">
        <v>62</v>
      </c>
    </row>
    <row r="4955" spans="1:42" x14ac:dyDescent="0.35">
      <c r="A4955" t="s">
        <v>45</v>
      </c>
      <c r="B4955" t="s">
        <v>11026</v>
      </c>
      <c r="C4955" t="s">
        <v>47</v>
      </c>
      <c r="D4955" t="s">
        <v>45</v>
      </c>
      <c r="E4955" t="s">
        <v>45</v>
      </c>
      <c r="F4955" t="s">
        <v>49</v>
      </c>
      <c r="G4955" t="s">
        <v>11223</v>
      </c>
      <c r="H4955" t="s">
        <v>11224</v>
      </c>
      <c r="J4955" t="str">
        <f>HYPERLINK("https://www.facebook.com/357267201017935/inbox/6933954390015817/","https://www.facebook.com/357267201017935/inbox/6933954390015817/")</f>
        <v>https://www.facebook.com/357267201017935/inbox/6933954390015817/</v>
      </c>
      <c r="O4955">
        <v>0</v>
      </c>
      <c r="P4955">
        <v>0</v>
      </c>
      <c r="Q4955">
        <v>0</v>
      </c>
      <c r="S4955">
        <v>0</v>
      </c>
      <c r="T4955">
        <v>0</v>
      </c>
      <c r="U4955">
        <v>0</v>
      </c>
      <c r="W4955" t="s">
        <v>52</v>
      </c>
    </row>
    <row r="4956" spans="1:42" x14ac:dyDescent="0.35">
      <c r="A4956" t="s">
        <v>45</v>
      </c>
      <c r="B4956" t="s">
        <v>11026</v>
      </c>
      <c r="C4956" t="s">
        <v>47</v>
      </c>
      <c r="D4956" t="s">
        <v>45</v>
      </c>
      <c r="E4956" t="s">
        <v>45</v>
      </c>
      <c r="F4956" t="s">
        <v>49</v>
      </c>
      <c r="G4956" t="s">
        <v>11225</v>
      </c>
      <c r="H4956" t="s">
        <v>11226</v>
      </c>
      <c r="J4956" t="str">
        <f>HYPERLINK("https://www.facebook.com/357267201017935/inbox/6933954390015817/","https://www.facebook.com/357267201017935/inbox/6933954390015817/")</f>
        <v>https://www.facebook.com/357267201017935/inbox/6933954390015817/</v>
      </c>
      <c r="O4956">
        <v>0</v>
      </c>
      <c r="P4956">
        <v>0</v>
      </c>
      <c r="Q4956">
        <v>0</v>
      </c>
      <c r="S4956">
        <v>0</v>
      </c>
      <c r="T4956">
        <v>0</v>
      </c>
      <c r="U4956">
        <v>0</v>
      </c>
      <c r="W4956" t="s">
        <v>52</v>
      </c>
      <c r="AP4956" t="s">
        <v>101</v>
      </c>
    </row>
    <row r="4957" spans="1:42" x14ac:dyDescent="0.35">
      <c r="A4957" t="s">
        <v>45</v>
      </c>
      <c r="B4957" t="s">
        <v>11026</v>
      </c>
      <c r="C4957" t="s">
        <v>47</v>
      </c>
      <c r="D4957" t="s">
        <v>45</v>
      </c>
      <c r="E4957" t="s">
        <v>45</v>
      </c>
      <c r="F4957" t="s">
        <v>49</v>
      </c>
      <c r="G4957" t="s">
        <v>11227</v>
      </c>
      <c r="H4957" t="s">
        <v>11228</v>
      </c>
      <c r="J4957" t="str">
        <f>HYPERLINK("https://www.facebook.com/454965103328545/posts/755378119953907?comment_id=901569594631680&amp;reply_comment_id=1079759536401258","https://www.facebook.com/454965103328545/posts/755378119953907?comment_id=901569594631680&amp;reply_comment_id=1079759536401258")</f>
        <v>https://www.facebook.com/454965103328545/posts/755378119953907?comment_id=901569594631680&amp;reply_comment_id=1079759536401258</v>
      </c>
      <c r="O4957">
        <v>0</v>
      </c>
      <c r="P4957">
        <v>0</v>
      </c>
      <c r="Q4957">
        <v>0</v>
      </c>
      <c r="S4957">
        <v>0</v>
      </c>
      <c r="T4957">
        <v>0</v>
      </c>
      <c r="U4957">
        <v>0</v>
      </c>
      <c r="W4957" t="s">
        <v>62</v>
      </c>
    </row>
    <row r="4958" spans="1:42" x14ac:dyDescent="0.35">
      <c r="A4958" t="s">
        <v>45</v>
      </c>
      <c r="B4958" t="s">
        <v>11026</v>
      </c>
      <c r="C4958" t="s">
        <v>47</v>
      </c>
      <c r="D4958" t="s">
        <v>45</v>
      </c>
      <c r="E4958" t="s">
        <v>45</v>
      </c>
      <c r="F4958" t="s">
        <v>49</v>
      </c>
      <c r="G4958" t="s">
        <v>11229</v>
      </c>
      <c r="H4958" t="s">
        <v>11230</v>
      </c>
      <c r="J4958" t="str">
        <f>HYPERLINK("https://www.facebook.com/357267201017935/inbox/6935027643241825/","https://www.facebook.com/357267201017935/inbox/6935027643241825/")</f>
        <v>https://www.facebook.com/357267201017935/inbox/6935027643241825/</v>
      </c>
      <c r="O4958">
        <v>0</v>
      </c>
      <c r="P4958">
        <v>0</v>
      </c>
      <c r="Q4958">
        <v>0</v>
      </c>
      <c r="S4958">
        <v>0</v>
      </c>
      <c r="T4958">
        <v>0</v>
      </c>
      <c r="U4958">
        <v>0</v>
      </c>
      <c r="W4958" t="s">
        <v>52</v>
      </c>
    </row>
    <row r="4959" spans="1:42" x14ac:dyDescent="0.35">
      <c r="A4959" t="s">
        <v>45</v>
      </c>
      <c r="B4959" t="s">
        <v>11026</v>
      </c>
      <c r="C4959" t="s">
        <v>47</v>
      </c>
      <c r="D4959" t="s">
        <v>45</v>
      </c>
      <c r="E4959" t="s">
        <v>45</v>
      </c>
      <c r="F4959" t="s">
        <v>49</v>
      </c>
      <c r="G4959" t="s">
        <v>11231</v>
      </c>
      <c r="H4959" t="s">
        <v>11232</v>
      </c>
      <c r="J4959" t="str">
        <f>HYPERLINK("https://www.facebook.com/357267201017935/inbox/6936723076405615/","https://www.facebook.com/357267201017935/inbox/6936723076405615/")</f>
        <v>https://www.facebook.com/357267201017935/inbox/6936723076405615/</v>
      </c>
      <c r="O4959">
        <v>0</v>
      </c>
      <c r="P4959">
        <v>0</v>
      </c>
      <c r="Q4959">
        <v>0</v>
      </c>
      <c r="S4959">
        <v>0</v>
      </c>
      <c r="T4959">
        <v>0</v>
      </c>
      <c r="U4959">
        <v>0</v>
      </c>
      <c r="W4959" t="s">
        <v>52</v>
      </c>
      <c r="AP4959" t="s">
        <v>101</v>
      </c>
    </row>
    <row r="4960" spans="1:42" x14ac:dyDescent="0.35">
      <c r="A4960" t="s">
        <v>45</v>
      </c>
      <c r="B4960" t="s">
        <v>11026</v>
      </c>
      <c r="C4960" t="s">
        <v>47</v>
      </c>
      <c r="D4960" t="s">
        <v>11233</v>
      </c>
      <c r="E4960" t="s">
        <v>11233</v>
      </c>
      <c r="F4960" t="s">
        <v>49</v>
      </c>
      <c r="G4960" t="s">
        <v>11234</v>
      </c>
      <c r="H4960" t="s">
        <v>11235</v>
      </c>
      <c r="J4960" t="str">
        <f>HYPERLINK("https://www.facebook.com/357267201017935/inbox/6935195196558403/","https://www.facebook.com/357267201017935/inbox/6935195196558403/")</f>
        <v>https://www.facebook.com/357267201017935/inbox/6935195196558403/</v>
      </c>
      <c r="O4960">
        <v>0</v>
      </c>
      <c r="P4960">
        <v>0</v>
      </c>
      <c r="Q4960">
        <v>0</v>
      </c>
      <c r="S4960">
        <v>0</v>
      </c>
      <c r="T4960">
        <v>0</v>
      </c>
      <c r="U4960">
        <v>0</v>
      </c>
      <c r="W4960" t="s">
        <v>52</v>
      </c>
    </row>
    <row r="4961" spans="1:45" x14ac:dyDescent="0.35">
      <c r="A4961" t="s">
        <v>45</v>
      </c>
      <c r="B4961" t="s">
        <v>11026</v>
      </c>
      <c r="C4961" t="s">
        <v>47</v>
      </c>
      <c r="D4961" t="s">
        <v>45</v>
      </c>
      <c r="E4961" t="s">
        <v>45</v>
      </c>
      <c r="F4961" t="s">
        <v>49</v>
      </c>
      <c r="G4961" t="s">
        <v>11229</v>
      </c>
      <c r="H4961" t="s">
        <v>11236</v>
      </c>
      <c r="J4961" t="str">
        <f>HYPERLINK("https://www.facebook.com/357267201017935/inbox/6935027643241825/","https://www.facebook.com/357267201017935/inbox/6935027643241825/")</f>
        <v>https://www.facebook.com/357267201017935/inbox/6935027643241825/</v>
      </c>
      <c r="O4961">
        <v>0</v>
      </c>
      <c r="P4961">
        <v>0</v>
      </c>
      <c r="Q4961">
        <v>0</v>
      </c>
      <c r="S4961">
        <v>0</v>
      </c>
      <c r="T4961">
        <v>0</v>
      </c>
      <c r="U4961">
        <v>0</v>
      </c>
      <c r="W4961" t="s">
        <v>52</v>
      </c>
    </row>
    <row r="4962" spans="1:45" x14ac:dyDescent="0.35">
      <c r="A4962" t="s">
        <v>45</v>
      </c>
      <c r="B4962" t="s">
        <v>11026</v>
      </c>
      <c r="C4962" t="s">
        <v>47</v>
      </c>
      <c r="D4962" t="s">
        <v>45</v>
      </c>
      <c r="E4962" t="s">
        <v>45</v>
      </c>
      <c r="F4962" t="s">
        <v>49</v>
      </c>
      <c r="G4962" t="s">
        <v>11237</v>
      </c>
      <c r="H4962" t="s">
        <v>11238</v>
      </c>
      <c r="J4962" t="str">
        <f>HYPERLINK("https://www.facebook.com/357267201017935/inbox/6935195196558403/","https://www.facebook.com/357267201017935/inbox/6935195196558403/")</f>
        <v>https://www.facebook.com/357267201017935/inbox/6935195196558403/</v>
      </c>
      <c r="O4962">
        <v>0</v>
      </c>
      <c r="P4962">
        <v>0</v>
      </c>
      <c r="Q4962">
        <v>0</v>
      </c>
      <c r="S4962">
        <v>0</v>
      </c>
      <c r="T4962">
        <v>0</v>
      </c>
      <c r="U4962">
        <v>0</v>
      </c>
      <c r="W4962" t="s">
        <v>52</v>
      </c>
    </row>
    <row r="4963" spans="1:45" x14ac:dyDescent="0.35">
      <c r="A4963" t="s">
        <v>45</v>
      </c>
      <c r="B4963" t="s">
        <v>11026</v>
      </c>
      <c r="C4963" t="s">
        <v>58</v>
      </c>
      <c r="D4963" t="s">
        <v>11239</v>
      </c>
      <c r="E4963" t="s">
        <v>11239</v>
      </c>
      <c r="F4963" t="s">
        <v>49</v>
      </c>
      <c r="G4963" t="s">
        <v>11240</v>
      </c>
      <c r="H4963" t="s">
        <v>11241</v>
      </c>
      <c r="J4963" t="str">
        <f>HYPERLINK("https://www.youtube.com/watch?v=qADVMIb0AmM","https://www.youtube.com/watch?v=qADVMIb0AmM")</f>
        <v>https://www.youtube.com/watch?v=qADVMIb0AmM</v>
      </c>
      <c r="O4963">
        <v>0</v>
      </c>
      <c r="P4963">
        <v>0</v>
      </c>
      <c r="Q4963">
        <v>0</v>
      </c>
      <c r="S4963">
        <v>0</v>
      </c>
      <c r="T4963">
        <v>0</v>
      </c>
      <c r="U4963">
        <v>0</v>
      </c>
      <c r="W4963" t="s">
        <v>106</v>
      </c>
      <c r="AO4963" t="s">
        <v>67</v>
      </c>
    </row>
    <row r="4964" spans="1:45" x14ac:dyDescent="0.35">
      <c r="A4964" t="s">
        <v>45</v>
      </c>
      <c r="B4964" t="s">
        <v>11026</v>
      </c>
      <c r="C4964" t="s">
        <v>58</v>
      </c>
      <c r="D4964" t="s">
        <v>11242</v>
      </c>
      <c r="E4964" t="s">
        <v>11242</v>
      </c>
      <c r="F4964" t="s">
        <v>49</v>
      </c>
      <c r="G4964" t="s">
        <v>11243</v>
      </c>
      <c r="H4964" t="s">
        <v>11244</v>
      </c>
      <c r="J4964" t="str">
        <f>HYPERLINK("https://www.youtube.com/watch?v=QJb6tryuYJQ","https://www.youtube.com/watch?v=QJb6tryuYJQ")</f>
        <v>https://www.youtube.com/watch?v=QJb6tryuYJQ</v>
      </c>
      <c r="O4964">
        <v>0</v>
      </c>
      <c r="P4964">
        <v>0</v>
      </c>
      <c r="Q4964">
        <v>0</v>
      </c>
      <c r="S4964">
        <v>0</v>
      </c>
      <c r="T4964">
        <v>0</v>
      </c>
      <c r="U4964">
        <v>0</v>
      </c>
      <c r="W4964" t="s">
        <v>106</v>
      </c>
    </row>
    <row r="4965" spans="1:45" x14ac:dyDescent="0.35">
      <c r="A4965" t="s">
        <v>45</v>
      </c>
      <c r="B4965" t="s">
        <v>11026</v>
      </c>
      <c r="C4965" t="s">
        <v>139</v>
      </c>
      <c r="D4965" t="s">
        <v>11047</v>
      </c>
      <c r="E4965" t="s">
        <v>11048</v>
      </c>
      <c r="F4965" t="s">
        <v>49</v>
      </c>
      <c r="G4965" t="s">
        <v>11245</v>
      </c>
      <c r="H4965" t="s">
        <v>11246</v>
      </c>
      <c r="J4965" t="str">
        <f>HYPERLINK("https://twitter.com/Parmeshwar7755/status/1748187565210075204","https://twitter.com/Parmeshwar7755/status/1748187565210075204")</f>
        <v>https://twitter.com/Parmeshwar7755/status/1748187565210075204</v>
      </c>
      <c r="K4965" t="s">
        <v>145</v>
      </c>
      <c r="O4965">
        <v>0</v>
      </c>
      <c r="P4965">
        <v>0</v>
      </c>
      <c r="Q4965">
        <v>27</v>
      </c>
      <c r="R4965" t="s">
        <v>582</v>
      </c>
      <c r="S4965">
        <v>0</v>
      </c>
      <c r="T4965">
        <v>0</v>
      </c>
      <c r="U4965">
        <v>0</v>
      </c>
      <c r="W4965" t="s">
        <v>146</v>
      </c>
    </row>
    <row r="4966" spans="1:45" x14ac:dyDescent="0.35">
      <c r="A4966" t="s">
        <v>45</v>
      </c>
      <c r="B4966" t="s">
        <v>11026</v>
      </c>
      <c r="C4966" t="s">
        <v>47</v>
      </c>
      <c r="D4966" t="s">
        <v>11101</v>
      </c>
      <c r="E4966" t="s">
        <v>11101</v>
      </c>
      <c r="F4966" t="s">
        <v>49</v>
      </c>
      <c r="G4966" t="s">
        <v>11247</v>
      </c>
      <c r="H4966" t="s">
        <v>11248</v>
      </c>
      <c r="J4966" t="str">
        <f>HYPERLINK("https://www.facebook.com/357267201017935/inbox/6936723076405615/","https://www.facebook.com/357267201017935/inbox/6936723076405615/")</f>
        <v>https://www.facebook.com/357267201017935/inbox/6936723076405615/</v>
      </c>
      <c r="O4966">
        <v>0</v>
      </c>
      <c r="P4966">
        <v>0</v>
      </c>
      <c r="Q4966">
        <v>0</v>
      </c>
      <c r="S4966">
        <v>0</v>
      </c>
      <c r="T4966">
        <v>0</v>
      </c>
      <c r="U4966">
        <v>0</v>
      </c>
      <c r="W4966" t="s">
        <v>52</v>
      </c>
      <c r="AP4966" t="s">
        <v>101</v>
      </c>
      <c r="AS4966" t="s">
        <v>375</v>
      </c>
    </row>
    <row r="4967" spans="1:45" x14ac:dyDescent="0.35">
      <c r="A4967" t="s">
        <v>45</v>
      </c>
      <c r="B4967" t="s">
        <v>11026</v>
      </c>
      <c r="C4967" t="s">
        <v>47</v>
      </c>
      <c r="D4967" t="s">
        <v>11101</v>
      </c>
      <c r="E4967" t="s">
        <v>11101</v>
      </c>
      <c r="F4967" t="s">
        <v>49</v>
      </c>
      <c r="G4967" t="s">
        <v>11249</v>
      </c>
      <c r="H4967" t="s">
        <v>11250</v>
      </c>
      <c r="J4967" t="str">
        <f>HYPERLINK("https://www.facebook.com/357267201017935/inbox/6936723076405615/","https://www.facebook.com/357267201017935/inbox/6936723076405615/")</f>
        <v>https://www.facebook.com/357267201017935/inbox/6936723076405615/</v>
      </c>
      <c r="O4967">
        <v>0</v>
      </c>
      <c r="P4967">
        <v>0</v>
      </c>
      <c r="Q4967">
        <v>0</v>
      </c>
      <c r="S4967">
        <v>0</v>
      </c>
      <c r="T4967">
        <v>0</v>
      </c>
      <c r="U4967">
        <v>0</v>
      </c>
      <c r="W4967" t="s">
        <v>52</v>
      </c>
    </row>
    <row r="4968" spans="1:45" x14ac:dyDescent="0.35">
      <c r="A4968" t="s">
        <v>45</v>
      </c>
      <c r="B4968" t="s">
        <v>11026</v>
      </c>
      <c r="C4968" t="s">
        <v>47</v>
      </c>
      <c r="D4968" t="s">
        <v>11101</v>
      </c>
      <c r="E4968" t="s">
        <v>11101</v>
      </c>
      <c r="F4968" t="s">
        <v>76</v>
      </c>
      <c r="G4968" t="s">
        <v>11251</v>
      </c>
      <c r="H4968" t="s">
        <v>11252</v>
      </c>
      <c r="J4968" t="str">
        <f>HYPERLINK("https://www.facebook.com/357267201017935/inbox/6936723076405615/","https://www.facebook.com/357267201017935/inbox/6936723076405615/")</f>
        <v>https://www.facebook.com/357267201017935/inbox/6936723076405615/</v>
      </c>
      <c r="O4968">
        <v>0</v>
      </c>
      <c r="P4968">
        <v>0</v>
      </c>
      <c r="Q4968">
        <v>0</v>
      </c>
      <c r="S4968">
        <v>0</v>
      </c>
      <c r="T4968">
        <v>0</v>
      </c>
      <c r="U4968">
        <v>0</v>
      </c>
      <c r="W4968" t="s">
        <v>52</v>
      </c>
    </row>
    <row r="4969" spans="1:45" x14ac:dyDescent="0.35">
      <c r="A4969" t="s">
        <v>45</v>
      </c>
      <c r="B4969" t="s">
        <v>11026</v>
      </c>
      <c r="C4969" t="s">
        <v>47</v>
      </c>
      <c r="D4969" t="s">
        <v>11101</v>
      </c>
      <c r="E4969" t="s">
        <v>11101</v>
      </c>
      <c r="F4969" t="s">
        <v>49</v>
      </c>
      <c r="G4969" t="s">
        <v>373</v>
      </c>
      <c r="H4969" t="s">
        <v>11253</v>
      </c>
      <c r="J4969" t="str">
        <f>HYPERLINK("https://www.facebook.com/357267201017935/inbox/6936723076405615/","https://www.facebook.com/357267201017935/inbox/6936723076405615/")</f>
        <v>https://www.facebook.com/357267201017935/inbox/6936723076405615/</v>
      </c>
      <c r="O4969">
        <v>0</v>
      </c>
      <c r="P4969">
        <v>0</v>
      </c>
      <c r="Q4969">
        <v>0</v>
      </c>
      <c r="S4969">
        <v>0</v>
      </c>
      <c r="T4969">
        <v>0</v>
      </c>
      <c r="U4969">
        <v>0</v>
      </c>
      <c r="W4969" t="s">
        <v>52</v>
      </c>
    </row>
    <row r="4970" spans="1:45" x14ac:dyDescent="0.35">
      <c r="A4970" t="s">
        <v>45</v>
      </c>
      <c r="B4970" t="s">
        <v>11026</v>
      </c>
      <c r="C4970" t="s">
        <v>58</v>
      </c>
      <c r="D4970" t="s">
        <v>11254</v>
      </c>
      <c r="E4970" t="s">
        <v>11254</v>
      </c>
      <c r="F4970" t="s">
        <v>49</v>
      </c>
      <c r="G4970" t="s">
        <v>11255</v>
      </c>
      <c r="H4970" t="s">
        <v>11256</v>
      </c>
      <c r="J4970" t="str">
        <f>HYPERLINK("https://www.youtube.com/watch?v=7IfHlU9Mx5M","https://www.youtube.com/watch?v=7IfHlU9Mx5M")</f>
        <v>https://www.youtube.com/watch?v=7IfHlU9Mx5M</v>
      </c>
      <c r="O4970">
        <v>0</v>
      </c>
      <c r="P4970">
        <v>0</v>
      </c>
      <c r="Q4970">
        <v>0</v>
      </c>
      <c r="S4970">
        <v>0</v>
      </c>
      <c r="T4970">
        <v>0</v>
      </c>
      <c r="U4970">
        <v>0</v>
      </c>
      <c r="W4970" t="s">
        <v>106</v>
      </c>
      <c r="AP4970" t="s">
        <v>101</v>
      </c>
    </row>
    <row r="4971" spans="1:45" x14ac:dyDescent="0.35">
      <c r="A4971" t="s">
        <v>45</v>
      </c>
      <c r="B4971" t="s">
        <v>11026</v>
      </c>
      <c r="C4971" t="s">
        <v>58</v>
      </c>
      <c r="D4971" t="s">
        <v>2320</v>
      </c>
      <c r="E4971" t="s">
        <v>2320</v>
      </c>
      <c r="F4971" t="s">
        <v>49</v>
      </c>
      <c r="G4971" t="s">
        <v>11257</v>
      </c>
      <c r="H4971" t="s">
        <v>11258</v>
      </c>
      <c r="J4971" t="str">
        <f>HYPERLINK("https://www.youtube.com/watch?v=7fpe4yyiE7I","https://www.youtube.com/watch?v=7fpe4yyiE7I")</f>
        <v>https://www.youtube.com/watch?v=7fpe4yyiE7I</v>
      </c>
      <c r="O4971">
        <v>0</v>
      </c>
      <c r="P4971">
        <v>0</v>
      </c>
      <c r="Q4971">
        <v>0</v>
      </c>
      <c r="S4971">
        <v>0</v>
      </c>
      <c r="T4971">
        <v>0</v>
      </c>
      <c r="U4971">
        <v>0</v>
      </c>
      <c r="W4971" t="s">
        <v>106</v>
      </c>
    </row>
    <row r="4972" spans="1:45" x14ac:dyDescent="0.35">
      <c r="A4972" t="s">
        <v>45</v>
      </c>
      <c r="B4972" t="s">
        <v>11026</v>
      </c>
      <c r="C4972" t="s">
        <v>58</v>
      </c>
      <c r="D4972" t="s">
        <v>10645</v>
      </c>
      <c r="E4972" t="s">
        <v>10645</v>
      </c>
      <c r="F4972" t="s">
        <v>49</v>
      </c>
      <c r="G4972" t="s">
        <v>11259</v>
      </c>
      <c r="H4972" t="s">
        <v>11260</v>
      </c>
      <c r="J4972" t="str">
        <f>HYPERLINK("https://www.youtube.com/watch?v=2OFO-_i0AHI","https://www.youtube.com/watch?v=2OFO-_i0AHI")</f>
        <v>https://www.youtube.com/watch?v=2OFO-_i0AHI</v>
      </c>
      <c r="O4972">
        <v>0</v>
      </c>
      <c r="P4972">
        <v>0</v>
      </c>
      <c r="Q4972">
        <v>0</v>
      </c>
      <c r="S4972">
        <v>0</v>
      </c>
      <c r="T4972">
        <v>0</v>
      </c>
      <c r="U4972">
        <v>0</v>
      </c>
      <c r="W4972" t="s">
        <v>106</v>
      </c>
    </row>
    <row r="4973" spans="1:45" x14ac:dyDescent="0.35">
      <c r="A4973" t="s">
        <v>45</v>
      </c>
      <c r="B4973" t="s">
        <v>11026</v>
      </c>
      <c r="C4973" t="s">
        <v>47</v>
      </c>
      <c r="D4973" t="s">
        <v>11261</v>
      </c>
      <c r="E4973" t="s">
        <v>11261</v>
      </c>
      <c r="F4973" t="s">
        <v>49</v>
      </c>
      <c r="G4973" t="s">
        <v>11262</v>
      </c>
      <c r="H4973" t="s">
        <v>11263</v>
      </c>
      <c r="J4973" t="str">
        <f>HYPERLINK("https://www.facebook.com/454965103328545/posts/734813295343723?comment_id=1500071200564080","https://www.facebook.com/454965103328545/posts/734813295343723?comment_id=1500071200564080")</f>
        <v>https://www.facebook.com/454965103328545/posts/734813295343723?comment_id=1500071200564080</v>
      </c>
      <c r="O4973">
        <v>0</v>
      </c>
      <c r="P4973">
        <v>0</v>
      </c>
      <c r="Q4973">
        <v>0</v>
      </c>
      <c r="S4973">
        <v>0</v>
      </c>
      <c r="T4973">
        <v>0</v>
      </c>
      <c r="U4973">
        <v>0</v>
      </c>
      <c r="W4973" t="s">
        <v>62</v>
      </c>
    </row>
    <row r="4974" spans="1:45" x14ac:dyDescent="0.35">
      <c r="A4974" t="s">
        <v>45</v>
      </c>
      <c r="B4974" t="s">
        <v>11264</v>
      </c>
      <c r="C4974" t="s">
        <v>47</v>
      </c>
      <c r="D4974" t="s">
        <v>11233</v>
      </c>
      <c r="E4974" t="s">
        <v>11233</v>
      </c>
      <c r="F4974" t="s">
        <v>49</v>
      </c>
      <c r="G4974" t="s">
        <v>975</v>
      </c>
      <c r="H4974" t="s">
        <v>11265</v>
      </c>
      <c r="J4974" t="str">
        <f>HYPERLINK("https://www.facebook.com/357267201017935/inbox/6935195196558403/","https://www.facebook.com/357267201017935/inbox/6935195196558403/")</f>
        <v>https://www.facebook.com/357267201017935/inbox/6935195196558403/</v>
      </c>
      <c r="O4974">
        <v>0</v>
      </c>
      <c r="P4974">
        <v>0</v>
      </c>
      <c r="Q4974">
        <v>0</v>
      </c>
      <c r="S4974">
        <v>0</v>
      </c>
      <c r="T4974">
        <v>0</v>
      </c>
      <c r="U4974">
        <v>0</v>
      </c>
      <c r="W4974" t="s">
        <v>52</v>
      </c>
      <c r="AS4974" t="s">
        <v>375</v>
      </c>
    </row>
    <row r="4975" spans="1:45" x14ac:dyDescent="0.35">
      <c r="A4975" t="s">
        <v>45</v>
      </c>
      <c r="B4975" t="s">
        <v>11264</v>
      </c>
      <c r="C4975" t="s">
        <v>47</v>
      </c>
      <c r="D4975" t="s">
        <v>11233</v>
      </c>
      <c r="E4975" t="s">
        <v>11233</v>
      </c>
      <c r="F4975" t="s">
        <v>49</v>
      </c>
      <c r="G4975" t="s">
        <v>50</v>
      </c>
      <c r="H4975" t="s">
        <v>11266</v>
      </c>
      <c r="J4975" t="str">
        <f>HYPERLINK("https://www.facebook.com/357267201017935/inbox/6935195196558403/","https://www.facebook.com/357267201017935/inbox/6935195196558403/")</f>
        <v>https://www.facebook.com/357267201017935/inbox/6935195196558403/</v>
      </c>
      <c r="O4975">
        <v>0</v>
      </c>
      <c r="P4975">
        <v>0</v>
      </c>
      <c r="Q4975">
        <v>0</v>
      </c>
      <c r="S4975">
        <v>0</v>
      </c>
      <c r="T4975">
        <v>0</v>
      </c>
      <c r="U4975">
        <v>0</v>
      </c>
      <c r="W4975" t="s">
        <v>52</v>
      </c>
    </row>
    <row r="4976" spans="1:45" x14ac:dyDescent="0.35">
      <c r="A4976" t="s">
        <v>45</v>
      </c>
      <c r="B4976" t="s">
        <v>11264</v>
      </c>
      <c r="C4976" t="s">
        <v>139</v>
      </c>
      <c r="D4976" t="s">
        <v>11267</v>
      </c>
      <c r="E4976" t="s">
        <v>11268</v>
      </c>
      <c r="F4976" t="s">
        <v>142</v>
      </c>
      <c r="G4976" t="s">
        <v>11269</v>
      </c>
      <c r="H4976" t="s">
        <v>11270</v>
      </c>
      <c r="J4976" t="str">
        <f>HYPERLINK("https://twitter.com/autodidact_arya/status/1748033606755242211","https://twitter.com/autodidact_arya/status/1748033606755242211")</f>
        <v>https://twitter.com/autodidact_arya/status/1748033606755242211</v>
      </c>
      <c r="O4976">
        <v>0</v>
      </c>
      <c r="P4976">
        <v>0</v>
      </c>
      <c r="Q4976">
        <v>122</v>
      </c>
      <c r="R4976" t="s">
        <v>4304</v>
      </c>
      <c r="S4976">
        <v>0</v>
      </c>
      <c r="T4976">
        <v>0</v>
      </c>
      <c r="U4976">
        <v>0</v>
      </c>
      <c r="W4976" t="s">
        <v>552</v>
      </c>
    </row>
    <row r="4977" spans="1:45" x14ac:dyDescent="0.35">
      <c r="A4977" t="s">
        <v>45</v>
      </c>
      <c r="B4977" t="s">
        <v>11264</v>
      </c>
      <c r="C4977" t="s">
        <v>47</v>
      </c>
      <c r="D4977" t="s">
        <v>11271</v>
      </c>
      <c r="E4977" t="s">
        <v>11271</v>
      </c>
      <c r="F4977" t="s">
        <v>49</v>
      </c>
      <c r="G4977" t="s">
        <v>2767</v>
      </c>
      <c r="H4977" t="s">
        <v>11272</v>
      </c>
      <c r="J4977" t="str">
        <f>HYPERLINK("https://www.facebook.com/357267201017935/inbox/6935027643241825/","https://www.facebook.com/357267201017935/inbox/6935027643241825/")</f>
        <v>https://www.facebook.com/357267201017935/inbox/6935027643241825/</v>
      </c>
      <c r="O4977">
        <v>0</v>
      </c>
      <c r="P4977">
        <v>0</v>
      </c>
      <c r="Q4977">
        <v>0</v>
      </c>
      <c r="S4977">
        <v>0</v>
      </c>
      <c r="T4977">
        <v>0</v>
      </c>
      <c r="U4977">
        <v>0</v>
      </c>
      <c r="W4977" t="s">
        <v>52</v>
      </c>
      <c r="AS4977" t="s">
        <v>375</v>
      </c>
    </row>
    <row r="4978" spans="1:45" x14ac:dyDescent="0.35">
      <c r="A4978" t="s">
        <v>45</v>
      </c>
      <c r="B4978" t="s">
        <v>11264</v>
      </c>
      <c r="C4978" t="s">
        <v>47</v>
      </c>
      <c r="D4978" t="s">
        <v>11271</v>
      </c>
      <c r="E4978" t="s">
        <v>11271</v>
      </c>
      <c r="F4978" t="s">
        <v>49</v>
      </c>
      <c r="G4978" t="s">
        <v>56</v>
      </c>
      <c r="H4978" t="s">
        <v>11273</v>
      </c>
      <c r="J4978" t="str">
        <f>HYPERLINK("https://www.facebook.com/357267201017935/inbox/6935027643241825/","https://www.facebook.com/357267201017935/inbox/6935027643241825/")</f>
        <v>https://www.facebook.com/357267201017935/inbox/6935027643241825/</v>
      </c>
      <c r="O4978">
        <v>0</v>
      </c>
      <c r="P4978">
        <v>0</v>
      </c>
      <c r="Q4978">
        <v>0</v>
      </c>
      <c r="S4978">
        <v>0</v>
      </c>
      <c r="T4978">
        <v>0</v>
      </c>
      <c r="U4978">
        <v>0</v>
      </c>
      <c r="W4978" t="s">
        <v>52</v>
      </c>
    </row>
    <row r="4979" spans="1:45" x14ac:dyDescent="0.35">
      <c r="A4979" t="s">
        <v>45</v>
      </c>
      <c r="B4979" t="s">
        <v>11264</v>
      </c>
      <c r="C4979" t="s">
        <v>47</v>
      </c>
      <c r="D4979" t="s">
        <v>11271</v>
      </c>
      <c r="E4979" t="s">
        <v>11271</v>
      </c>
      <c r="F4979" t="s">
        <v>49</v>
      </c>
      <c r="G4979" t="s">
        <v>50</v>
      </c>
      <c r="H4979" t="s">
        <v>11274</v>
      </c>
      <c r="J4979" t="str">
        <f>HYPERLINK("https://www.facebook.com/357267201017935/inbox/6935027643241825/","https://www.facebook.com/357267201017935/inbox/6935027643241825/")</f>
        <v>https://www.facebook.com/357267201017935/inbox/6935027643241825/</v>
      </c>
      <c r="O4979">
        <v>0</v>
      </c>
      <c r="P4979">
        <v>0</v>
      </c>
      <c r="Q4979">
        <v>0</v>
      </c>
      <c r="S4979">
        <v>0</v>
      </c>
      <c r="T4979">
        <v>0</v>
      </c>
      <c r="U4979">
        <v>0</v>
      </c>
      <c r="W4979" t="s">
        <v>52</v>
      </c>
      <c r="AS4979" t="s">
        <v>375</v>
      </c>
    </row>
    <row r="4980" spans="1:45" x14ac:dyDescent="0.35">
      <c r="A4980" t="s">
        <v>45</v>
      </c>
      <c r="B4980" t="s">
        <v>11264</v>
      </c>
      <c r="C4980" t="s">
        <v>58</v>
      </c>
      <c r="D4980" t="s">
        <v>11275</v>
      </c>
      <c r="E4980" t="s">
        <v>11275</v>
      </c>
      <c r="F4980" t="s">
        <v>49</v>
      </c>
      <c r="G4980" t="s">
        <v>11276</v>
      </c>
      <c r="H4980" t="s">
        <v>11277</v>
      </c>
      <c r="J4980" t="str">
        <f>HYPERLINK("https://www.youtube.com/watch?v=E_6RXgHhhvM","https://www.youtube.com/watch?v=E_6RXgHhhvM")</f>
        <v>https://www.youtube.com/watch?v=E_6RXgHhhvM</v>
      </c>
      <c r="O4980">
        <v>0</v>
      </c>
      <c r="P4980">
        <v>0</v>
      </c>
      <c r="Q4980">
        <v>0</v>
      </c>
      <c r="S4980">
        <v>0</v>
      </c>
      <c r="T4980">
        <v>0</v>
      </c>
      <c r="U4980">
        <v>0</v>
      </c>
      <c r="W4980" t="s">
        <v>106</v>
      </c>
    </row>
    <row r="4981" spans="1:45" x14ac:dyDescent="0.35">
      <c r="A4981" t="s">
        <v>45</v>
      </c>
      <c r="B4981" t="s">
        <v>11264</v>
      </c>
      <c r="C4981" t="s">
        <v>47</v>
      </c>
      <c r="D4981" t="s">
        <v>11278</v>
      </c>
      <c r="E4981" t="s">
        <v>11278</v>
      </c>
      <c r="F4981" t="s">
        <v>49</v>
      </c>
      <c r="G4981" t="s">
        <v>50</v>
      </c>
      <c r="H4981" t="s">
        <v>11279</v>
      </c>
      <c r="J4981" t="str">
        <f>HYPERLINK("https://www.facebook.com/357267201017935/inbox/6763576743720250/","https://www.facebook.com/357267201017935/inbox/6763576743720250/")</f>
        <v>https://www.facebook.com/357267201017935/inbox/6763576743720250/</v>
      </c>
      <c r="O4981">
        <v>0</v>
      </c>
      <c r="P4981">
        <v>0</v>
      </c>
      <c r="Q4981">
        <v>0</v>
      </c>
      <c r="S4981">
        <v>0</v>
      </c>
      <c r="T4981">
        <v>0</v>
      </c>
      <c r="U4981">
        <v>0</v>
      </c>
      <c r="W4981" t="s">
        <v>52</v>
      </c>
    </row>
    <row r="4982" spans="1:45" x14ac:dyDescent="0.35">
      <c r="A4982" t="s">
        <v>45</v>
      </c>
      <c r="B4982" t="s">
        <v>11264</v>
      </c>
      <c r="C4982" t="s">
        <v>47</v>
      </c>
      <c r="D4982" t="s">
        <v>11280</v>
      </c>
      <c r="E4982" t="s">
        <v>11280</v>
      </c>
      <c r="F4982" t="s">
        <v>49</v>
      </c>
      <c r="G4982" t="s">
        <v>50</v>
      </c>
      <c r="H4982" t="s">
        <v>11281</v>
      </c>
      <c r="J4982" t="str">
        <f>HYPERLINK("https://www.facebook.com/357267201017935/inbox/6934449066633016/","https://www.facebook.com/357267201017935/inbox/6934449066633016/")</f>
        <v>https://www.facebook.com/357267201017935/inbox/6934449066633016/</v>
      </c>
      <c r="O4982">
        <v>0</v>
      </c>
      <c r="P4982">
        <v>0</v>
      </c>
      <c r="Q4982">
        <v>0</v>
      </c>
      <c r="S4982">
        <v>0</v>
      </c>
      <c r="T4982">
        <v>0</v>
      </c>
      <c r="U4982">
        <v>0</v>
      </c>
      <c r="W4982" t="s">
        <v>52</v>
      </c>
      <c r="AS4982" t="s">
        <v>375</v>
      </c>
    </row>
    <row r="4983" spans="1:45" x14ac:dyDescent="0.35">
      <c r="A4983" t="s">
        <v>45</v>
      </c>
      <c r="B4983" t="s">
        <v>11264</v>
      </c>
      <c r="C4983" t="s">
        <v>58</v>
      </c>
      <c r="D4983" t="s">
        <v>11282</v>
      </c>
      <c r="E4983" t="s">
        <v>11282</v>
      </c>
      <c r="F4983" t="s">
        <v>49</v>
      </c>
      <c r="G4983" t="s">
        <v>11283</v>
      </c>
      <c r="H4983" t="s">
        <v>11284</v>
      </c>
      <c r="J4983" t="str">
        <f>HYPERLINK("https://www.youtube.com/watch?v=oNCv-wjTpUc","https://www.youtube.com/watch?v=oNCv-wjTpUc")</f>
        <v>https://www.youtube.com/watch?v=oNCv-wjTpUc</v>
      </c>
      <c r="O4983">
        <v>0</v>
      </c>
      <c r="P4983">
        <v>0</v>
      </c>
      <c r="Q4983">
        <v>0</v>
      </c>
      <c r="S4983">
        <v>0</v>
      </c>
      <c r="T4983">
        <v>0</v>
      </c>
      <c r="U4983">
        <v>0</v>
      </c>
      <c r="W4983" t="s">
        <v>106</v>
      </c>
    </row>
    <row r="4984" spans="1:45" x14ac:dyDescent="0.35">
      <c r="A4984" t="s">
        <v>45</v>
      </c>
      <c r="B4984" t="s">
        <v>11264</v>
      </c>
      <c r="C4984" t="s">
        <v>58</v>
      </c>
      <c r="D4984" t="s">
        <v>11285</v>
      </c>
      <c r="E4984" t="s">
        <v>11285</v>
      </c>
      <c r="F4984" t="s">
        <v>49</v>
      </c>
      <c r="G4984" t="s">
        <v>11286</v>
      </c>
      <c r="H4984" t="s">
        <v>11287</v>
      </c>
      <c r="J4984" t="str">
        <f>HYPERLINK("https://www.youtube.com/watch?v=K8zzJrO_8ZY","https://www.youtube.com/watch?v=K8zzJrO_8ZY")</f>
        <v>https://www.youtube.com/watch?v=K8zzJrO_8ZY</v>
      </c>
      <c r="O4984">
        <v>0</v>
      </c>
      <c r="P4984">
        <v>0</v>
      </c>
      <c r="Q4984">
        <v>0</v>
      </c>
      <c r="S4984">
        <v>0</v>
      </c>
      <c r="T4984">
        <v>0</v>
      </c>
      <c r="U4984">
        <v>0</v>
      </c>
      <c r="W4984" t="s">
        <v>106</v>
      </c>
      <c r="AO4984" t="s">
        <v>119</v>
      </c>
      <c r="AP4984" t="s">
        <v>101</v>
      </c>
    </row>
    <row r="4985" spans="1:45" x14ac:dyDescent="0.35">
      <c r="A4985" t="s">
        <v>45</v>
      </c>
      <c r="B4985" t="s">
        <v>11264</v>
      </c>
      <c r="C4985" t="s">
        <v>47</v>
      </c>
      <c r="D4985" t="s">
        <v>3912</v>
      </c>
      <c r="E4985" t="s">
        <v>3912</v>
      </c>
      <c r="F4985" t="s">
        <v>49</v>
      </c>
      <c r="G4985" t="s">
        <v>1235</v>
      </c>
      <c r="H4985" t="s">
        <v>11288</v>
      </c>
      <c r="J4985" t="str">
        <f>HYPERLINK("https://www.facebook.com/454965103328545/posts/755378119953907?comment_id=901569594631680","https://www.facebook.com/454965103328545/posts/755378119953907?comment_id=901569594631680")</f>
        <v>https://www.facebook.com/454965103328545/posts/755378119953907?comment_id=901569594631680</v>
      </c>
      <c r="O4985">
        <v>0</v>
      </c>
      <c r="P4985">
        <v>0</v>
      </c>
      <c r="Q4985">
        <v>0</v>
      </c>
      <c r="S4985">
        <v>0</v>
      </c>
      <c r="T4985">
        <v>0</v>
      </c>
      <c r="U4985">
        <v>0</v>
      </c>
      <c r="W4985" t="s">
        <v>62</v>
      </c>
      <c r="AS4985" t="s">
        <v>375</v>
      </c>
    </row>
    <row r="4986" spans="1:45" x14ac:dyDescent="0.35">
      <c r="A4986" t="s">
        <v>45</v>
      </c>
      <c r="B4986" t="s">
        <v>11264</v>
      </c>
      <c r="C4986" t="s">
        <v>47</v>
      </c>
      <c r="F4986" t="s">
        <v>76</v>
      </c>
      <c r="G4986" s="1" t="s">
        <v>11289</v>
      </c>
      <c r="H4986" t="s">
        <v>11290</v>
      </c>
      <c r="J4986" t="str">
        <f>HYPERLINK("https://www.facebook.com/6820763411346178_10233067404617821","https://www.facebook.com/6820763411346178_10233067404617821")</f>
        <v>https://www.facebook.com/6820763411346178_10233067404617821</v>
      </c>
      <c r="O4986">
        <v>0</v>
      </c>
      <c r="P4986">
        <v>0</v>
      </c>
      <c r="Q4986">
        <v>0</v>
      </c>
      <c r="S4986">
        <v>0</v>
      </c>
      <c r="T4986">
        <v>0</v>
      </c>
      <c r="U4986">
        <v>0</v>
      </c>
      <c r="W4986" t="s">
        <v>106</v>
      </c>
    </row>
    <row r="4987" spans="1:45" x14ac:dyDescent="0.35">
      <c r="A4987" t="s">
        <v>45</v>
      </c>
      <c r="B4987" t="s">
        <v>11264</v>
      </c>
      <c r="C4987" t="s">
        <v>47</v>
      </c>
      <c r="D4987" t="s">
        <v>45</v>
      </c>
      <c r="E4987" t="s">
        <v>45</v>
      </c>
      <c r="F4987" t="s">
        <v>49</v>
      </c>
      <c r="G4987" t="s">
        <v>11291</v>
      </c>
      <c r="H4987" t="s">
        <v>11292</v>
      </c>
      <c r="J4987" t="str">
        <f>HYPERLINK("https://www.facebook.com/357267201017935_755378119953907","https://www.facebook.com/357267201017935_755378119953907")</f>
        <v>https://www.facebook.com/357267201017935_755378119953907</v>
      </c>
      <c r="O4987">
        <v>0</v>
      </c>
      <c r="P4987">
        <v>0</v>
      </c>
      <c r="Q4987">
        <v>0</v>
      </c>
      <c r="S4987">
        <v>3</v>
      </c>
      <c r="T4987">
        <v>46</v>
      </c>
      <c r="U4987">
        <v>1</v>
      </c>
      <c r="W4987" t="s">
        <v>106</v>
      </c>
    </row>
    <row r="4988" spans="1:45" x14ac:dyDescent="0.35">
      <c r="A4988" t="s">
        <v>45</v>
      </c>
      <c r="B4988" t="s">
        <v>11264</v>
      </c>
      <c r="C4988" t="s">
        <v>139</v>
      </c>
      <c r="D4988" t="s">
        <v>190</v>
      </c>
      <c r="E4988" t="s">
        <v>45</v>
      </c>
      <c r="F4988" t="s">
        <v>49</v>
      </c>
      <c r="G4988" t="s">
        <v>11293</v>
      </c>
      <c r="H4988" t="s">
        <v>11294</v>
      </c>
      <c r="J4988" t="str">
        <f>HYPERLINK("https://twitter.com/FinoPaymntsBank/status/1747944424716288365","https://twitter.com/FinoPaymntsBank/status/1747944424716288365")</f>
        <v>https://twitter.com/FinoPaymntsBank/status/1747944424716288365</v>
      </c>
      <c r="K4988" t="s">
        <v>145</v>
      </c>
      <c r="O4988">
        <v>0</v>
      </c>
      <c r="P4988">
        <v>0</v>
      </c>
      <c r="Q4988">
        <v>8309</v>
      </c>
      <c r="R4988" t="s">
        <v>193</v>
      </c>
      <c r="S4988">
        <v>0</v>
      </c>
      <c r="T4988">
        <v>0</v>
      </c>
      <c r="U4988">
        <v>0</v>
      </c>
      <c r="W4988" t="s">
        <v>146</v>
      </c>
    </row>
    <row r="4989" spans="1:45" x14ac:dyDescent="0.35">
      <c r="A4989" t="s">
        <v>45</v>
      </c>
      <c r="B4989" t="s">
        <v>11264</v>
      </c>
      <c r="C4989" t="s">
        <v>47</v>
      </c>
      <c r="D4989" t="s">
        <v>8096</v>
      </c>
      <c r="E4989" t="s">
        <v>8096</v>
      </c>
      <c r="F4989" t="s">
        <v>49</v>
      </c>
      <c r="G4989" t="s">
        <v>11295</v>
      </c>
      <c r="H4989" t="s">
        <v>11296</v>
      </c>
      <c r="J4989" t="str">
        <f>HYPERLINK("https://www.facebook.com/357267201017935/inbox/6933954390015817/","https://www.facebook.com/357267201017935/inbox/6933954390015817/")</f>
        <v>https://www.facebook.com/357267201017935/inbox/6933954390015817/</v>
      </c>
      <c r="O4989">
        <v>0</v>
      </c>
      <c r="P4989">
        <v>0</v>
      </c>
      <c r="Q4989">
        <v>0</v>
      </c>
      <c r="S4989">
        <v>0</v>
      </c>
      <c r="T4989">
        <v>0</v>
      </c>
      <c r="U4989">
        <v>0</v>
      </c>
      <c r="W4989" t="s">
        <v>52</v>
      </c>
      <c r="AS4989" t="s">
        <v>375</v>
      </c>
    </row>
    <row r="4990" spans="1:45" x14ac:dyDescent="0.35">
      <c r="A4990" t="s">
        <v>45</v>
      </c>
      <c r="B4990" t="s">
        <v>11264</v>
      </c>
      <c r="C4990" t="s">
        <v>47</v>
      </c>
      <c r="D4990" t="s">
        <v>8096</v>
      </c>
      <c r="E4990" t="s">
        <v>8096</v>
      </c>
      <c r="F4990" t="s">
        <v>49</v>
      </c>
      <c r="G4990" t="s">
        <v>50</v>
      </c>
      <c r="H4990" t="s">
        <v>11297</v>
      </c>
      <c r="J4990" t="str">
        <f>HYPERLINK("https://www.facebook.com/357267201017935/inbox/6933954390015817/","https://www.facebook.com/357267201017935/inbox/6933954390015817/")</f>
        <v>https://www.facebook.com/357267201017935/inbox/6933954390015817/</v>
      </c>
      <c r="O4990">
        <v>0</v>
      </c>
      <c r="P4990">
        <v>0</v>
      </c>
      <c r="Q4990">
        <v>0</v>
      </c>
      <c r="S4990">
        <v>0</v>
      </c>
      <c r="T4990">
        <v>0</v>
      </c>
      <c r="U4990">
        <v>0</v>
      </c>
      <c r="W4990" t="s">
        <v>52</v>
      </c>
      <c r="AS4990" t="s">
        <v>375</v>
      </c>
    </row>
    <row r="4991" spans="1:45" x14ac:dyDescent="0.35">
      <c r="A4991" t="s">
        <v>45</v>
      </c>
      <c r="B4991" t="s">
        <v>11264</v>
      </c>
      <c r="C4991" t="s">
        <v>47</v>
      </c>
      <c r="D4991" t="s">
        <v>11298</v>
      </c>
      <c r="E4991" t="s">
        <v>11298</v>
      </c>
      <c r="F4991" t="s">
        <v>49</v>
      </c>
      <c r="G4991" t="s">
        <v>11299</v>
      </c>
      <c r="H4991" t="s">
        <v>11300</v>
      </c>
      <c r="J4991" t="str">
        <f>HYPERLINK("https://www.facebook.com/454965103328545/posts/490024586489263?comment_id=320436224174415&amp;reply_comment_id=753721949989445","https://www.facebook.com/454965103328545/posts/490024586489263?comment_id=320436224174415&amp;reply_comment_id=753721949989445")</f>
        <v>https://www.facebook.com/454965103328545/posts/490024586489263?comment_id=320436224174415&amp;reply_comment_id=753721949989445</v>
      </c>
      <c r="O4991">
        <v>0</v>
      </c>
      <c r="P4991">
        <v>0</v>
      </c>
      <c r="Q4991">
        <v>0</v>
      </c>
      <c r="S4991">
        <v>0</v>
      </c>
      <c r="T4991">
        <v>0</v>
      </c>
      <c r="U4991">
        <v>0</v>
      </c>
      <c r="W4991" t="s">
        <v>62</v>
      </c>
      <c r="AS4991" t="s">
        <v>375</v>
      </c>
    </row>
    <row r="4992" spans="1:45" x14ac:dyDescent="0.35">
      <c r="A4992" t="s">
        <v>45</v>
      </c>
      <c r="B4992" t="s">
        <v>11264</v>
      </c>
      <c r="C4992" t="s">
        <v>47</v>
      </c>
      <c r="D4992" t="s">
        <v>11298</v>
      </c>
      <c r="E4992" t="s">
        <v>11298</v>
      </c>
      <c r="F4992" t="s">
        <v>49</v>
      </c>
      <c r="G4992" t="s">
        <v>7706</v>
      </c>
      <c r="H4992" t="s">
        <v>11301</v>
      </c>
      <c r="J4992" t="str">
        <f>HYPERLINK("https://www.facebook.com/454965103328545/posts/490024586489263?comment_id=320436224174415&amp;reply_comment_id=1093614931665427","https://www.facebook.com/454965103328545/posts/490024586489263?comment_id=320436224174415&amp;reply_comment_id=1093614931665427")</f>
        <v>https://www.facebook.com/454965103328545/posts/490024586489263?comment_id=320436224174415&amp;reply_comment_id=1093614931665427</v>
      </c>
      <c r="O4992">
        <v>0</v>
      </c>
      <c r="P4992">
        <v>0</v>
      </c>
      <c r="Q4992">
        <v>0</v>
      </c>
      <c r="S4992">
        <v>0</v>
      </c>
      <c r="T4992">
        <v>0</v>
      </c>
      <c r="U4992">
        <v>0</v>
      </c>
      <c r="W4992" t="s">
        <v>62</v>
      </c>
      <c r="AS4992" t="s">
        <v>375</v>
      </c>
    </row>
    <row r="4993" spans="1:45" x14ac:dyDescent="0.35">
      <c r="A4993" t="s">
        <v>45</v>
      </c>
      <c r="B4993" t="s">
        <v>11264</v>
      </c>
      <c r="C4993" t="s">
        <v>47</v>
      </c>
      <c r="F4993" t="s">
        <v>76</v>
      </c>
      <c r="G4993" s="1" t="s">
        <v>11302</v>
      </c>
      <c r="H4993" t="s">
        <v>11303</v>
      </c>
      <c r="J4993" t="str">
        <f>HYPERLINK("https://www.facebook.com/6820763411346178_10233066951006481","https://www.facebook.com/6820763411346178_10233066951006481")</f>
        <v>https://www.facebook.com/6820763411346178_10233066951006481</v>
      </c>
      <c r="O4993">
        <v>0</v>
      </c>
      <c r="P4993">
        <v>0</v>
      </c>
      <c r="Q4993">
        <v>0</v>
      </c>
      <c r="S4993">
        <v>0</v>
      </c>
      <c r="T4993">
        <v>0</v>
      </c>
      <c r="U4993">
        <v>0</v>
      </c>
      <c r="W4993" t="s">
        <v>106</v>
      </c>
    </row>
    <row r="4994" spans="1:45" x14ac:dyDescent="0.35">
      <c r="A4994" t="s">
        <v>45</v>
      </c>
      <c r="B4994" t="s">
        <v>11264</v>
      </c>
      <c r="C4994" t="s">
        <v>47</v>
      </c>
      <c r="F4994" t="s">
        <v>76</v>
      </c>
      <c r="G4994" s="1" t="s">
        <v>11304</v>
      </c>
      <c r="H4994" t="s">
        <v>11305</v>
      </c>
      <c r="J4994" t="str">
        <f>HYPERLINK("https://www.facebook.com/6820763411346178_10233066812243012","https://www.facebook.com/6820763411346178_10233066812243012")</f>
        <v>https://www.facebook.com/6820763411346178_10233066812243012</v>
      </c>
      <c r="O4994">
        <v>0</v>
      </c>
      <c r="P4994">
        <v>0</v>
      </c>
      <c r="Q4994">
        <v>0</v>
      </c>
      <c r="S4994">
        <v>0</v>
      </c>
      <c r="T4994">
        <v>0</v>
      </c>
      <c r="U4994">
        <v>0</v>
      </c>
      <c r="W4994" t="s">
        <v>106</v>
      </c>
    </row>
    <row r="4995" spans="1:45" x14ac:dyDescent="0.35">
      <c r="A4995" t="s">
        <v>45</v>
      </c>
      <c r="B4995" t="s">
        <v>11264</v>
      </c>
      <c r="C4995" t="s">
        <v>139</v>
      </c>
      <c r="D4995" t="s">
        <v>1243</v>
      </c>
      <c r="E4995" t="s">
        <v>1244</v>
      </c>
      <c r="F4995" t="s">
        <v>49</v>
      </c>
      <c r="G4995" t="s">
        <v>11306</v>
      </c>
      <c r="H4995" t="s">
        <v>11307</v>
      </c>
      <c r="J4995" t="str">
        <f>HYPERLINK("https://twitter.com/PayNearby/status/1747877110469804267","https://twitter.com/PayNearby/status/1747877110469804267")</f>
        <v>https://twitter.com/PayNearby/status/1747877110469804267</v>
      </c>
      <c r="O4995">
        <v>0</v>
      </c>
      <c r="P4995">
        <v>0</v>
      </c>
      <c r="Q4995">
        <v>5944</v>
      </c>
      <c r="R4995" t="s">
        <v>1247</v>
      </c>
      <c r="S4995">
        <v>0</v>
      </c>
      <c r="T4995">
        <v>0</v>
      </c>
      <c r="U4995">
        <v>0</v>
      </c>
      <c r="W4995" t="s">
        <v>146</v>
      </c>
    </row>
    <row r="4996" spans="1:45" x14ac:dyDescent="0.35">
      <c r="A4996" t="s">
        <v>45</v>
      </c>
      <c r="B4996" t="s">
        <v>11264</v>
      </c>
      <c r="C4996" t="s">
        <v>139</v>
      </c>
      <c r="D4996" t="s">
        <v>1243</v>
      </c>
      <c r="E4996" t="s">
        <v>1244</v>
      </c>
      <c r="F4996" t="s">
        <v>49</v>
      </c>
      <c r="G4996" t="s">
        <v>11308</v>
      </c>
      <c r="H4996" t="s">
        <v>11309</v>
      </c>
      <c r="J4996" t="str">
        <f>HYPERLINK("https://twitter.com/PayNearby/status/1747877106262933563","https://twitter.com/PayNearby/status/1747877106262933563")</f>
        <v>https://twitter.com/PayNearby/status/1747877106262933563</v>
      </c>
      <c r="O4996">
        <v>0</v>
      </c>
      <c r="P4996">
        <v>0</v>
      </c>
      <c r="Q4996">
        <v>5944</v>
      </c>
      <c r="R4996" t="s">
        <v>1247</v>
      </c>
      <c r="S4996">
        <v>0</v>
      </c>
      <c r="T4996">
        <v>0</v>
      </c>
      <c r="U4996">
        <v>0</v>
      </c>
      <c r="W4996" t="s">
        <v>146</v>
      </c>
    </row>
    <row r="4997" spans="1:45" x14ac:dyDescent="0.35">
      <c r="A4997" t="s">
        <v>45</v>
      </c>
      <c r="B4997" t="s">
        <v>11264</v>
      </c>
      <c r="C4997" t="s">
        <v>58</v>
      </c>
      <c r="D4997" t="s">
        <v>2865</v>
      </c>
      <c r="E4997" t="s">
        <v>2865</v>
      </c>
      <c r="F4997" t="s">
        <v>49</v>
      </c>
      <c r="G4997" t="s">
        <v>3775</v>
      </c>
      <c r="H4997" t="s">
        <v>11310</v>
      </c>
      <c r="J4997" t="str">
        <f>HYPERLINK("https://www.youtube.com/watch?v=QLC51vUV8ig","https://www.youtube.com/watch?v=QLC51vUV8ig")</f>
        <v>https://www.youtube.com/watch?v=QLC51vUV8ig</v>
      </c>
      <c r="O4997">
        <v>0</v>
      </c>
      <c r="P4997">
        <v>0</v>
      </c>
      <c r="Q4997">
        <v>0</v>
      </c>
      <c r="S4997">
        <v>0</v>
      </c>
      <c r="T4997">
        <v>0</v>
      </c>
      <c r="U4997">
        <v>0</v>
      </c>
      <c r="W4997" t="s">
        <v>106</v>
      </c>
    </row>
    <row r="4998" spans="1:45" x14ac:dyDescent="0.35">
      <c r="A4998" t="s">
        <v>45</v>
      </c>
      <c r="B4998" t="s">
        <v>11264</v>
      </c>
      <c r="C4998" t="s">
        <v>58</v>
      </c>
      <c r="D4998" t="s">
        <v>2320</v>
      </c>
      <c r="E4998" t="s">
        <v>2320</v>
      </c>
      <c r="F4998" t="s">
        <v>76</v>
      </c>
      <c r="G4998" t="s">
        <v>11311</v>
      </c>
      <c r="H4998" t="s">
        <v>11312</v>
      </c>
      <c r="J4998" t="str">
        <f>HYPERLINK("https://www.youtube.com/watch?v=MDUrnqPDrzg","https://www.youtube.com/watch?v=MDUrnqPDrzg")</f>
        <v>https://www.youtube.com/watch?v=MDUrnqPDrzg</v>
      </c>
      <c r="O4998">
        <v>0</v>
      </c>
      <c r="P4998">
        <v>0</v>
      </c>
      <c r="Q4998">
        <v>0</v>
      </c>
      <c r="S4998">
        <v>0</v>
      </c>
      <c r="T4998">
        <v>0</v>
      </c>
      <c r="U4998">
        <v>0</v>
      </c>
      <c r="W4998" t="s">
        <v>106</v>
      </c>
      <c r="AP4998" t="s">
        <v>101</v>
      </c>
    </row>
    <row r="4999" spans="1:45" x14ac:dyDescent="0.35">
      <c r="A4999" t="s">
        <v>45</v>
      </c>
      <c r="B4999" t="s">
        <v>11264</v>
      </c>
      <c r="C4999" t="s">
        <v>139</v>
      </c>
      <c r="D4999" t="s">
        <v>11313</v>
      </c>
      <c r="E4999" t="s">
        <v>11314</v>
      </c>
      <c r="F4999" t="s">
        <v>76</v>
      </c>
      <c r="G4999" t="s">
        <v>11315</v>
      </c>
      <c r="H4999" t="s">
        <v>11316</v>
      </c>
      <c r="J4999" t="str">
        <f>HYPERLINK("https://twitter.com/Kierannft123607/status/1747831419143864782","https://twitter.com/Kierannft123607/status/1747831419143864782")</f>
        <v>https://twitter.com/Kierannft123607/status/1747831419143864782</v>
      </c>
      <c r="O4999">
        <v>0</v>
      </c>
      <c r="P4999">
        <v>0</v>
      </c>
      <c r="Q4999">
        <v>0</v>
      </c>
      <c r="R4999" t="s">
        <v>11317</v>
      </c>
      <c r="S4999">
        <v>0</v>
      </c>
      <c r="T4999">
        <v>0</v>
      </c>
      <c r="U4999">
        <v>0</v>
      </c>
      <c r="W4999" t="s">
        <v>146</v>
      </c>
    </row>
    <row r="5000" spans="1:45" x14ac:dyDescent="0.35">
      <c r="A5000" t="s">
        <v>45</v>
      </c>
      <c r="B5000" t="s">
        <v>11264</v>
      </c>
      <c r="C5000" t="s">
        <v>139</v>
      </c>
      <c r="D5000" t="s">
        <v>11318</v>
      </c>
      <c r="E5000" t="s">
        <v>11319</v>
      </c>
      <c r="F5000" t="s">
        <v>49</v>
      </c>
      <c r="G5000" t="s">
        <v>11320</v>
      </c>
      <c r="H5000" t="s">
        <v>11321</v>
      </c>
      <c r="J5000" t="str">
        <f>HYPERLINK("https://twitter.com/BadalKu32709639/status/1747809091333062713","https://twitter.com/BadalKu32709639/status/1747809091333062713")</f>
        <v>https://twitter.com/BadalKu32709639/status/1747809091333062713</v>
      </c>
      <c r="K5000" t="s">
        <v>145</v>
      </c>
      <c r="O5000">
        <v>0</v>
      </c>
      <c r="P5000">
        <v>0</v>
      </c>
      <c r="Q5000">
        <v>3</v>
      </c>
      <c r="S5000">
        <v>0</v>
      </c>
      <c r="T5000">
        <v>0</v>
      </c>
      <c r="U5000">
        <v>0</v>
      </c>
      <c r="W5000" t="s">
        <v>146</v>
      </c>
    </row>
    <row r="5001" spans="1:45" x14ac:dyDescent="0.35">
      <c r="A5001" t="s">
        <v>45</v>
      </c>
      <c r="B5001" t="s">
        <v>11264</v>
      </c>
      <c r="C5001" t="s">
        <v>47</v>
      </c>
      <c r="F5001" t="s">
        <v>49</v>
      </c>
      <c r="G5001" t="s">
        <v>11322</v>
      </c>
      <c r="H5001" t="s">
        <v>11323</v>
      </c>
      <c r="J5001" t="str">
        <f>HYPERLINK("https://www.facebook.com/6820763411346178_10233065883659798","https://www.facebook.com/6820763411346178_10233065883659798")</f>
        <v>https://www.facebook.com/6820763411346178_10233065883659798</v>
      </c>
      <c r="O5001">
        <v>0</v>
      </c>
      <c r="P5001">
        <v>0</v>
      </c>
      <c r="Q5001">
        <v>0</v>
      </c>
      <c r="S5001">
        <v>0</v>
      </c>
      <c r="T5001">
        <v>0</v>
      </c>
      <c r="U5001">
        <v>0</v>
      </c>
      <c r="W5001" t="s">
        <v>106</v>
      </c>
    </row>
    <row r="5002" spans="1:45" x14ac:dyDescent="0.35">
      <c r="A5002" t="s">
        <v>45</v>
      </c>
      <c r="B5002" t="s">
        <v>11264</v>
      </c>
      <c r="C5002" t="s">
        <v>58</v>
      </c>
      <c r="D5002" t="s">
        <v>11324</v>
      </c>
      <c r="E5002" t="s">
        <v>11324</v>
      </c>
      <c r="F5002" t="s">
        <v>49</v>
      </c>
      <c r="G5002" t="s">
        <v>11325</v>
      </c>
      <c r="H5002" t="s">
        <v>11326</v>
      </c>
      <c r="J5002" t="str">
        <f>HYPERLINK("https://www.youtube.com/watch?v=hIPi2u7mqu4","https://www.youtube.com/watch?v=hIPi2u7mqu4")</f>
        <v>https://www.youtube.com/watch?v=hIPi2u7mqu4</v>
      </c>
      <c r="O5002">
        <v>0</v>
      </c>
      <c r="P5002">
        <v>0</v>
      </c>
      <c r="Q5002">
        <v>0</v>
      </c>
      <c r="S5002">
        <v>0</v>
      </c>
      <c r="T5002">
        <v>0</v>
      </c>
      <c r="U5002">
        <v>0</v>
      </c>
      <c r="W5002" t="s">
        <v>106</v>
      </c>
      <c r="Y5002" t="s">
        <v>11327</v>
      </c>
      <c r="Z5002" t="s">
        <v>613</v>
      </c>
      <c r="AA5002" t="s">
        <v>614</v>
      </c>
    </row>
    <row r="5003" spans="1:45" x14ac:dyDescent="0.35">
      <c r="A5003" t="s">
        <v>45</v>
      </c>
      <c r="B5003" t="s">
        <v>11264</v>
      </c>
      <c r="C5003" t="s">
        <v>58</v>
      </c>
      <c r="D5003" t="s">
        <v>11328</v>
      </c>
      <c r="E5003" t="s">
        <v>11328</v>
      </c>
      <c r="F5003" t="s">
        <v>49</v>
      </c>
      <c r="G5003" t="s">
        <v>3646</v>
      </c>
      <c r="H5003" t="s">
        <v>11329</v>
      </c>
      <c r="J5003" t="str">
        <f>HYPERLINK("https://www.youtube.com/watch?v=RUT9Tqym-ok","https://www.youtube.com/watch?v=RUT9Tqym-ok")</f>
        <v>https://www.youtube.com/watch?v=RUT9Tqym-ok</v>
      </c>
      <c r="O5003">
        <v>0</v>
      </c>
      <c r="P5003">
        <v>0</v>
      </c>
      <c r="Q5003">
        <v>0</v>
      </c>
      <c r="S5003">
        <v>0</v>
      </c>
      <c r="T5003">
        <v>0</v>
      </c>
      <c r="U5003">
        <v>0</v>
      </c>
      <c r="W5003" t="s">
        <v>106</v>
      </c>
    </row>
    <row r="5004" spans="1:45" x14ac:dyDescent="0.35">
      <c r="A5004" t="s">
        <v>45</v>
      </c>
      <c r="B5004" t="s">
        <v>11330</v>
      </c>
      <c r="C5004" t="s">
        <v>47</v>
      </c>
      <c r="D5004" t="s">
        <v>11331</v>
      </c>
      <c r="E5004" t="s">
        <v>11331</v>
      </c>
      <c r="F5004" t="s">
        <v>49</v>
      </c>
      <c r="G5004" t="s">
        <v>50</v>
      </c>
      <c r="H5004" t="s">
        <v>11332</v>
      </c>
      <c r="J5004" t="str">
        <f>HYPERLINK("https://www.facebook.com/357267201017935/inbox/6931349323609657/","https://www.facebook.com/357267201017935/inbox/6931349323609657/")</f>
        <v>https://www.facebook.com/357267201017935/inbox/6931349323609657/</v>
      </c>
      <c r="O5004">
        <v>0</v>
      </c>
      <c r="P5004">
        <v>0</v>
      </c>
      <c r="Q5004">
        <v>0</v>
      </c>
      <c r="S5004">
        <v>0</v>
      </c>
      <c r="T5004">
        <v>0</v>
      </c>
      <c r="U5004">
        <v>0</v>
      </c>
      <c r="W5004" t="s">
        <v>52</v>
      </c>
      <c r="AS5004" t="s">
        <v>375</v>
      </c>
    </row>
    <row r="5005" spans="1:45" x14ac:dyDescent="0.35">
      <c r="A5005" t="s">
        <v>45</v>
      </c>
      <c r="B5005" t="s">
        <v>11330</v>
      </c>
      <c r="C5005" t="s">
        <v>47</v>
      </c>
      <c r="D5005" t="s">
        <v>11333</v>
      </c>
      <c r="E5005" t="s">
        <v>11333</v>
      </c>
      <c r="F5005" t="s">
        <v>49</v>
      </c>
      <c r="G5005" t="s">
        <v>11334</v>
      </c>
      <c r="H5005" t="s">
        <v>11335</v>
      </c>
      <c r="J5005" t="str">
        <f>HYPERLINK("https://www.facebook.com/454965103328545/posts/750007137157672?comment_id=1811683485954824","https://www.facebook.com/454965103328545/posts/750007137157672?comment_id=1811683485954824")</f>
        <v>https://www.facebook.com/454965103328545/posts/750007137157672?comment_id=1811683485954824</v>
      </c>
      <c r="O5005">
        <v>0</v>
      </c>
      <c r="P5005">
        <v>0</v>
      </c>
      <c r="Q5005">
        <v>0</v>
      </c>
      <c r="S5005">
        <v>0</v>
      </c>
      <c r="T5005">
        <v>0</v>
      </c>
      <c r="U5005">
        <v>0</v>
      </c>
      <c r="W5005" t="s">
        <v>62</v>
      </c>
      <c r="AS5005" t="s">
        <v>375</v>
      </c>
    </row>
    <row r="5006" spans="1:45" x14ac:dyDescent="0.35">
      <c r="A5006" t="s">
        <v>45</v>
      </c>
      <c r="B5006" t="s">
        <v>11330</v>
      </c>
      <c r="C5006" t="s">
        <v>47</v>
      </c>
      <c r="D5006" t="s">
        <v>11333</v>
      </c>
      <c r="E5006" t="s">
        <v>11333</v>
      </c>
      <c r="F5006" t="s">
        <v>49</v>
      </c>
      <c r="G5006" t="s">
        <v>11336</v>
      </c>
      <c r="H5006" t="s">
        <v>11337</v>
      </c>
      <c r="J5006" t="str">
        <f>HYPERLINK("https://www.facebook.com/454965103328545/posts/750007137157672?comment_id=1629302074482950","https://www.facebook.com/454965103328545/posts/750007137157672?comment_id=1629302074482950")</f>
        <v>https://www.facebook.com/454965103328545/posts/750007137157672?comment_id=1629302074482950</v>
      </c>
      <c r="O5006">
        <v>0</v>
      </c>
      <c r="P5006">
        <v>0</v>
      </c>
      <c r="Q5006">
        <v>0</v>
      </c>
      <c r="S5006">
        <v>0</v>
      </c>
      <c r="T5006">
        <v>0</v>
      </c>
      <c r="U5006">
        <v>0</v>
      </c>
      <c r="W5006" t="s">
        <v>62</v>
      </c>
    </row>
    <row r="5007" spans="1:45" x14ac:dyDescent="0.35">
      <c r="A5007" t="s">
        <v>45</v>
      </c>
      <c r="B5007" t="s">
        <v>11330</v>
      </c>
      <c r="C5007" t="s">
        <v>47</v>
      </c>
      <c r="D5007" t="s">
        <v>11193</v>
      </c>
      <c r="E5007" t="s">
        <v>11193</v>
      </c>
      <c r="F5007" t="s">
        <v>49</v>
      </c>
      <c r="G5007" t="s">
        <v>11338</v>
      </c>
      <c r="H5007" t="s">
        <v>11339</v>
      </c>
      <c r="J5007" t="str">
        <f>HYPERLINK("https://www.facebook.com/357267201017935/inbox/6888120801265843/","https://www.facebook.com/357267201017935/inbox/6888120801265843/")</f>
        <v>https://www.facebook.com/357267201017935/inbox/6888120801265843/</v>
      </c>
      <c r="O5007">
        <v>0</v>
      </c>
      <c r="P5007">
        <v>0</v>
      </c>
      <c r="Q5007">
        <v>0</v>
      </c>
      <c r="S5007">
        <v>0</v>
      </c>
      <c r="T5007">
        <v>0</v>
      </c>
      <c r="U5007">
        <v>0</v>
      </c>
      <c r="W5007" t="s">
        <v>52</v>
      </c>
      <c r="AS5007" t="s">
        <v>375</v>
      </c>
    </row>
    <row r="5008" spans="1:45" x14ac:dyDescent="0.35">
      <c r="A5008" t="s">
        <v>45</v>
      </c>
      <c r="B5008" t="s">
        <v>11330</v>
      </c>
      <c r="C5008" t="s">
        <v>47</v>
      </c>
      <c r="D5008" t="s">
        <v>11199</v>
      </c>
      <c r="E5008" t="s">
        <v>11199</v>
      </c>
      <c r="F5008" t="s">
        <v>49</v>
      </c>
      <c r="G5008" t="s">
        <v>373</v>
      </c>
      <c r="H5008" t="s">
        <v>11340</v>
      </c>
      <c r="J5008" t="str">
        <f>HYPERLINK("https://www.facebook.com/357267201017935/inbox/6930813676996555/","https://www.facebook.com/357267201017935/inbox/6930813676996555/")</f>
        <v>https://www.facebook.com/357267201017935/inbox/6930813676996555/</v>
      </c>
      <c r="O5008">
        <v>0</v>
      </c>
      <c r="P5008">
        <v>0</v>
      </c>
      <c r="Q5008">
        <v>0</v>
      </c>
      <c r="S5008">
        <v>0</v>
      </c>
      <c r="T5008">
        <v>0</v>
      </c>
      <c r="U5008">
        <v>0</v>
      </c>
      <c r="W5008" t="s">
        <v>52</v>
      </c>
      <c r="AS5008" t="s">
        <v>375</v>
      </c>
    </row>
    <row r="5009" spans="1:45" x14ac:dyDescent="0.35">
      <c r="A5009" t="s">
        <v>45</v>
      </c>
      <c r="B5009" t="s">
        <v>11330</v>
      </c>
      <c r="C5009" t="s">
        <v>47</v>
      </c>
      <c r="F5009" t="s">
        <v>76</v>
      </c>
      <c r="G5009" t="s">
        <v>11341</v>
      </c>
      <c r="H5009" t="s">
        <v>11342</v>
      </c>
      <c r="J5009" t="str">
        <f>HYPERLINK("https://www.facebook.com/102958662643869_2563044107220753","https://www.facebook.com/102958662643869_2563044107220753")</f>
        <v>https://www.facebook.com/102958662643869_2563044107220753</v>
      </c>
      <c r="O5009">
        <v>0</v>
      </c>
      <c r="P5009">
        <v>0</v>
      </c>
      <c r="Q5009">
        <v>0</v>
      </c>
      <c r="S5009">
        <v>0</v>
      </c>
      <c r="T5009">
        <v>0</v>
      </c>
      <c r="U5009">
        <v>0</v>
      </c>
      <c r="W5009" t="s">
        <v>106</v>
      </c>
    </row>
    <row r="5010" spans="1:45" x14ac:dyDescent="0.35">
      <c r="A5010" t="s">
        <v>45</v>
      </c>
      <c r="B5010" t="s">
        <v>11330</v>
      </c>
      <c r="C5010" t="s">
        <v>47</v>
      </c>
      <c r="D5010" t="s">
        <v>11343</v>
      </c>
      <c r="E5010" t="s">
        <v>11343</v>
      </c>
      <c r="F5010" t="s">
        <v>142</v>
      </c>
      <c r="G5010" t="s">
        <v>11344</v>
      </c>
      <c r="H5010" t="s">
        <v>11345</v>
      </c>
      <c r="J5010" t="str">
        <f>HYPERLINK("https://www.facebook.com/454965103328545/posts/734812295343823?comment_id=1331496107567971","https://www.facebook.com/454965103328545/posts/734812295343823?comment_id=1331496107567971")</f>
        <v>https://www.facebook.com/454965103328545/posts/734812295343823?comment_id=1331496107567971</v>
      </c>
      <c r="O5010">
        <v>0</v>
      </c>
      <c r="P5010">
        <v>0</v>
      </c>
      <c r="Q5010">
        <v>0</v>
      </c>
      <c r="S5010">
        <v>0</v>
      </c>
      <c r="T5010">
        <v>0</v>
      </c>
      <c r="U5010">
        <v>0</v>
      </c>
      <c r="W5010" t="s">
        <v>62</v>
      </c>
      <c r="AP5010" t="s">
        <v>147</v>
      </c>
      <c r="AS5010" t="s">
        <v>375</v>
      </c>
    </row>
    <row r="5011" spans="1:45" x14ac:dyDescent="0.35">
      <c r="A5011" t="s">
        <v>45</v>
      </c>
      <c r="B5011" t="s">
        <v>11330</v>
      </c>
      <c r="C5011" t="s">
        <v>139</v>
      </c>
      <c r="D5011" t="s">
        <v>11346</v>
      </c>
      <c r="E5011" t="s">
        <v>11347</v>
      </c>
      <c r="F5011" t="s">
        <v>142</v>
      </c>
      <c r="G5011" t="s">
        <v>11348</v>
      </c>
      <c r="H5011" t="s">
        <v>11349</v>
      </c>
      <c r="J5011" t="str">
        <f>HYPERLINK("https://twitter.com/karimipt786/status/1747614082449158653","https://twitter.com/karimipt786/status/1747614082449158653")</f>
        <v>https://twitter.com/karimipt786/status/1747614082449158653</v>
      </c>
      <c r="K5011" t="s">
        <v>145</v>
      </c>
      <c r="O5011">
        <v>0</v>
      </c>
      <c r="P5011">
        <v>0</v>
      </c>
      <c r="Q5011">
        <v>7</v>
      </c>
      <c r="R5011" t="s">
        <v>11350</v>
      </c>
      <c r="S5011">
        <v>0</v>
      </c>
      <c r="T5011">
        <v>0</v>
      </c>
      <c r="U5011">
        <v>0</v>
      </c>
      <c r="W5011" t="s">
        <v>146</v>
      </c>
      <c r="Y5011" t="s">
        <v>11351</v>
      </c>
      <c r="Z5011" t="s">
        <v>613</v>
      </c>
      <c r="AA5011" t="s">
        <v>614</v>
      </c>
      <c r="AP5011" t="s">
        <v>101</v>
      </c>
    </row>
    <row r="5012" spans="1:45" x14ac:dyDescent="0.35">
      <c r="A5012" t="s">
        <v>45</v>
      </c>
      <c r="B5012" t="s">
        <v>11330</v>
      </c>
      <c r="C5012" t="s">
        <v>47</v>
      </c>
      <c r="D5012" t="s">
        <v>11343</v>
      </c>
      <c r="E5012" t="s">
        <v>11343</v>
      </c>
      <c r="F5012" t="s">
        <v>49</v>
      </c>
      <c r="G5012" t="s">
        <v>11352</v>
      </c>
      <c r="H5012" t="s">
        <v>11353</v>
      </c>
      <c r="J5012" t="str">
        <f>HYPERLINK("https://www.facebook.com/357267201017935/inbox/6930269377050985/","https://www.facebook.com/357267201017935/inbox/6930269377050985/")</f>
        <v>https://www.facebook.com/357267201017935/inbox/6930269377050985/</v>
      </c>
      <c r="O5012">
        <v>0</v>
      </c>
      <c r="P5012">
        <v>0</v>
      </c>
      <c r="Q5012">
        <v>0</v>
      </c>
      <c r="S5012">
        <v>0</v>
      </c>
      <c r="T5012">
        <v>0</v>
      </c>
      <c r="U5012">
        <v>0</v>
      </c>
      <c r="W5012" t="s">
        <v>52</v>
      </c>
      <c r="Y5012" t="s">
        <v>11354</v>
      </c>
      <c r="Z5012" t="s">
        <v>613</v>
      </c>
      <c r="AA5012" t="s">
        <v>614</v>
      </c>
    </row>
    <row r="5013" spans="1:45" x14ac:dyDescent="0.35">
      <c r="A5013" t="s">
        <v>45</v>
      </c>
      <c r="B5013" t="s">
        <v>11330</v>
      </c>
      <c r="C5013" t="s">
        <v>47</v>
      </c>
      <c r="D5013" t="s">
        <v>11343</v>
      </c>
      <c r="E5013" t="s">
        <v>11343</v>
      </c>
      <c r="F5013" t="s">
        <v>142</v>
      </c>
      <c r="G5013" t="s">
        <v>11355</v>
      </c>
      <c r="H5013" t="s">
        <v>11356</v>
      </c>
      <c r="J5013" t="str">
        <f>HYPERLINK("https://www.facebook.com/357267201017935/inbox/6930269377050985/","https://www.facebook.com/357267201017935/inbox/6930269377050985/")</f>
        <v>https://www.facebook.com/357267201017935/inbox/6930269377050985/</v>
      </c>
      <c r="O5013">
        <v>0</v>
      </c>
      <c r="P5013">
        <v>0</v>
      </c>
      <c r="Q5013">
        <v>0</v>
      </c>
      <c r="S5013">
        <v>0</v>
      </c>
      <c r="T5013">
        <v>0</v>
      </c>
      <c r="U5013">
        <v>0</v>
      </c>
      <c r="W5013" t="s">
        <v>52</v>
      </c>
      <c r="AP5013" t="s">
        <v>147</v>
      </c>
      <c r="AS5013" t="s">
        <v>375</v>
      </c>
    </row>
    <row r="5014" spans="1:45" x14ac:dyDescent="0.35">
      <c r="A5014" t="s">
        <v>45</v>
      </c>
      <c r="B5014" t="s">
        <v>11330</v>
      </c>
      <c r="C5014" t="s">
        <v>47</v>
      </c>
      <c r="D5014" t="s">
        <v>11357</v>
      </c>
      <c r="E5014" t="s">
        <v>11357</v>
      </c>
      <c r="F5014" t="s">
        <v>49</v>
      </c>
      <c r="G5014" t="s">
        <v>11358</v>
      </c>
      <c r="H5014" t="s">
        <v>11359</v>
      </c>
      <c r="J5014" t="str">
        <f>HYPERLINK("https://www.facebook.com/357267201017935/inbox/6930123623732227/","https://www.facebook.com/357267201017935/inbox/6930123623732227/")</f>
        <v>https://www.facebook.com/357267201017935/inbox/6930123623732227/</v>
      </c>
      <c r="O5014">
        <v>0</v>
      </c>
      <c r="P5014">
        <v>0</v>
      </c>
      <c r="Q5014">
        <v>0</v>
      </c>
      <c r="S5014">
        <v>0</v>
      </c>
      <c r="T5014">
        <v>0</v>
      </c>
      <c r="U5014">
        <v>0</v>
      </c>
      <c r="W5014" t="s">
        <v>52</v>
      </c>
      <c r="Y5014" t="s">
        <v>11360</v>
      </c>
      <c r="Z5014" t="s">
        <v>613</v>
      </c>
      <c r="AA5014" t="s">
        <v>614</v>
      </c>
    </row>
    <row r="5015" spans="1:45" x14ac:dyDescent="0.35">
      <c r="A5015" t="s">
        <v>45</v>
      </c>
      <c r="B5015" t="s">
        <v>11330</v>
      </c>
      <c r="C5015" t="s">
        <v>47</v>
      </c>
      <c r="D5015" t="s">
        <v>11357</v>
      </c>
      <c r="E5015" t="s">
        <v>11357</v>
      </c>
      <c r="F5015" t="s">
        <v>49</v>
      </c>
      <c r="G5015" t="s">
        <v>11361</v>
      </c>
      <c r="H5015" t="s">
        <v>11362</v>
      </c>
      <c r="J5015" t="str">
        <f>HYPERLINK("https://www.facebook.com/357267201017935/inbox/6930123623732227/","https://www.facebook.com/357267201017935/inbox/6930123623732227/")</f>
        <v>https://www.facebook.com/357267201017935/inbox/6930123623732227/</v>
      </c>
      <c r="O5015">
        <v>0</v>
      </c>
      <c r="P5015">
        <v>0</v>
      </c>
      <c r="Q5015">
        <v>0</v>
      </c>
      <c r="S5015">
        <v>0</v>
      </c>
      <c r="T5015">
        <v>0</v>
      </c>
      <c r="U5015">
        <v>0</v>
      </c>
      <c r="W5015" t="s">
        <v>52</v>
      </c>
      <c r="AS5015" t="s">
        <v>375</v>
      </c>
    </row>
    <row r="5016" spans="1:45" x14ac:dyDescent="0.35">
      <c r="A5016" t="s">
        <v>45</v>
      </c>
      <c r="B5016" t="s">
        <v>11330</v>
      </c>
      <c r="C5016" t="s">
        <v>47</v>
      </c>
      <c r="D5016" t="s">
        <v>11357</v>
      </c>
      <c r="E5016" t="s">
        <v>11357</v>
      </c>
      <c r="F5016" t="s">
        <v>49</v>
      </c>
      <c r="G5016" t="s">
        <v>11363</v>
      </c>
      <c r="H5016" t="s">
        <v>11364</v>
      </c>
      <c r="J5016" t="str">
        <f>HYPERLINK("https://www.facebook.com/357267201017935/inbox/6930123623732227/","https://www.facebook.com/357267201017935/inbox/6930123623732227/")</f>
        <v>https://www.facebook.com/357267201017935/inbox/6930123623732227/</v>
      </c>
      <c r="O5016">
        <v>0</v>
      </c>
      <c r="P5016">
        <v>0</v>
      </c>
      <c r="Q5016">
        <v>0</v>
      </c>
      <c r="S5016">
        <v>0</v>
      </c>
      <c r="T5016">
        <v>0</v>
      </c>
      <c r="U5016">
        <v>0</v>
      </c>
      <c r="W5016" t="s">
        <v>52</v>
      </c>
    </row>
    <row r="5017" spans="1:45" x14ac:dyDescent="0.35">
      <c r="A5017" t="s">
        <v>45</v>
      </c>
      <c r="B5017" t="s">
        <v>11330</v>
      </c>
      <c r="C5017" t="s">
        <v>139</v>
      </c>
      <c r="D5017" t="s">
        <v>7948</v>
      </c>
      <c r="E5017" t="s">
        <v>7949</v>
      </c>
      <c r="F5017" t="s">
        <v>49</v>
      </c>
      <c r="G5017" t="s">
        <v>11365</v>
      </c>
      <c r="H5017" t="s">
        <v>11366</v>
      </c>
      <c r="J5017" t="str">
        <f>HYPERLINK("https://twitter.com/digitaldahod/status/1747570433657049393","https://twitter.com/digitaldahod/status/1747570433657049393")</f>
        <v>https://twitter.com/digitaldahod/status/1747570433657049393</v>
      </c>
      <c r="K5017" t="s">
        <v>145</v>
      </c>
      <c r="O5017">
        <v>0</v>
      </c>
      <c r="P5017">
        <v>0</v>
      </c>
      <c r="Q5017">
        <v>9</v>
      </c>
      <c r="R5017" t="s">
        <v>7952</v>
      </c>
      <c r="S5017">
        <v>0</v>
      </c>
      <c r="T5017">
        <v>0</v>
      </c>
      <c r="U5017">
        <v>0</v>
      </c>
      <c r="W5017" t="s">
        <v>146</v>
      </c>
    </row>
    <row r="5018" spans="1:45" x14ac:dyDescent="0.35">
      <c r="A5018" t="s">
        <v>45</v>
      </c>
      <c r="B5018" t="s">
        <v>11330</v>
      </c>
      <c r="C5018" t="s">
        <v>47</v>
      </c>
      <c r="D5018" t="s">
        <v>11367</v>
      </c>
      <c r="E5018" t="s">
        <v>11367</v>
      </c>
      <c r="F5018" t="s">
        <v>49</v>
      </c>
      <c r="G5018" t="s">
        <v>11368</v>
      </c>
      <c r="H5018" t="s">
        <v>11369</v>
      </c>
      <c r="J5018" t="str">
        <f>HYPERLINK("https://www.facebook.com/454965103328545/posts/734812295343823?comment_id=2243354199192135","https://www.facebook.com/454965103328545/posts/734812295343823?comment_id=2243354199192135")</f>
        <v>https://www.facebook.com/454965103328545/posts/734812295343823?comment_id=2243354199192135</v>
      </c>
      <c r="O5018">
        <v>0</v>
      </c>
      <c r="P5018">
        <v>0</v>
      </c>
      <c r="Q5018">
        <v>0</v>
      </c>
      <c r="S5018">
        <v>0</v>
      </c>
      <c r="T5018">
        <v>0</v>
      </c>
      <c r="U5018">
        <v>0</v>
      </c>
      <c r="W5018" t="s">
        <v>62</v>
      </c>
      <c r="AO5018" t="s">
        <v>67</v>
      </c>
      <c r="AS5018" t="s">
        <v>375</v>
      </c>
    </row>
    <row r="5019" spans="1:45" x14ac:dyDescent="0.35">
      <c r="A5019" t="s">
        <v>45</v>
      </c>
      <c r="B5019" t="s">
        <v>11330</v>
      </c>
      <c r="C5019" t="s">
        <v>47</v>
      </c>
      <c r="D5019" t="s">
        <v>10819</v>
      </c>
      <c r="E5019" t="s">
        <v>10819</v>
      </c>
      <c r="F5019" t="s">
        <v>49</v>
      </c>
      <c r="G5019" t="s">
        <v>11370</v>
      </c>
      <c r="H5019" t="s">
        <v>11371</v>
      </c>
      <c r="J5019" t="str">
        <f>HYPERLINK("https://www.facebook.com/454965103328545/posts/750007137157672?comment_id=405731985135432&amp;reply_comment_id=1407908129931837","https://www.facebook.com/454965103328545/posts/750007137157672?comment_id=405731985135432&amp;reply_comment_id=1407908129931837")</f>
        <v>https://www.facebook.com/454965103328545/posts/750007137157672?comment_id=405731985135432&amp;reply_comment_id=1407908129931837</v>
      </c>
      <c r="O5019">
        <v>0</v>
      </c>
      <c r="P5019">
        <v>0</v>
      </c>
      <c r="Q5019">
        <v>0</v>
      </c>
      <c r="S5019">
        <v>0</v>
      </c>
      <c r="T5019">
        <v>0</v>
      </c>
      <c r="U5019">
        <v>0</v>
      </c>
      <c r="W5019" t="s">
        <v>62</v>
      </c>
    </row>
    <row r="5020" spans="1:45" x14ac:dyDescent="0.35">
      <c r="A5020" t="s">
        <v>45</v>
      </c>
      <c r="B5020" t="s">
        <v>11330</v>
      </c>
      <c r="C5020" t="s">
        <v>139</v>
      </c>
      <c r="D5020" t="s">
        <v>11372</v>
      </c>
      <c r="E5020" t="s">
        <v>11373</v>
      </c>
      <c r="F5020" t="s">
        <v>49</v>
      </c>
      <c r="G5020" t="s">
        <v>11374</v>
      </c>
      <c r="H5020" t="s">
        <v>11375</v>
      </c>
      <c r="J5020" t="str">
        <f>HYPERLINK("https://twitter.com/soniarvind19/status/1747559004371615782","https://twitter.com/soniarvind19/status/1747559004371615782")</f>
        <v>https://twitter.com/soniarvind19/status/1747559004371615782</v>
      </c>
      <c r="K5020" t="s">
        <v>145</v>
      </c>
      <c r="O5020">
        <v>0</v>
      </c>
      <c r="P5020">
        <v>0</v>
      </c>
      <c r="Q5020">
        <v>3</v>
      </c>
      <c r="S5020">
        <v>0</v>
      </c>
      <c r="T5020">
        <v>0</v>
      </c>
      <c r="U5020">
        <v>0</v>
      </c>
      <c r="W5020" t="s">
        <v>146</v>
      </c>
      <c r="AO5020" t="s">
        <v>119</v>
      </c>
      <c r="AP5020" t="s">
        <v>101</v>
      </c>
      <c r="AS5020" t="s">
        <v>375</v>
      </c>
    </row>
    <row r="5021" spans="1:45" x14ac:dyDescent="0.35">
      <c r="A5021" t="s">
        <v>45</v>
      </c>
      <c r="B5021" t="s">
        <v>11330</v>
      </c>
      <c r="C5021" t="s">
        <v>47</v>
      </c>
      <c r="D5021" t="s">
        <v>10816</v>
      </c>
      <c r="E5021" t="s">
        <v>10816</v>
      </c>
      <c r="F5021" t="s">
        <v>49</v>
      </c>
      <c r="G5021" t="s">
        <v>11376</v>
      </c>
      <c r="H5021" t="s">
        <v>11377</v>
      </c>
      <c r="J5021" t="str">
        <f>HYPERLINK("https://www.facebook.com/454965103328545/posts/750007137157672?comment_id=405731985135432&amp;reply_comment_id=1135072757478846","https://www.facebook.com/454965103328545/posts/750007137157672?comment_id=405731985135432&amp;reply_comment_id=1135072757478846")</f>
        <v>https://www.facebook.com/454965103328545/posts/750007137157672?comment_id=405731985135432&amp;reply_comment_id=1135072757478846</v>
      </c>
      <c r="O5021">
        <v>0</v>
      </c>
      <c r="P5021">
        <v>0</v>
      </c>
      <c r="Q5021">
        <v>0</v>
      </c>
      <c r="S5021">
        <v>0</v>
      </c>
      <c r="T5021">
        <v>0</v>
      </c>
      <c r="U5021">
        <v>0</v>
      </c>
      <c r="W5021" t="s">
        <v>62</v>
      </c>
    </row>
    <row r="5022" spans="1:45" x14ac:dyDescent="0.35">
      <c r="A5022" t="s">
        <v>45</v>
      </c>
      <c r="B5022" t="s">
        <v>11330</v>
      </c>
      <c r="C5022" t="s">
        <v>47</v>
      </c>
      <c r="D5022" t="s">
        <v>10819</v>
      </c>
      <c r="E5022" t="s">
        <v>10819</v>
      </c>
      <c r="F5022" t="s">
        <v>49</v>
      </c>
      <c r="G5022" t="s">
        <v>11378</v>
      </c>
      <c r="H5022" t="s">
        <v>11379</v>
      </c>
      <c r="J5022" t="str">
        <f>HYPERLINK("https://www.facebook.com/454965103328545/posts/750007137157672?comment_id=405731985135432&amp;reply_comment_id=335092202727033","https://www.facebook.com/454965103328545/posts/750007137157672?comment_id=405731985135432&amp;reply_comment_id=335092202727033")</f>
        <v>https://www.facebook.com/454965103328545/posts/750007137157672?comment_id=405731985135432&amp;reply_comment_id=335092202727033</v>
      </c>
      <c r="O5022">
        <v>0</v>
      </c>
      <c r="P5022">
        <v>0</v>
      </c>
      <c r="Q5022">
        <v>0</v>
      </c>
      <c r="S5022">
        <v>0</v>
      </c>
      <c r="T5022">
        <v>0</v>
      </c>
      <c r="U5022">
        <v>0</v>
      </c>
      <c r="W5022" t="s">
        <v>62</v>
      </c>
    </row>
    <row r="5023" spans="1:45" x14ac:dyDescent="0.35">
      <c r="A5023" t="s">
        <v>45</v>
      </c>
      <c r="B5023" t="s">
        <v>11330</v>
      </c>
      <c r="C5023" t="s">
        <v>47</v>
      </c>
      <c r="D5023" t="s">
        <v>8704</v>
      </c>
      <c r="E5023" t="s">
        <v>8704</v>
      </c>
      <c r="F5023" t="s">
        <v>49</v>
      </c>
      <c r="G5023" t="s">
        <v>11380</v>
      </c>
      <c r="H5023" t="s">
        <v>11381</v>
      </c>
      <c r="J5023" t="str">
        <f>HYPERLINK("https://www.facebook.com/454965103328545/posts/734812295343823?comment_id=244324352037410","https://www.facebook.com/454965103328545/posts/734812295343823?comment_id=244324352037410")</f>
        <v>https://www.facebook.com/454965103328545/posts/734812295343823?comment_id=244324352037410</v>
      </c>
      <c r="O5023">
        <v>0</v>
      </c>
      <c r="P5023">
        <v>0</v>
      </c>
      <c r="Q5023">
        <v>0</v>
      </c>
      <c r="S5023">
        <v>0</v>
      </c>
      <c r="T5023">
        <v>0</v>
      </c>
      <c r="U5023">
        <v>0</v>
      </c>
      <c r="W5023" t="s">
        <v>62</v>
      </c>
      <c r="AS5023" t="s">
        <v>375</v>
      </c>
    </row>
    <row r="5024" spans="1:45" x14ac:dyDescent="0.35">
      <c r="A5024" t="s">
        <v>45</v>
      </c>
      <c r="B5024" t="s">
        <v>11330</v>
      </c>
      <c r="C5024" t="s">
        <v>139</v>
      </c>
      <c r="D5024" t="s">
        <v>11382</v>
      </c>
      <c r="E5024" t="s">
        <v>11383</v>
      </c>
      <c r="F5024" t="s">
        <v>76</v>
      </c>
      <c r="G5024" t="s">
        <v>11384</v>
      </c>
      <c r="H5024" t="s">
        <v>11385</v>
      </c>
      <c r="J5024" t="str">
        <f>HYPERLINK("https://twitter.com/prectemerr67568/status/1747492694765473966","https://twitter.com/prectemerr67568/status/1747492694765473966")</f>
        <v>https://twitter.com/prectemerr67568/status/1747492694765473966</v>
      </c>
      <c r="O5024">
        <v>0</v>
      </c>
      <c r="P5024">
        <v>0</v>
      </c>
      <c r="Q5024">
        <v>0</v>
      </c>
      <c r="S5024">
        <v>0</v>
      </c>
      <c r="T5024">
        <v>0</v>
      </c>
      <c r="U5024">
        <v>0</v>
      </c>
      <c r="W5024" t="s">
        <v>146</v>
      </c>
    </row>
    <row r="5025" spans="1:45" x14ac:dyDescent="0.35">
      <c r="A5025" t="s">
        <v>45</v>
      </c>
      <c r="B5025" t="s">
        <v>11330</v>
      </c>
      <c r="C5025" t="s">
        <v>139</v>
      </c>
      <c r="D5025" t="s">
        <v>11386</v>
      </c>
      <c r="E5025" t="s">
        <v>11387</v>
      </c>
      <c r="F5025" t="s">
        <v>142</v>
      </c>
      <c r="G5025" t="s">
        <v>11388</v>
      </c>
      <c r="H5025" t="s">
        <v>11389</v>
      </c>
      <c r="J5025" t="str">
        <f>HYPERLINK("https://twitter.com/helloPrashantJ/status/1747490869563801857","https://twitter.com/helloPrashantJ/status/1747490869563801857")</f>
        <v>https://twitter.com/helloPrashantJ/status/1747490869563801857</v>
      </c>
      <c r="K5025" t="s">
        <v>145</v>
      </c>
      <c r="O5025">
        <v>0</v>
      </c>
      <c r="P5025">
        <v>0</v>
      </c>
      <c r="Q5025">
        <v>121</v>
      </c>
      <c r="R5025" t="s">
        <v>2924</v>
      </c>
      <c r="S5025">
        <v>0</v>
      </c>
      <c r="T5025">
        <v>0</v>
      </c>
      <c r="U5025">
        <v>0</v>
      </c>
      <c r="W5025" t="s">
        <v>146</v>
      </c>
    </row>
    <row r="5026" spans="1:45" x14ac:dyDescent="0.35">
      <c r="A5026" t="s">
        <v>45</v>
      </c>
      <c r="B5026" t="s">
        <v>11330</v>
      </c>
      <c r="C5026" t="s">
        <v>58</v>
      </c>
      <c r="D5026" t="s">
        <v>11390</v>
      </c>
      <c r="E5026" t="s">
        <v>11390</v>
      </c>
      <c r="F5026" t="s">
        <v>49</v>
      </c>
      <c r="G5026" t="s">
        <v>11391</v>
      </c>
      <c r="H5026" t="s">
        <v>11392</v>
      </c>
      <c r="J5026" t="str">
        <f>HYPERLINK("https://www.youtube.com/watch?v=SRp7-A1w3Ps","https://www.youtube.com/watch?v=SRp7-A1w3Ps")</f>
        <v>https://www.youtube.com/watch?v=SRp7-A1w3Ps</v>
      </c>
      <c r="O5026">
        <v>0</v>
      </c>
      <c r="P5026">
        <v>0</v>
      </c>
      <c r="Q5026">
        <v>0</v>
      </c>
      <c r="S5026">
        <v>0</v>
      </c>
      <c r="T5026">
        <v>0</v>
      </c>
      <c r="U5026">
        <v>0</v>
      </c>
      <c r="W5026" t="s">
        <v>106</v>
      </c>
      <c r="Y5026" t="s">
        <v>11393</v>
      </c>
      <c r="Z5026" t="s">
        <v>613</v>
      </c>
      <c r="AA5026" t="s">
        <v>614</v>
      </c>
    </row>
    <row r="5027" spans="1:45" x14ac:dyDescent="0.35">
      <c r="A5027" t="s">
        <v>45</v>
      </c>
      <c r="B5027" t="s">
        <v>11330</v>
      </c>
      <c r="C5027" t="s">
        <v>139</v>
      </c>
      <c r="D5027" t="s">
        <v>11149</v>
      </c>
      <c r="E5027" t="s">
        <v>11150</v>
      </c>
      <c r="F5027" t="s">
        <v>49</v>
      </c>
      <c r="G5027" t="s">
        <v>11394</v>
      </c>
      <c r="H5027" t="s">
        <v>11395</v>
      </c>
      <c r="J5027" t="str">
        <f>HYPERLINK("https://twitter.com/Vipin04937239/status/1747489285308354745","https://twitter.com/Vipin04937239/status/1747489285308354745")</f>
        <v>https://twitter.com/Vipin04937239/status/1747489285308354745</v>
      </c>
      <c r="K5027" t="s">
        <v>145</v>
      </c>
      <c r="O5027">
        <v>0</v>
      </c>
      <c r="P5027">
        <v>0</v>
      </c>
      <c r="Q5027">
        <v>9</v>
      </c>
      <c r="R5027" t="s">
        <v>11153</v>
      </c>
      <c r="S5027">
        <v>0</v>
      </c>
      <c r="T5027">
        <v>0</v>
      </c>
      <c r="U5027">
        <v>0</v>
      </c>
      <c r="W5027" t="s">
        <v>146</v>
      </c>
      <c r="AS5027" t="s">
        <v>375</v>
      </c>
    </row>
    <row r="5028" spans="1:45" x14ac:dyDescent="0.35">
      <c r="A5028" t="s">
        <v>45</v>
      </c>
      <c r="B5028" t="s">
        <v>11330</v>
      </c>
      <c r="C5028" t="s">
        <v>139</v>
      </c>
      <c r="D5028" t="s">
        <v>11047</v>
      </c>
      <c r="E5028" t="s">
        <v>11048</v>
      </c>
      <c r="F5028" t="s">
        <v>49</v>
      </c>
      <c r="G5028" t="s">
        <v>11396</v>
      </c>
      <c r="H5028" t="s">
        <v>11397</v>
      </c>
      <c r="J5028" t="str">
        <f>HYPERLINK("https://twitter.com/Parmeshwar7755/status/1747484977279930800","https://twitter.com/Parmeshwar7755/status/1747484977279930800")</f>
        <v>https://twitter.com/Parmeshwar7755/status/1747484977279930800</v>
      </c>
      <c r="K5028" t="s">
        <v>145</v>
      </c>
      <c r="O5028">
        <v>0</v>
      </c>
      <c r="P5028">
        <v>0</v>
      </c>
      <c r="Q5028">
        <v>25</v>
      </c>
      <c r="R5028" t="s">
        <v>582</v>
      </c>
      <c r="S5028">
        <v>0</v>
      </c>
      <c r="T5028">
        <v>0</v>
      </c>
      <c r="U5028">
        <v>0</v>
      </c>
      <c r="W5028" t="s">
        <v>146</v>
      </c>
      <c r="AO5028" t="s">
        <v>119</v>
      </c>
      <c r="AP5028" t="s">
        <v>101</v>
      </c>
      <c r="AS5028" t="s">
        <v>375</v>
      </c>
    </row>
    <row r="5029" spans="1:45" x14ac:dyDescent="0.35">
      <c r="A5029" t="s">
        <v>45</v>
      </c>
      <c r="B5029" t="s">
        <v>11330</v>
      </c>
      <c r="C5029" t="s">
        <v>139</v>
      </c>
      <c r="D5029" t="s">
        <v>11047</v>
      </c>
      <c r="E5029" t="s">
        <v>11048</v>
      </c>
      <c r="F5029" t="s">
        <v>49</v>
      </c>
      <c r="G5029" t="s">
        <v>11398</v>
      </c>
      <c r="H5029" t="s">
        <v>11399</v>
      </c>
      <c r="J5029" t="str">
        <f>HYPERLINK("https://twitter.com/Parmeshwar7755/status/1747484858170188138","https://twitter.com/Parmeshwar7755/status/1747484858170188138")</f>
        <v>https://twitter.com/Parmeshwar7755/status/1747484858170188138</v>
      </c>
      <c r="K5029" t="s">
        <v>145</v>
      </c>
      <c r="O5029">
        <v>0</v>
      </c>
      <c r="P5029">
        <v>0</v>
      </c>
      <c r="Q5029">
        <v>25</v>
      </c>
      <c r="R5029" t="s">
        <v>582</v>
      </c>
      <c r="S5029">
        <v>0</v>
      </c>
      <c r="T5029">
        <v>0</v>
      </c>
      <c r="U5029">
        <v>0</v>
      </c>
      <c r="W5029" t="s">
        <v>146</v>
      </c>
    </row>
    <row r="5030" spans="1:45" x14ac:dyDescent="0.35">
      <c r="A5030" t="s">
        <v>45</v>
      </c>
      <c r="B5030" t="s">
        <v>11330</v>
      </c>
      <c r="C5030" t="s">
        <v>139</v>
      </c>
      <c r="D5030" t="s">
        <v>11047</v>
      </c>
      <c r="E5030" t="s">
        <v>11048</v>
      </c>
      <c r="F5030" t="s">
        <v>49</v>
      </c>
      <c r="G5030" t="s">
        <v>11400</v>
      </c>
      <c r="H5030" t="s">
        <v>11401</v>
      </c>
      <c r="J5030" t="str">
        <f>HYPERLINK("https://twitter.com/Parmeshwar7755/status/1747484578116403251","https://twitter.com/Parmeshwar7755/status/1747484578116403251")</f>
        <v>https://twitter.com/Parmeshwar7755/status/1747484578116403251</v>
      </c>
      <c r="K5030" t="s">
        <v>145</v>
      </c>
      <c r="O5030">
        <v>0</v>
      </c>
      <c r="P5030">
        <v>0</v>
      </c>
      <c r="Q5030">
        <v>25</v>
      </c>
      <c r="R5030" t="s">
        <v>582</v>
      </c>
      <c r="S5030">
        <v>0</v>
      </c>
      <c r="T5030">
        <v>0</v>
      </c>
      <c r="U5030">
        <v>0</v>
      </c>
      <c r="W5030" t="s">
        <v>146</v>
      </c>
    </row>
    <row r="5031" spans="1:45" x14ac:dyDescent="0.35">
      <c r="A5031" t="s">
        <v>45</v>
      </c>
      <c r="B5031" t="s">
        <v>11330</v>
      </c>
      <c r="C5031" t="s">
        <v>139</v>
      </c>
      <c r="D5031" t="s">
        <v>11047</v>
      </c>
      <c r="E5031" t="s">
        <v>11048</v>
      </c>
      <c r="F5031" t="s">
        <v>49</v>
      </c>
      <c r="G5031" t="s">
        <v>11402</v>
      </c>
      <c r="H5031" t="s">
        <v>11403</v>
      </c>
      <c r="J5031" t="str">
        <f>HYPERLINK("https://twitter.com/Parmeshwar7755/status/1747484490455552429","https://twitter.com/Parmeshwar7755/status/1747484490455552429")</f>
        <v>https://twitter.com/Parmeshwar7755/status/1747484490455552429</v>
      </c>
      <c r="K5031" t="s">
        <v>145</v>
      </c>
      <c r="O5031">
        <v>0</v>
      </c>
      <c r="P5031">
        <v>0</v>
      </c>
      <c r="Q5031">
        <v>25</v>
      </c>
      <c r="R5031" t="s">
        <v>582</v>
      </c>
      <c r="S5031">
        <v>0</v>
      </c>
      <c r="T5031">
        <v>0</v>
      </c>
      <c r="U5031">
        <v>0</v>
      </c>
      <c r="W5031" t="s">
        <v>146</v>
      </c>
      <c r="AS5031" t="s">
        <v>375</v>
      </c>
    </row>
    <row r="5032" spans="1:45" x14ac:dyDescent="0.35">
      <c r="A5032" t="s">
        <v>45</v>
      </c>
      <c r="B5032" t="s">
        <v>11330</v>
      </c>
      <c r="C5032" t="s">
        <v>139</v>
      </c>
      <c r="D5032" t="s">
        <v>11047</v>
      </c>
      <c r="E5032" t="s">
        <v>11048</v>
      </c>
      <c r="F5032" t="s">
        <v>49</v>
      </c>
      <c r="G5032" t="s">
        <v>11404</v>
      </c>
      <c r="H5032" t="s">
        <v>11405</v>
      </c>
      <c r="J5032" t="str">
        <f>HYPERLINK("https://twitter.com/Parmeshwar7755/status/1747463814130651176","https://twitter.com/Parmeshwar7755/status/1747463814130651176")</f>
        <v>https://twitter.com/Parmeshwar7755/status/1747463814130651176</v>
      </c>
      <c r="K5032" t="s">
        <v>145</v>
      </c>
      <c r="O5032">
        <v>0</v>
      </c>
      <c r="P5032">
        <v>0</v>
      </c>
      <c r="Q5032">
        <v>25</v>
      </c>
      <c r="R5032" t="s">
        <v>582</v>
      </c>
      <c r="S5032">
        <v>0</v>
      </c>
      <c r="T5032">
        <v>0</v>
      </c>
      <c r="U5032">
        <v>0</v>
      </c>
      <c r="W5032" t="s">
        <v>146</v>
      </c>
    </row>
    <row r="5033" spans="1:45" x14ac:dyDescent="0.35">
      <c r="A5033" t="s">
        <v>45</v>
      </c>
      <c r="B5033" t="s">
        <v>11330</v>
      </c>
      <c r="C5033" t="s">
        <v>139</v>
      </c>
      <c r="D5033" t="s">
        <v>11047</v>
      </c>
      <c r="E5033" t="s">
        <v>11048</v>
      </c>
      <c r="F5033" t="s">
        <v>49</v>
      </c>
      <c r="G5033" t="s">
        <v>11406</v>
      </c>
      <c r="H5033" t="s">
        <v>11407</v>
      </c>
      <c r="J5033" t="str">
        <f>HYPERLINK("https://twitter.com/Parmeshwar7755/status/1747463739455258745","https://twitter.com/Parmeshwar7755/status/1747463739455258745")</f>
        <v>https://twitter.com/Parmeshwar7755/status/1747463739455258745</v>
      </c>
      <c r="K5033" t="s">
        <v>145</v>
      </c>
      <c r="O5033">
        <v>0</v>
      </c>
      <c r="P5033">
        <v>0</v>
      </c>
      <c r="Q5033">
        <v>25</v>
      </c>
      <c r="R5033" t="s">
        <v>582</v>
      </c>
      <c r="S5033">
        <v>0</v>
      </c>
      <c r="T5033">
        <v>0</v>
      </c>
      <c r="U5033">
        <v>0</v>
      </c>
      <c r="W5033" t="s">
        <v>146</v>
      </c>
    </row>
    <row r="5034" spans="1:45" x14ac:dyDescent="0.35">
      <c r="A5034" t="s">
        <v>45</v>
      </c>
      <c r="B5034" t="s">
        <v>11330</v>
      </c>
      <c r="C5034" t="s">
        <v>139</v>
      </c>
      <c r="D5034" t="s">
        <v>11047</v>
      </c>
      <c r="E5034" t="s">
        <v>11048</v>
      </c>
      <c r="F5034" t="s">
        <v>49</v>
      </c>
      <c r="G5034" t="s">
        <v>11408</v>
      </c>
      <c r="H5034" t="s">
        <v>11409</v>
      </c>
      <c r="J5034" t="str">
        <f>HYPERLINK("https://twitter.com/Parmeshwar7755/status/1747463697965179255","https://twitter.com/Parmeshwar7755/status/1747463697965179255")</f>
        <v>https://twitter.com/Parmeshwar7755/status/1747463697965179255</v>
      </c>
      <c r="K5034" t="s">
        <v>145</v>
      </c>
      <c r="O5034">
        <v>0</v>
      </c>
      <c r="P5034">
        <v>0</v>
      </c>
      <c r="Q5034">
        <v>25</v>
      </c>
      <c r="R5034" t="s">
        <v>582</v>
      </c>
      <c r="S5034">
        <v>0</v>
      </c>
      <c r="T5034">
        <v>0</v>
      </c>
      <c r="U5034">
        <v>0</v>
      </c>
      <c r="W5034" t="s">
        <v>146</v>
      </c>
    </row>
    <row r="5035" spans="1:45" x14ac:dyDescent="0.35">
      <c r="A5035" t="s">
        <v>45</v>
      </c>
      <c r="B5035" t="s">
        <v>11330</v>
      </c>
      <c r="C5035" t="s">
        <v>47</v>
      </c>
      <c r="D5035" t="s">
        <v>11410</v>
      </c>
      <c r="E5035" t="s">
        <v>11410</v>
      </c>
      <c r="F5035" t="s">
        <v>49</v>
      </c>
      <c r="G5035" t="s">
        <v>50</v>
      </c>
      <c r="H5035" t="s">
        <v>11411</v>
      </c>
      <c r="J5035" t="str">
        <f>HYPERLINK("https://www.facebook.com/357267201017935/inbox/6928936067184316/","https://www.facebook.com/357267201017935/inbox/6928936067184316/")</f>
        <v>https://www.facebook.com/357267201017935/inbox/6928936067184316/</v>
      </c>
      <c r="O5035">
        <v>0</v>
      </c>
      <c r="P5035">
        <v>0</v>
      </c>
      <c r="Q5035">
        <v>0</v>
      </c>
      <c r="S5035">
        <v>0</v>
      </c>
      <c r="T5035">
        <v>0</v>
      </c>
      <c r="U5035">
        <v>0</v>
      </c>
      <c r="W5035" t="s">
        <v>52</v>
      </c>
      <c r="AS5035" t="s">
        <v>375</v>
      </c>
    </row>
    <row r="5036" spans="1:45" x14ac:dyDescent="0.35">
      <c r="A5036" t="s">
        <v>45</v>
      </c>
      <c r="B5036" t="s">
        <v>11330</v>
      </c>
      <c r="C5036" t="s">
        <v>47</v>
      </c>
      <c r="F5036" t="s">
        <v>76</v>
      </c>
      <c r="G5036" t="s">
        <v>11412</v>
      </c>
      <c r="H5036" t="s">
        <v>11413</v>
      </c>
      <c r="J5036" t="str">
        <f>HYPERLINK("https://www.facebook.com/6820763411346178_10233061794357568","https://www.facebook.com/6820763411346178_10233061794357568")</f>
        <v>https://www.facebook.com/6820763411346178_10233061794357568</v>
      </c>
      <c r="O5036">
        <v>0</v>
      </c>
      <c r="P5036">
        <v>0</v>
      </c>
      <c r="Q5036">
        <v>0</v>
      </c>
      <c r="S5036">
        <v>0</v>
      </c>
      <c r="T5036">
        <v>0</v>
      </c>
      <c r="U5036">
        <v>0</v>
      </c>
      <c r="W5036" t="s">
        <v>106</v>
      </c>
    </row>
    <row r="5037" spans="1:45" x14ac:dyDescent="0.35">
      <c r="A5037" t="s">
        <v>45</v>
      </c>
      <c r="B5037" t="s">
        <v>11414</v>
      </c>
      <c r="C5037" t="s">
        <v>139</v>
      </c>
      <c r="D5037" t="s">
        <v>11415</v>
      </c>
      <c r="E5037" t="s">
        <v>11416</v>
      </c>
      <c r="F5037" t="s">
        <v>49</v>
      </c>
      <c r="G5037" t="s">
        <v>11417</v>
      </c>
      <c r="H5037" t="s">
        <v>11418</v>
      </c>
      <c r="J5037" t="str">
        <f>HYPERLINK("https://twitter.com/msamik7/status/1747316263985328396","https://twitter.com/msamik7/status/1747316263985328396")</f>
        <v>https://twitter.com/msamik7/status/1747316263985328396</v>
      </c>
      <c r="K5037" t="s">
        <v>145</v>
      </c>
      <c r="O5037">
        <v>0</v>
      </c>
      <c r="P5037">
        <v>0</v>
      </c>
      <c r="Q5037">
        <v>2</v>
      </c>
      <c r="R5037" t="s">
        <v>582</v>
      </c>
      <c r="S5037">
        <v>0</v>
      </c>
      <c r="T5037">
        <v>0</v>
      </c>
      <c r="U5037">
        <v>0</v>
      </c>
      <c r="W5037" t="s">
        <v>146</v>
      </c>
      <c r="AS5037" t="s">
        <v>375</v>
      </c>
    </row>
    <row r="5038" spans="1:45" x14ac:dyDescent="0.35">
      <c r="A5038" t="s">
        <v>45</v>
      </c>
      <c r="B5038" t="s">
        <v>11414</v>
      </c>
      <c r="C5038" t="s">
        <v>47</v>
      </c>
      <c r="D5038" t="s">
        <v>2587</v>
      </c>
      <c r="E5038" t="s">
        <v>2587</v>
      </c>
      <c r="F5038" t="s">
        <v>49</v>
      </c>
      <c r="G5038" t="s">
        <v>11419</v>
      </c>
      <c r="H5038" t="s">
        <v>11420</v>
      </c>
      <c r="J5038" t="str">
        <f>HYPERLINK("https://www.facebook.com/357267201017935/inbox/6851875061557084/","https://www.facebook.com/357267201017935/inbox/6851875061557084/")</f>
        <v>https://www.facebook.com/357267201017935/inbox/6851875061557084/</v>
      </c>
      <c r="O5038">
        <v>0</v>
      </c>
      <c r="P5038">
        <v>0</v>
      </c>
      <c r="Q5038">
        <v>0</v>
      </c>
      <c r="S5038">
        <v>0</v>
      </c>
      <c r="T5038">
        <v>0</v>
      </c>
      <c r="U5038">
        <v>0</v>
      </c>
      <c r="W5038" t="s">
        <v>52</v>
      </c>
      <c r="AS5038" t="s">
        <v>375</v>
      </c>
    </row>
    <row r="5039" spans="1:45" x14ac:dyDescent="0.35">
      <c r="A5039" t="s">
        <v>45</v>
      </c>
      <c r="B5039" t="s">
        <v>11414</v>
      </c>
      <c r="C5039" t="s">
        <v>58</v>
      </c>
      <c r="D5039" t="s">
        <v>3636</v>
      </c>
      <c r="E5039" t="s">
        <v>3636</v>
      </c>
      <c r="F5039" t="s">
        <v>49</v>
      </c>
      <c r="G5039" t="s">
        <v>11421</v>
      </c>
      <c r="H5039" t="s">
        <v>11422</v>
      </c>
      <c r="J5039" t="str">
        <f>HYPERLINK("https://www.youtube.com/watch?v=xga9rBNxYYA","https://www.youtube.com/watch?v=xga9rBNxYYA")</f>
        <v>https://www.youtube.com/watch?v=xga9rBNxYYA</v>
      </c>
      <c r="O5039">
        <v>0</v>
      </c>
      <c r="P5039">
        <v>0</v>
      </c>
      <c r="Q5039">
        <v>0</v>
      </c>
      <c r="S5039">
        <v>0</v>
      </c>
      <c r="T5039">
        <v>0</v>
      </c>
      <c r="U5039">
        <v>0</v>
      </c>
      <c r="W5039" t="s">
        <v>106</v>
      </c>
    </row>
    <row r="5040" spans="1:45" x14ac:dyDescent="0.35">
      <c r="A5040" t="s">
        <v>45</v>
      </c>
      <c r="B5040" t="s">
        <v>11414</v>
      </c>
      <c r="C5040" t="s">
        <v>47</v>
      </c>
      <c r="D5040" t="s">
        <v>11423</v>
      </c>
      <c r="E5040" t="s">
        <v>11423</v>
      </c>
      <c r="F5040" t="s">
        <v>49</v>
      </c>
      <c r="G5040" t="s">
        <v>11424</v>
      </c>
      <c r="H5040" t="s">
        <v>11425</v>
      </c>
      <c r="J5040" t="str">
        <f>HYPERLINK("https://www.facebook.com/357267201017935/inbox/6927264270684829/","https://www.facebook.com/357267201017935/inbox/6927264270684829/")</f>
        <v>https://www.facebook.com/357267201017935/inbox/6927264270684829/</v>
      </c>
      <c r="O5040">
        <v>0</v>
      </c>
      <c r="P5040">
        <v>0</v>
      </c>
      <c r="Q5040">
        <v>0</v>
      </c>
      <c r="S5040">
        <v>0</v>
      </c>
      <c r="T5040">
        <v>0</v>
      </c>
      <c r="U5040">
        <v>0</v>
      </c>
      <c r="W5040" t="s">
        <v>52</v>
      </c>
      <c r="AS5040" t="s">
        <v>375</v>
      </c>
    </row>
    <row r="5041" spans="1:45" x14ac:dyDescent="0.35">
      <c r="A5041" t="s">
        <v>45</v>
      </c>
      <c r="B5041" t="s">
        <v>11414</v>
      </c>
      <c r="C5041" t="s">
        <v>58</v>
      </c>
      <c r="D5041" t="s">
        <v>11426</v>
      </c>
      <c r="E5041" t="s">
        <v>11426</v>
      </c>
      <c r="F5041" t="s">
        <v>49</v>
      </c>
      <c r="G5041" t="s">
        <v>11427</v>
      </c>
      <c r="H5041" t="s">
        <v>11428</v>
      </c>
      <c r="J5041" t="str">
        <f>HYPERLINK("https://www.youtube.com/watch?v=SRXMhy7oPyE&amp;lc=Ugz0iYuKX7D0m2TwbUV4AaABAg","https://www.youtube.com/watch?v=SRXMhy7oPyE&amp;lc=Ugz0iYuKX7D0m2TwbUV4AaABAg")</f>
        <v>https://www.youtube.com/watch?v=SRXMhy7oPyE&amp;lc=Ugz0iYuKX7D0m2TwbUV4AaABAg</v>
      </c>
      <c r="O5041">
        <v>0</v>
      </c>
      <c r="P5041">
        <v>0</v>
      </c>
      <c r="Q5041">
        <v>0</v>
      </c>
      <c r="S5041">
        <v>0</v>
      </c>
      <c r="T5041">
        <v>0</v>
      </c>
      <c r="U5041">
        <v>0</v>
      </c>
      <c r="W5041" t="s">
        <v>62</v>
      </c>
      <c r="AP5041" t="s">
        <v>101</v>
      </c>
      <c r="AS5041" t="s">
        <v>375</v>
      </c>
    </row>
    <row r="5042" spans="1:45" x14ac:dyDescent="0.35">
      <c r="A5042" t="s">
        <v>45</v>
      </c>
      <c r="B5042" t="s">
        <v>11414</v>
      </c>
      <c r="C5042" t="s">
        <v>47</v>
      </c>
      <c r="D5042" t="s">
        <v>7714</v>
      </c>
      <c r="E5042" t="s">
        <v>7714</v>
      </c>
      <c r="F5042" t="s">
        <v>49</v>
      </c>
      <c r="G5042" t="s">
        <v>11429</v>
      </c>
      <c r="H5042" t="s">
        <v>11430</v>
      </c>
      <c r="J5042" t="str">
        <f>HYPERLINK("https://www.facebook.com/454965103328545/posts/752461300245589?comment_id=1388552928430248","https://www.facebook.com/454965103328545/posts/752461300245589?comment_id=1388552928430248")</f>
        <v>https://www.facebook.com/454965103328545/posts/752461300245589?comment_id=1388552928430248</v>
      </c>
      <c r="O5042">
        <v>0</v>
      </c>
      <c r="P5042">
        <v>0</v>
      </c>
      <c r="Q5042">
        <v>0</v>
      </c>
      <c r="S5042">
        <v>0</v>
      </c>
      <c r="T5042">
        <v>0</v>
      </c>
      <c r="U5042">
        <v>0</v>
      </c>
      <c r="W5042" t="s">
        <v>62</v>
      </c>
    </row>
    <row r="5043" spans="1:45" x14ac:dyDescent="0.35">
      <c r="A5043" t="s">
        <v>45</v>
      </c>
      <c r="B5043" t="s">
        <v>11414</v>
      </c>
      <c r="C5043" t="s">
        <v>47</v>
      </c>
      <c r="D5043" t="s">
        <v>3912</v>
      </c>
      <c r="E5043" t="s">
        <v>3912</v>
      </c>
      <c r="F5043" t="s">
        <v>49</v>
      </c>
      <c r="G5043" t="s">
        <v>11431</v>
      </c>
      <c r="H5043" t="s">
        <v>11432</v>
      </c>
      <c r="J5043" t="str">
        <f>HYPERLINK("https://www.facebook.com/454965103328545/posts/752516700240049?comment_id=726426936113029","https://www.facebook.com/454965103328545/posts/752516700240049?comment_id=726426936113029")</f>
        <v>https://www.facebook.com/454965103328545/posts/752516700240049?comment_id=726426936113029</v>
      </c>
      <c r="O5043">
        <v>0</v>
      </c>
      <c r="P5043">
        <v>0</v>
      </c>
      <c r="Q5043">
        <v>0</v>
      </c>
      <c r="S5043">
        <v>0</v>
      </c>
      <c r="T5043">
        <v>0</v>
      </c>
      <c r="U5043">
        <v>0</v>
      </c>
      <c r="W5043" t="s">
        <v>62</v>
      </c>
    </row>
    <row r="5044" spans="1:45" x14ac:dyDescent="0.35">
      <c r="A5044" t="s">
        <v>45</v>
      </c>
      <c r="B5044" t="s">
        <v>11414</v>
      </c>
      <c r="C5044" t="s">
        <v>139</v>
      </c>
      <c r="D5044" t="s">
        <v>11433</v>
      </c>
      <c r="E5044" t="s">
        <v>11434</v>
      </c>
      <c r="F5044" t="s">
        <v>49</v>
      </c>
      <c r="G5044" t="s">
        <v>11435</v>
      </c>
      <c r="H5044" t="s">
        <v>11436</v>
      </c>
      <c r="J5044" t="str">
        <f>HYPERLINK("https://twitter.com/KunjabanaSahu1/status/1747275044873699782","https://twitter.com/KunjabanaSahu1/status/1747275044873699782")</f>
        <v>https://twitter.com/KunjabanaSahu1/status/1747275044873699782</v>
      </c>
      <c r="O5044">
        <v>0</v>
      </c>
      <c r="P5044">
        <v>0</v>
      </c>
      <c r="Q5044">
        <v>7</v>
      </c>
      <c r="R5044" t="s">
        <v>11437</v>
      </c>
      <c r="S5044">
        <v>0</v>
      </c>
      <c r="T5044">
        <v>0</v>
      </c>
      <c r="U5044">
        <v>0</v>
      </c>
      <c r="W5044" t="s">
        <v>146</v>
      </c>
      <c r="AP5044" t="s">
        <v>101</v>
      </c>
      <c r="AS5044" t="s">
        <v>375</v>
      </c>
    </row>
    <row r="5045" spans="1:45" x14ac:dyDescent="0.35">
      <c r="A5045" t="s">
        <v>45</v>
      </c>
      <c r="B5045" t="s">
        <v>11414</v>
      </c>
      <c r="C5045" t="s">
        <v>139</v>
      </c>
      <c r="D5045" t="s">
        <v>11438</v>
      </c>
      <c r="E5045" t="s">
        <v>11439</v>
      </c>
      <c r="F5045" t="s">
        <v>49</v>
      </c>
      <c r="G5045" t="s">
        <v>11269</v>
      </c>
      <c r="H5045" t="s">
        <v>11440</v>
      </c>
      <c r="J5045" t="str">
        <f>HYPERLINK("https://twitter.com/MdNaseem24707/status/1747263789177999700","https://twitter.com/MdNaseem24707/status/1747263789177999700")</f>
        <v>https://twitter.com/MdNaseem24707/status/1747263789177999700</v>
      </c>
      <c r="O5045">
        <v>0</v>
      </c>
      <c r="P5045">
        <v>0</v>
      </c>
      <c r="Q5045">
        <v>0</v>
      </c>
      <c r="S5045">
        <v>0</v>
      </c>
      <c r="T5045">
        <v>0</v>
      </c>
      <c r="U5045">
        <v>0</v>
      </c>
      <c r="W5045" t="s">
        <v>146</v>
      </c>
    </row>
    <row r="5046" spans="1:45" x14ac:dyDescent="0.35">
      <c r="A5046" t="s">
        <v>45</v>
      </c>
      <c r="B5046" t="s">
        <v>11414</v>
      </c>
      <c r="C5046" t="s">
        <v>139</v>
      </c>
      <c r="D5046" t="s">
        <v>11441</v>
      </c>
      <c r="E5046" t="s">
        <v>11442</v>
      </c>
      <c r="F5046" t="s">
        <v>49</v>
      </c>
      <c r="G5046" t="s">
        <v>11443</v>
      </c>
      <c r="H5046" t="s">
        <v>11444</v>
      </c>
      <c r="J5046" t="str">
        <f>HYPERLINK("https://twitter.com/EthTybui20902/status/1747259684191690894","https://twitter.com/EthTybui20902/status/1747259684191690894")</f>
        <v>https://twitter.com/EthTybui20902/status/1747259684191690894</v>
      </c>
      <c r="O5046">
        <v>0</v>
      </c>
      <c r="P5046">
        <v>0</v>
      </c>
      <c r="Q5046">
        <v>0</v>
      </c>
      <c r="S5046">
        <v>0</v>
      </c>
      <c r="T5046">
        <v>0</v>
      </c>
      <c r="U5046">
        <v>0</v>
      </c>
      <c r="W5046" t="s">
        <v>146</v>
      </c>
    </row>
    <row r="5047" spans="1:45" x14ac:dyDescent="0.35">
      <c r="A5047" t="s">
        <v>45</v>
      </c>
      <c r="B5047" t="s">
        <v>11414</v>
      </c>
      <c r="C5047" t="s">
        <v>47</v>
      </c>
      <c r="D5047" t="s">
        <v>10685</v>
      </c>
      <c r="E5047" t="s">
        <v>10685</v>
      </c>
      <c r="F5047" t="s">
        <v>49</v>
      </c>
      <c r="G5047" t="s">
        <v>11445</v>
      </c>
      <c r="H5047" t="s">
        <v>11446</v>
      </c>
      <c r="J5047" t="str">
        <f>HYPERLINK("https://www.facebook.com/454965103328545/posts/734813295343723?comment_id=342628381912511","https://www.facebook.com/454965103328545/posts/734813295343723?comment_id=342628381912511")</f>
        <v>https://www.facebook.com/454965103328545/posts/734813295343723?comment_id=342628381912511</v>
      </c>
      <c r="O5047">
        <v>0</v>
      </c>
      <c r="P5047">
        <v>0</v>
      </c>
      <c r="Q5047">
        <v>0</v>
      </c>
      <c r="S5047">
        <v>0</v>
      </c>
      <c r="T5047">
        <v>0</v>
      </c>
      <c r="U5047">
        <v>0</v>
      </c>
      <c r="W5047" t="s">
        <v>62</v>
      </c>
      <c r="AS5047" t="s">
        <v>375</v>
      </c>
    </row>
    <row r="5048" spans="1:45" x14ac:dyDescent="0.35">
      <c r="A5048" t="s">
        <v>45</v>
      </c>
      <c r="B5048" t="s">
        <v>11414</v>
      </c>
      <c r="C5048" t="s">
        <v>58</v>
      </c>
      <c r="D5048" t="s">
        <v>2795</v>
      </c>
      <c r="E5048" t="s">
        <v>2795</v>
      </c>
      <c r="F5048" t="s">
        <v>49</v>
      </c>
      <c r="G5048" t="s">
        <v>11447</v>
      </c>
      <c r="H5048" t="s">
        <v>11448</v>
      </c>
      <c r="J5048" t="str">
        <f>HYPERLINK("https://www.youtube.com/watch?v=Gxj-mUuhCDo","https://www.youtube.com/watch?v=Gxj-mUuhCDo")</f>
        <v>https://www.youtube.com/watch?v=Gxj-mUuhCDo</v>
      </c>
      <c r="O5048">
        <v>0</v>
      </c>
      <c r="P5048">
        <v>0</v>
      </c>
      <c r="Q5048">
        <v>0</v>
      </c>
      <c r="S5048">
        <v>0</v>
      </c>
      <c r="T5048">
        <v>0</v>
      </c>
      <c r="U5048">
        <v>0</v>
      </c>
      <c r="W5048" t="s">
        <v>106</v>
      </c>
      <c r="AO5048" t="s">
        <v>67</v>
      </c>
    </row>
    <row r="5049" spans="1:45" x14ac:dyDescent="0.35">
      <c r="A5049" t="s">
        <v>45</v>
      </c>
      <c r="B5049" t="s">
        <v>11414</v>
      </c>
      <c r="C5049" t="s">
        <v>139</v>
      </c>
      <c r="D5049" t="s">
        <v>10535</v>
      </c>
      <c r="E5049" t="s">
        <v>10536</v>
      </c>
      <c r="F5049" t="s">
        <v>49</v>
      </c>
      <c r="G5049" t="s">
        <v>11449</v>
      </c>
      <c r="H5049" t="s">
        <v>11450</v>
      </c>
      <c r="J5049" t="str">
        <f>HYPERLINK("https://twitter.com/JAGDISHMENA1/status/1747238932138627378","https://twitter.com/JAGDISHMENA1/status/1747238932138627378")</f>
        <v>https://twitter.com/JAGDISHMENA1/status/1747238932138627378</v>
      </c>
      <c r="K5049" t="s">
        <v>145</v>
      </c>
      <c r="O5049">
        <v>0</v>
      </c>
      <c r="P5049">
        <v>0</v>
      </c>
      <c r="Q5049">
        <v>0</v>
      </c>
      <c r="S5049">
        <v>0</v>
      </c>
      <c r="T5049">
        <v>0</v>
      </c>
      <c r="U5049">
        <v>0</v>
      </c>
      <c r="W5049" t="s">
        <v>146</v>
      </c>
      <c r="AS5049" t="s">
        <v>375</v>
      </c>
    </row>
    <row r="5050" spans="1:45" x14ac:dyDescent="0.35">
      <c r="A5050" t="s">
        <v>45</v>
      </c>
      <c r="B5050" t="s">
        <v>11414</v>
      </c>
      <c r="C5050" t="s">
        <v>47</v>
      </c>
      <c r="D5050" t="s">
        <v>11451</v>
      </c>
      <c r="E5050" t="s">
        <v>11451</v>
      </c>
      <c r="F5050" t="s">
        <v>49</v>
      </c>
      <c r="G5050" t="s">
        <v>11452</v>
      </c>
      <c r="H5050" t="s">
        <v>11453</v>
      </c>
      <c r="J5050" t="str">
        <f>HYPERLINK("https://www.facebook.com/454965103328545/posts/752461300245589?comment_id=892614672865877","https://www.facebook.com/454965103328545/posts/752461300245589?comment_id=892614672865877")</f>
        <v>https://www.facebook.com/454965103328545/posts/752461300245589?comment_id=892614672865877</v>
      </c>
      <c r="O5050">
        <v>0</v>
      </c>
      <c r="P5050">
        <v>0</v>
      </c>
      <c r="Q5050">
        <v>0</v>
      </c>
      <c r="S5050">
        <v>0</v>
      </c>
      <c r="T5050">
        <v>0</v>
      </c>
      <c r="U5050">
        <v>0</v>
      </c>
      <c r="W5050" t="s">
        <v>62</v>
      </c>
    </row>
    <row r="5051" spans="1:45" x14ac:dyDescent="0.35">
      <c r="A5051" t="s">
        <v>45</v>
      </c>
      <c r="B5051" t="s">
        <v>11414</v>
      </c>
      <c r="C5051" t="s">
        <v>47</v>
      </c>
      <c r="D5051" t="s">
        <v>11454</v>
      </c>
      <c r="E5051" t="s">
        <v>11454</v>
      </c>
      <c r="F5051" t="s">
        <v>49</v>
      </c>
      <c r="G5051" t="s">
        <v>11455</v>
      </c>
      <c r="H5051" t="s">
        <v>11456</v>
      </c>
      <c r="J5051" t="str">
        <f>HYPERLINK("https://www.facebook.com/357267201017935/inbox/6926489947428928/","https://www.facebook.com/357267201017935/inbox/6926489947428928/")</f>
        <v>https://www.facebook.com/357267201017935/inbox/6926489947428928/</v>
      </c>
      <c r="O5051">
        <v>0</v>
      </c>
      <c r="P5051">
        <v>0</v>
      </c>
      <c r="Q5051">
        <v>0</v>
      </c>
      <c r="S5051">
        <v>0</v>
      </c>
      <c r="T5051">
        <v>0</v>
      </c>
      <c r="U5051">
        <v>0</v>
      </c>
      <c r="W5051" t="s">
        <v>52</v>
      </c>
    </row>
    <row r="5052" spans="1:45" x14ac:dyDescent="0.35">
      <c r="A5052" t="s">
        <v>45</v>
      </c>
      <c r="B5052" t="s">
        <v>11414</v>
      </c>
      <c r="C5052" t="s">
        <v>139</v>
      </c>
      <c r="D5052" t="s">
        <v>190</v>
      </c>
      <c r="E5052" t="s">
        <v>45</v>
      </c>
      <c r="F5052" t="s">
        <v>49</v>
      </c>
      <c r="G5052" t="s">
        <v>11457</v>
      </c>
      <c r="H5052" t="s">
        <v>11458</v>
      </c>
      <c r="J5052" t="str">
        <f>HYPERLINK("https://twitter.com/FinoPaymntsBank/status/1747219649534542103","https://twitter.com/FinoPaymntsBank/status/1747219649534542103")</f>
        <v>https://twitter.com/FinoPaymntsBank/status/1747219649534542103</v>
      </c>
      <c r="K5052" t="s">
        <v>145</v>
      </c>
      <c r="O5052">
        <v>0</v>
      </c>
      <c r="P5052">
        <v>0</v>
      </c>
      <c r="Q5052">
        <v>8309</v>
      </c>
      <c r="R5052" t="s">
        <v>193</v>
      </c>
      <c r="S5052">
        <v>0</v>
      </c>
      <c r="T5052">
        <v>0</v>
      </c>
      <c r="U5052">
        <v>0</v>
      </c>
      <c r="W5052" t="s">
        <v>146</v>
      </c>
    </row>
    <row r="5053" spans="1:45" x14ac:dyDescent="0.35">
      <c r="A5053" t="s">
        <v>45</v>
      </c>
      <c r="B5053" t="s">
        <v>11414</v>
      </c>
      <c r="C5053" t="s">
        <v>47</v>
      </c>
      <c r="D5053" t="s">
        <v>45</v>
      </c>
      <c r="E5053" t="s">
        <v>45</v>
      </c>
      <c r="F5053" t="s">
        <v>49</v>
      </c>
      <c r="G5053" t="s">
        <v>11459</v>
      </c>
      <c r="H5053" t="s">
        <v>11458</v>
      </c>
      <c r="J5053" t="str">
        <f>HYPERLINK("https://www.facebook.com/357267201017935_754206683404384","https://www.facebook.com/357267201017935_754206683404384")</f>
        <v>https://www.facebook.com/357267201017935_754206683404384</v>
      </c>
      <c r="O5053">
        <v>0</v>
      </c>
      <c r="P5053">
        <v>0</v>
      </c>
      <c r="Q5053">
        <v>0</v>
      </c>
      <c r="S5053">
        <v>3</v>
      </c>
      <c r="T5053">
        <v>46</v>
      </c>
      <c r="U5053">
        <v>8</v>
      </c>
      <c r="W5053" t="s">
        <v>106</v>
      </c>
    </row>
    <row r="5054" spans="1:45" x14ac:dyDescent="0.35">
      <c r="A5054" t="s">
        <v>45</v>
      </c>
      <c r="B5054" t="s">
        <v>11414</v>
      </c>
      <c r="C5054" t="s">
        <v>139</v>
      </c>
      <c r="D5054" t="s">
        <v>11047</v>
      </c>
      <c r="E5054" t="s">
        <v>11048</v>
      </c>
      <c r="F5054" t="s">
        <v>49</v>
      </c>
      <c r="G5054" t="s">
        <v>11460</v>
      </c>
      <c r="H5054" t="s">
        <v>11461</v>
      </c>
      <c r="J5054" t="str">
        <f>HYPERLINK("https://twitter.com/Parmeshwar7755/status/1747214373272375396","https://twitter.com/Parmeshwar7755/status/1747214373272375396")</f>
        <v>https://twitter.com/Parmeshwar7755/status/1747214373272375396</v>
      </c>
      <c r="K5054" t="s">
        <v>145</v>
      </c>
      <c r="O5054">
        <v>0</v>
      </c>
      <c r="P5054">
        <v>0</v>
      </c>
      <c r="Q5054">
        <v>25</v>
      </c>
      <c r="R5054" t="s">
        <v>582</v>
      </c>
      <c r="S5054">
        <v>0</v>
      </c>
      <c r="T5054">
        <v>0</v>
      </c>
      <c r="U5054">
        <v>0</v>
      </c>
      <c r="W5054" t="s">
        <v>146</v>
      </c>
    </row>
    <row r="5055" spans="1:45" x14ac:dyDescent="0.35">
      <c r="A5055" t="s">
        <v>45</v>
      </c>
      <c r="B5055" t="s">
        <v>11414</v>
      </c>
      <c r="C5055" t="s">
        <v>139</v>
      </c>
      <c r="D5055" t="s">
        <v>11047</v>
      </c>
      <c r="E5055" t="s">
        <v>11048</v>
      </c>
      <c r="F5055" t="s">
        <v>49</v>
      </c>
      <c r="G5055" t="s">
        <v>11462</v>
      </c>
      <c r="H5055" t="s">
        <v>11463</v>
      </c>
      <c r="J5055" t="str">
        <f>HYPERLINK("https://twitter.com/Parmeshwar7755/status/1747214249649385904","https://twitter.com/Parmeshwar7755/status/1747214249649385904")</f>
        <v>https://twitter.com/Parmeshwar7755/status/1747214249649385904</v>
      </c>
      <c r="K5055" t="s">
        <v>145</v>
      </c>
      <c r="O5055">
        <v>0</v>
      </c>
      <c r="P5055">
        <v>0</v>
      </c>
      <c r="Q5055">
        <v>25</v>
      </c>
      <c r="R5055" t="s">
        <v>582</v>
      </c>
      <c r="S5055">
        <v>0</v>
      </c>
      <c r="T5055">
        <v>0</v>
      </c>
      <c r="U5055">
        <v>0</v>
      </c>
      <c r="W5055" t="s">
        <v>146</v>
      </c>
    </row>
    <row r="5056" spans="1:45" x14ac:dyDescent="0.35">
      <c r="A5056" t="s">
        <v>45</v>
      </c>
      <c r="B5056" t="s">
        <v>11414</v>
      </c>
      <c r="C5056" t="s">
        <v>139</v>
      </c>
      <c r="D5056" t="s">
        <v>11047</v>
      </c>
      <c r="E5056" t="s">
        <v>11048</v>
      </c>
      <c r="F5056" t="s">
        <v>76</v>
      </c>
      <c r="G5056" t="s">
        <v>11464</v>
      </c>
      <c r="H5056" t="s">
        <v>11465</v>
      </c>
      <c r="J5056" t="str">
        <f>HYPERLINK("https://twitter.com/Parmeshwar7755/status/1747214023060545599","https://twitter.com/Parmeshwar7755/status/1747214023060545599")</f>
        <v>https://twitter.com/Parmeshwar7755/status/1747214023060545599</v>
      </c>
      <c r="K5056" t="s">
        <v>145</v>
      </c>
      <c r="O5056">
        <v>0</v>
      </c>
      <c r="P5056">
        <v>0</v>
      </c>
      <c r="Q5056">
        <v>25</v>
      </c>
      <c r="R5056" t="s">
        <v>582</v>
      </c>
      <c r="S5056">
        <v>0</v>
      </c>
      <c r="T5056">
        <v>0</v>
      </c>
      <c r="U5056">
        <v>0</v>
      </c>
      <c r="W5056" t="s">
        <v>146</v>
      </c>
      <c r="Y5056" t="s">
        <v>11466</v>
      </c>
      <c r="Z5056" t="s">
        <v>613</v>
      </c>
      <c r="AA5056" t="s">
        <v>614</v>
      </c>
    </row>
    <row r="5057" spans="1:45" x14ac:dyDescent="0.35">
      <c r="A5057" t="s">
        <v>45</v>
      </c>
      <c r="B5057" t="s">
        <v>11414</v>
      </c>
      <c r="C5057" t="s">
        <v>47</v>
      </c>
      <c r="D5057" t="s">
        <v>9792</v>
      </c>
      <c r="E5057" t="s">
        <v>9792</v>
      </c>
      <c r="F5057" t="s">
        <v>142</v>
      </c>
      <c r="G5057" t="s">
        <v>11467</v>
      </c>
      <c r="H5057" t="s">
        <v>11468</v>
      </c>
      <c r="J5057" t="str">
        <f>HYPERLINK("https://www.facebook.com/454965103328545/posts/752461300245589?comment_id=916179523406063","https://www.facebook.com/454965103328545/posts/752461300245589?comment_id=916179523406063")</f>
        <v>https://www.facebook.com/454965103328545/posts/752461300245589?comment_id=916179523406063</v>
      </c>
      <c r="O5057">
        <v>0</v>
      </c>
      <c r="P5057">
        <v>0</v>
      </c>
      <c r="Q5057">
        <v>0</v>
      </c>
      <c r="S5057">
        <v>0</v>
      </c>
      <c r="T5057">
        <v>0</v>
      </c>
      <c r="U5057">
        <v>0</v>
      </c>
      <c r="W5057" t="s">
        <v>62</v>
      </c>
    </row>
    <row r="5058" spans="1:45" x14ac:dyDescent="0.35">
      <c r="A5058" t="s">
        <v>45</v>
      </c>
      <c r="B5058" t="s">
        <v>11414</v>
      </c>
      <c r="C5058" t="s">
        <v>58</v>
      </c>
      <c r="D5058" t="s">
        <v>11469</v>
      </c>
      <c r="E5058" t="s">
        <v>11469</v>
      </c>
      <c r="F5058" t="s">
        <v>49</v>
      </c>
      <c r="G5058" t="s">
        <v>11470</v>
      </c>
      <c r="H5058" t="s">
        <v>11471</v>
      </c>
      <c r="J5058" t="str">
        <f>HYPERLINK("https://www.youtube.com/watch?v=wSDerLSTUwo","https://www.youtube.com/watch?v=wSDerLSTUwo")</f>
        <v>https://www.youtube.com/watch?v=wSDerLSTUwo</v>
      </c>
      <c r="O5058">
        <v>0</v>
      </c>
      <c r="P5058">
        <v>0</v>
      </c>
      <c r="Q5058">
        <v>0</v>
      </c>
      <c r="S5058">
        <v>0</v>
      </c>
      <c r="T5058">
        <v>0</v>
      </c>
      <c r="U5058">
        <v>0</v>
      </c>
      <c r="W5058" t="s">
        <v>106</v>
      </c>
    </row>
    <row r="5059" spans="1:45" x14ac:dyDescent="0.35">
      <c r="A5059" t="s">
        <v>45</v>
      </c>
      <c r="B5059" t="s">
        <v>11414</v>
      </c>
      <c r="C5059" t="s">
        <v>47</v>
      </c>
      <c r="D5059" t="s">
        <v>11472</v>
      </c>
      <c r="E5059" t="s">
        <v>11472</v>
      </c>
      <c r="F5059" t="s">
        <v>49</v>
      </c>
      <c r="G5059" t="s">
        <v>253</v>
      </c>
      <c r="H5059" t="s">
        <v>11473</v>
      </c>
      <c r="J5059" t="str">
        <f>HYPERLINK("https://www.facebook.com/357267201017935/inbox/6676058172472108/","https://www.facebook.com/357267201017935/inbox/6676058172472108/")</f>
        <v>https://www.facebook.com/357267201017935/inbox/6676058172472108/</v>
      </c>
      <c r="O5059">
        <v>0</v>
      </c>
      <c r="P5059">
        <v>0</v>
      </c>
      <c r="Q5059">
        <v>0</v>
      </c>
      <c r="S5059">
        <v>0</v>
      </c>
      <c r="T5059">
        <v>0</v>
      </c>
      <c r="U5059">
        <v>0</v>
      </c>
      <c r="W5059" t="s">
        <v>52</v>
      </c>
    </row>
    <row r="5060" spans="1:45" x14ac:dyDescent="0.35">
      <c r="A5060" t="s">
        <v>45</v>
      </c>
      <c r="B5060" t="s">
        <v>11414</v>
      </c>
      <c r="C5060" t="s">
        <v>47</v>
      </c>
      <c r="D5060" t="s">
        <v>11472</v>
      </c>
      <c r="E5060" t="s">
        <v>11472</v>
      </c>
      <c r="F5060" t="s">
        <v>49</v>
      </c>
      <c r="G5060" t="s">
        <v>11474</v>
      </c>
      <c r="H5060" t="s">
        <v>11475</v>
      </c>
      <c r="J5060" t="str">
        <f>HYPERLINK("https://www.facebook.com/357267201017935/inbox/6676058172472108/","https://www.facebook.com/357267201017935/inbox/6676058172472108/")</f>
        <v>https://www.facebook.com/357267201017935/inbox/6676058172472108/</v>
      </c>
      <c r="O5060">
        <v>0</v>
      </c>
      <c r="P5060">
        <v>0</v>
      </c>
      <c r="Q5060">
        <v>0</v>
      </c>
      <c r="S5060">
        <v>0</v>
      </c>
      <c r="T5060">
        <v>0</v>
      </c>
      <c r="U5060">
        <v>0</v>
      </c>
      <c r="W5060" t="s">
        <v>52</v>
      </c>
      <c r="AS5060" t="s">
        <v>375</v>
      </c>
    </row>
    <row r="5061" spans="1:45" x14ac:dyDescent="0.35">
      <c r="A5061" t="s">
        <v>45</v>
      </c>
      <c r="B5061" t="s">
        <v>11414</v>
      </c>
      <c r="C5061" t="s">
        <v>47</v>
      </c>
      <c r="D5061" t="s">
        <v>10816</v>
      </c>
      <c r="E5061" t="s">
        <v>10816</v>
      </c>
      <c r="F5061" t="s">
        <v>49</v>
      </c>
      <c r="G5061" t="s">
        <v>45</v>
      </c>
      <c r="H5061" t="s">
        <v>11476</v>
      </c>
      <c r="J5061" t="str">
        <f>HYPERLINK("https://www.facebook.com/454965103328545/posts/750007137157672?comment_id=405731985135432&amp;reply_comment_id=314881000950480","https://www.facebook.com/454965103328545/posts/750007137157672?comment_id=405731985135432&amp;reply_comment_id=314881000950480")</f>
        <v>https://www.facebook.com/454965103328545/posts/750007137157672?comment_id=405731985135432&amp;reply_comment_id=314881000950480</v>
      </c>
      <c r="O5061">
        <v>0</v>
      </c>
      <c r="P5061">
        <v>0</v>
      </c>
      <c r="Q5061">
        <v>0</v>
      </c>
      <c r="S5061">
        <v>0</v>
      </c>
      <c r="T5061">
        <v>0</v>
      </c>
      <c r="U5061">
        <v>0</v>
      </c>
      <c r="W5061" t="s">
        <v>106</v>
      </c>
      <c r="AS5061" t="s">
        <v>375</v>
      </c>
    </row>
    <row r="5062" spans="1:45" x14ac:dyDescent="0.35">
      <c r="A5062" t="s">
        <v>45</v>
      </c>
      <c r="B5062" t="s">
        <v>11414</v>
      </c>
      <c r="C5062" t="s">
        <v>47</v>
      </c>
      <c r="D5062" t="s">
        <v>45</v>
      </c>
      <c r="E5062" t="s">
        <v>45</v>
      </c>
      <c r="F5062" t="s">
        <v>49</v>
      </c>
      <c r="G5062" t="s">
        <v>5173</v>
      </c>
      <c r="H5062" t="s">
        <v>11477</v>
      </c>
      <c r="J5062" t="str">
        <f>HYPERLINK("https://www.facebook.com/454965103328545/posts/751345700357149?comment_id=398704175935093&amp;reply_comment_id=914267850434678","https://www.facebook.com/454965103328545/posts/751345700357149?comment_id=398704175935093&amp;reply_comment_id=914267850434678")</f>
        <v>https://www.facebook.com/454965103328545/posts/751345700357149?comment_id=398704175935093&amp;reply_comment_id=914267850434678</v>
      </c>
      <c r="O5062">
        <v>0</v>
      </c>
      <c r="P5062">
        <v>0</v>
      </c>
      <c r="Q5062">
        <v>0</v>
      </c>
      <c r="S5062">
        <v>0</v>
      </c>
      <c r="T5062">
        <v>0</v>
      </c>
      <c r="U5062">
        <v>0</v>
      </c>
      <c r="W5062" t="s">
        <v>62</v>
      </c>
    </row>
    <row r="5063" spans="1:45" x14ac:dyDescent="0.35">
      <c r="A5063" t="s">
        <v>45</v>
      </c>
      <c r="B5063" t="s">
        <v>11414</v>
      </c>
      <c r="C5063" t="s">
        <v>47</v>
      </c>
      <c r="D5063" t="s">
        <v>45</v>
      </c>
      <c r="E5063" t="s">
        <v>45</v>
      </c>
      <c r="F5063" t="s">
        <v>49</v>
      </c>
      <c r="G5063" t="s">
        <v>11478</v>
      </c>
      <c r="H5063" t="s">
        <v>11479</v>
      </c>
      <c r="J5063" t="str">
        <f>HYPERLINK("https://www.facebook.com/357267201017935/inbox/6912308485513741/","https://www.facebook.com/357267201017935/inbox/6912308485513741/")</f>
        <v>https://www.facebook.com/357267201017935/inbox/6912308485513741/</v>
      </c>
      <c r="O5063">
        <v>0</v>
      </c>
      <c r="P5063">
        <v>0</v>
      </c>
      <c r="Q5063">
        <v>0</v>
      </c>
      <c r="S5063">
        <v>0</v>
      </c>
      <c r="T5063">
        <v>0</v>
      </c>
      <c r="U5063">
        <v>0</v>
      </c>
      <c r="W5063" t="s">
        <v>52</v>
      </c>
      <c r="AP5063" t="s">
        <v>101</v>
      </c>
    </row>
    <row r="5064" spans="1:45" x14ac:dyDescent="0.35">
      <c r="A5064" t="s">
        <v>45</v>
      </c>
      <c r="B5064" t="s">
        <v>11414</v>
      </c>
      <c r="C5064" t="s">
        <v>47</v>
      </c>
      <c r="D5064" t="s">
        <v>45</v>
      </c>
      <c r="E5064" t="s">
        <v>45</v>
      </c>
      <c r="F5064" t="s">
        <v>49</v>
      </c>
      <c r="G5064" t="s">
        <v>11480</v>
      </c>
      <c r="H5064" t="s">
        <v>11481</v>
      </c>
      <c r="J5064" t="str">
        <f>HYPERLINK("https://www.facebook.com/357267201017935/inbox/6912527695491820/","https://www.facebook.com/357267201017935/inbox/6912527695491820/")</f>
        <v>https://www.facebook.com/357267201017935/inbox/6912527695491820/</v>
      </c>
      <c r="O5064">
        <v>0</v>
      </c>
      <c r="P5064">
        <v>0</v>
      </c>
      <c r="Q5064">
        <v>0</v>
      </c>
      <c r="S5064">
        <v>0</v>
      </c>
      <c r="T5064">
        <v>0</v>
      </c>
      <c r="U5064">
        <v>0</v>
      </c>
      <c r="W5064" t="s">
        <v>52</v>
      </c>
    </row>
    <row r="5065" spans="1:45" x14ac:dyDescent="0.35">
      <c r="A5065" t="s">
        <v>45</v>
      </c>
      <c r="B5065" t="s">
        <v>11414</v>
      </c>
      <c r="C5065" t="s">
        <v>139</v>
      </c>
      <c r="D5065" t="s">
        <v>190</v>
      </c>
      <c r="E5065" t="s">
        <v>45</v>
      </c>
      <c r="F5065" t="s">
        <v>49</v>
      </c>
      <c r="G5065" t="s">
        <v>11482</v>
      </c>
      <c r="H5065" t="s">
        <v>11483</v>
      </c>
      <c r="J5065" t="str">
        <f>HYPERLINK("https://twitter.com/FinoPaymntsBank/status/1747199038532002197","https://twitter.com/FinoPaymntsBank/status/1747199038532002197")</f>
        <v>https://twitter.com/FinoPaymntsBank/status/1747199038532002197</v>
      </c>
      <c r="K5065" t="s">
        <v>145</v>
      </c>
      <c r="O5065">
        <v>0</v>
      </c>
      <c r="P5065">
        <v>0</v>
      </c>
      <c r="Q5065">
        <v>8308</v>
      </c>
      <c r="R5065" t="s">
        <v>193</v>
      </c>
      <c r="S5065">
        <v>0</v>
      </c>
      <c r="T5065">
        <v>0</v>
      </c>
      <c r="U5065">
        <v>0</v>
      </c>
      <c r="W5065" t="s">
        <v>146</v>
      </c>
    </row>
    <row r="5066" spans="1:45" x14ac:dyDescent="0.35">
      <c r="A5066" t="s">
        <v>45</v>
      </c>
      <c r="B5066" t="s">
        <v>11414</v>
      </c>
      <c r="C5066" t="s">
        <v>139</v>
      </c>
      <c r="D5066" t="s">
        <v>190</v>
      </c>
      <c r="E5066" t="s">
        <v>45</v>
      </c>
      <c r="F5066" t="s">
        <v>49</v>
      </c>
      <c r="G5066" t="s">
        <v>11484</v>
      </c>
      <c r="H5066" t="s">
        <v>11485</v>
      </c>
      <c r="J5066" t="str">
        <f>HYPERLINK("https://twitter.com/FinoPaymntsBank/status/1747198651628466609","https://twitter.com/FinoPaymntsBank/status/1747198651628466609")</f>
        <v>https://twitter.com/FinoPaymntsBank/status/1747198651628466609</v>
      </c>
      <c r="K5066" t="s">
        <v>145</v>
      </c>
      <c r="O5066">
        <v>0</v>
      </c>
      <c r="P5066">
        <v>0</v>
      </c>
      <c r="Q5066">
        <v>8308</v>
      </c>
      <c r="R5066" t="s">
        <v>193</v>
      </c>
      <c r="S5066">
        <v>0</v>
      </c>
      <c r="T5066">
        <v>0</v>
      </c>
      <c r="U5066">
        <v>0</v>
      </c>
      <c r="W5066" t="s">
        <v>146</v>
      </c>
    </row>
    <row r="5067" spans="1:45" x14ac:dyDescent="0.35">
      <c r="A5067" t="s">
        <v>45</v>
      </c>
      <c r="B5067" t="s">
        <v>11414</v>
      </c>
      <c r="C5067" t="s">
        <v>47</v>
      </c>
      <c r="D5067" t="s">
        <v>45</v>
      </c>
      <c r="E5067" t="s">
        <v>45</v>
      </c>
      <c r="F5067" t="s">
        <v>49</v>
      </c>
      <c r="G5067" t="s">
        <v>6744</v>
      </c>
      <c r="H5067" t="s">
        <v>11486</v>
      </c>
      <c r="J5067" t="str">
        <f>HYPERLINK("https://www.facebook.com/454965103328545/posts/752461300245589?comment_id=344446761814420&amp;reply_comment_id=903975014768527","https://www.facebook.com/454965103328545/posts/752461300245589?comment_id=344446761814420&amp;reply_comment_id=903975014768527")</f>
        <v>https://www.facebook.com/454965103328545/posts/752461300245589?comment_id=344446761814420&amp;reply_comment_id=903975014768527</v>
      </c>
      <c r="O5067">
        <v>0</v>
      </c>
      <c r="P5067">
        <v>0</v>
      </c>
      <c r="Q5067">
        <v>0</v>
      </c>
      <c r="S5067">
        <v>0</v>
      </c>
      <c r="T5067">
        <v>0</v>
      </c>
      <c r="U5067">
        <v>0</v>
      </c>
      <c r="W5067" t="s">
        <v>62</v>
      </c>
    </row>
    <row r="5068" spans="1:45" x14ac:dyDescent="0.35">
      <c r="A5068" t="s">
        <v>45</v>
      </c>
      <c r="B5068" t="s">
        <v>11414</v>
      </c>
      <c r="C5068" t="s">
        <v>139</v>
      </c>
      <c r="D5068" t="s">
        <v>190</v>
      </c>
      <c r="E5068" t="s">
        <v>45</v>
      </c>
      <c r="F5068" t="s">
        <v>49</v>
      </c>
      <c r="G5068" t="s">
        <v>11487</v>
      </c>
      <c r="H5068" t="s">
        <v>11488</v>
      </c>
      <c r="J5068" t="str">
        <f>HYPERLINK("https://twitter.com/FinoPaymntsBank/status/1747197587927757139","https://twitter.com/FinoPaymntsBank/status/1747197587927757139")</f>
        <v>https://twitter.com/FinoPaymntsBank/status/1747197587927757139</v>
      </c>
      <c r="K5068" t="s">
        <v>145</v>
      </c>
      <c r="O5068">
        <v>0</v>
      </c>
      <c r="P5068">
        <v>0</v>
      </c>
      <c r="Q5068">
        <v>8308</v>
      </c>
      <c r="R5068" t="s">
        <v>193</v>
      </c>
      <c r="S5068">
        <v>0</v>
      </c>
      <c r="T5068">
        <v>0</v>
      </c>
      <c r="U5068">
        <v>0</v>
      </c>
      <c r="W5068" t="s">
        <v>146</v>
      </c>
    </row>
    <row r="5069" spans="1:45" x14ac:dyDescent="0.35">
      <c r="A5069" t="s">
        <v>45</v>
      </c>
      <c r="B5069" t="s">
        <v>11414</v>
      </c>
      <c r="C5069" t="s">
        <v>47</v>
      </c>
      <c r="D5069" t="s">
        <v>45</v>
      </c>
      <c r="E5069" t="s">
        <v>45</v>
      </c>
      <c r="F5069" t="s">
        <v>49</v>
      </c>
      <c r="G5069" t="s">
        <v>11489</v>
      </c>
      <c r="H5069" t="s">
        <v>11490</v>
      </c>
      <c r="J5069" t="str">
        <f>HYPERLINK("https://www.facebook.com/357267201017935/inbox/6918553994889190/","https://www.facebook.com/357267201017935/inbox/6918553994889190/")</f>
        <v>https://www.facebook.com/357267201017935/inbox/6918553994889190/</v>
      </c>
      <c r="O5069">
        <v>0</v>
      </c>
      <c r="P5069">
        <v>0</v>
      </c>
      <c r="Q5069">
        <v>0</v>
      </c>
      <c r="S5069">
        <v>0</v>
      </c>
      <c r="T5069">
        <v>0</v>
      </c>
      <c r="U5069">
        <v>0</v>
      </c>
      <c r="W5069" t="s">
        <v>52</v>
      </c>
    </row>
    <row r="5070" spans="1:45" x14ac:dyDescent="0.35">
      <c r="A5070" t="s">
        <v>45</v>
      </c>
      <c r="B5070" t="s">
        <v>11414</v>
      </c>
      <c r="C5070" t="s">
        <v>47</v>
      </c>
      <c r="D5070" t="s">
        <v>45</v>
      </c>
      <c r="E5070" t="s">
        <v>45</v>
      </c>
      <c r="F5070" t="s">
        <v>49</v>
      </c>
      <c r="G5070" t="s">
        <v>11489</v>
      </c>
      <c r="H5070" t="s">
        <v>11491</v>
      </c>
      <c r="J5070" t="str">
        <f>HYPERLINK("https://www.facebook.com/357267201017935/inbox/6918553994889190/","https://www.facebook.com/357267201017935/inbox/6918553994889190/")</f>
        <v>https://www.facebook.com/357267201017935/inbox/6918553994889190/</v>
      </c>
      <c r="O5070">
        <v>0</v>
      </c>
      <c r="P5070">
        <v>0</v>
      </c>
      <c r="Q5070">
        <v>0</v>
      </c>
      <c r="S5070">
        <v>0</v>
      </c>
      <c r="T5070">
        <v>0</v>
      </c>
      <c r="U5070">
        <v>0</v>
      </c>
      <c r="W5070" t="s">
        <v>52</v>
      </c>
    </row>
    <row r="5071" spans="1:45" x14ac:dyDescent="0.35">
      <c r="A5071" t="s">
        <v>45</v>
      </c>
      <c r="B5071" t="s">
        <v>11414</v>
      </c>
      <c r="C5071" t="s">
        <v>47</v>
      </c>
      <c r="D5071" t="s">
        <v>45</v>
      </c>
      <c r="E5071" t="s">
        <v>45</v>
      </c>
      <c r="F5071" t="s">
        <v>49</v>
      </c>
      <c r="G5071" t="s">
        <v>11489</v>
      </c>
      <c r="H5071" t="s">
        <v>11492</v>
      </c>
      <c r="J5071" t="str">
        <f>HYPERLINK("https://www.facebook.com/357267201017935/inbox/6918553994889190/","https://www.facebook.com/357267201017935/inbox/6918553994889190/")</f>
        <v>https://www.facebook.com/357267201017935/inbox/6918553994889190/</v>
      </c>
      <c r="O5071">
        <v>0</v>
      </c>
      <c r="P5071">
        <v>0</v>
      </c>
      <c r="Q5071">
        <v>0</v>
      </c>
      <c r="S5071">
        <v>0</v>
      </c>
      <c r="T5071">
        <v>0</v>
      </c>
      <c r="U5071">
        <v>0</v>
      </c>
      <c r="W5071" t="s">
        <v>52</v>
      </c>
    </row>
    <row r="5072" spans="1:45" x14ac:dyDescent="0.35">
      <c r="A5072" t="s">
        <v>45</v>
      </c>
      <c r="B5072" t="s">
        <v>11414</v>
      </c>
      <c r="C5072" t="s">
        <v>47</v>
      </c>
      <c r="D5072" t="s">
        <v>45</v>
      </c>
      <c r="E5072" t="s">
        <v>45</v>
      </c>
      <c r="F5072" t="s">
        <v>49</v>
      </c>
      <c r="G5072" t="s">
        <v>11493</v>
      </c>
      <c r="H5072" t="s">
        <v>11494</v>
      </c>
      <c r="J5072" t="str">
        <f>HYPERLINK("https://www.facebook.com/357267201017935/inbox/6918553994889190/","https://www.facebook.com/357267201017935/inbox/6918553994889190/")</f>
        <v>https://www.facebook.com/357267201017935/inbox/6918553994889190/</v>
      </c>
      <c r="O5072">
        <v>0</v>
      </c>
      <c r="P5072">
        <v>0</v>
      </c>
      <c r="Q5072">
        <v>0</v>
      </c>
      <c r="S5072">
        <v>0</v>
      </c>
      <c r="T5072">
        <v>0</v>
      </c>
      <c r="U5072">
        <v>0</v>
      </c>
      <c r="W5072" t="s">
        <v>52</v>
      </c>
    </row>
    <row r="5073" spans="1:42" x14ac:dyDescent="0.35">
      <c r="A5073" t="s">
        <v>45</v>
      </c>
      <c r="B5073" t="s">
        <v>11414</v>
      </c>
      <c r="C5073" t="s">
        <v>139</v>
      </c>
      <c r="D5073" t="s">
        <v>190</v>
      </c>
      <c r="E5073" t="s">
        <v>45</v>
      </c>
      <c r="F5073" t="s">
        <v>49</v>
      </c>
      <c r="G5073" t="s">
        <v>11140</v>
      </c>
      <c r="H5073" t="s">
        <v>11495</v>
      </c>
      <c r="J5073" t="str">
        <f>HYPERLINK("https://twitter.com/FinoPaymntsBank/status/1747196781539279253","https://twitter.com/FinoPaymntsBank/status/1747196781539279253")</f>
        <v>https://twitter.com/FinoPaymntsBank/status/1747196781539279253</v>
      </c>
      <c r="K5073" t="s">
        <v>145</v>
      </c>
      <c r="O5073">
        <v>0</v>
      </c>
      <c r="P5073">
        <v>0</v>
      </c>
      <c r="Q5073">
        <v>8308</v>
      </c>
      <c r="R5073" t="s">
        <v>193</v>
      </c>
      <c r="S5073">
        <v>0</v>
      </c>
      <c r="T5073">
        <v>0</v>
      </c>
      <c r="U5073">
        <v>0</v>
      </c>
      <c r="W5073" t="s">
        <v>146</v>
      </c>
    </row>
    <row r="5074" spans="1:42" x14ac:dyDescent="0.35">
      <c r="A5074" t="s">
        <v>45</v>
      </c>
      <c r="B5074" t="s">
        <v>11414</v>
      </c>
      <c r="C5074" t="s">
        <v>47</v>
      </c>
      <c r="D5074" t="s">
        <v>45</v>
      </c>
      <c r="E5074" t="s">
        <v>45</v>
      </c>
      <c r="F5074" t="s">
        <v>49</v>
      </c>
      <c r="G5074" t="s">
        <v>11496</v>
      </c>
      <c r="H5074" t="s">
        <v>11497</v>
      </c>
      <c r="J5074" t="str">
        <f>HYPERLINK("https://www.facebook.com/357267201017935/inbox/6676058172472108/","https://www.facebook.com/357267201017935/inbox/6676058172472108/")</f>
        <v>https://www.facebook.com/357267201017935/inbox/6676058172472108/</v>
      </c>
      <c r="O5074">
        <v>0</v>
      </c>
      <c r="P5074">
        <v>0</v>
      </c>
      <c r="Q5074">
        <v>0</v>
      </c>
      <c r="S5074">
        <v>0</v>
      </c>
      <c r="T5074">
        <v>0</v>
      </c>
      <c r="U5074">
        <v>0</v>
      </c>
      <c r="W5074" t="s">
        <v>52</v>
      </c>
    </row>
    <row r="5075" spans="1:42" x14ac:dyDescent="0.35">
      <c r="A5075" t="s">
        <v>45</v>
      </c>
      <c r="B5075" t="s">
        <v>11414</v>
      </c>
      <c r="C5075" t="s">
        <v>47</v>
      </c>
      <c r="D5075" t="s">
        <v>45</v>
      </c>
      <c r="E5075" t="s">
        <v>45</v>
      </c>
      <c r="F5075" t="s">
        <v>49</v>
      </c>
      <c r="G5075" t="s">
        <v>11498</v>
      </c>
      <c r="H5075" t="s">
        <v>11499</v>
      </c>
      <c r="J5075" t="str">
        <f>HYPERLINK("https://www.facebook.com/454965103328545/posts/752461300245589?comment_id=913807123652158&amp;reply_comment_id=1197281981682062","https://www.facebook.com/454965103328545/posts/752461300245589?comment_id=913807123652158&amp;reply_comment_id=1197281981682062")</f>
        <v>https://www.facebook.com/454965103328545/posts/752461300245589?comment_id=913807123652158&amp;reply_comment_id=1197281981682062</v>
      </c>
      <c r="O5075">
        <v>0</v>
      </c>
      <c r="P5075">
        <v>0</v>
      </c>
      <c r="Q5075">
        <v>0</v>
      </c>
      <c r="S5075">
        <v>0</v>
      </c>
      <c r="T5075">
        <v>0</v>
      </c>
      <c r="U5075">
        <v>0</v>
      </c>
      <c r="W5075" t="s">
        <v>62</v>
      </c>
      <c r="AP5075" t="s">
        <v>101</v>
      </c>
    </row>
    <row r="5076" spans="1:42" x14ac:dyDescent="0.35">
      <c r="A5076" t="s">
        <v>45</v>
      </c>
      <c r="B5076" t="s">
        <v>11414</v>
      </c>
      <c r="C5076" t="s">
        <v>47</v>
      </c>
      <c r="D5076" t="s">
        <v>45</v>
      </c>
      <c r="E5076" t="s">
        <v>45</v>
      </c>
      <c r="F5076" t="s">
        <v>49</v>
      </c>
      <c r="G5076" t="s">
        <v>11500</v>
      </c>
      <c r="H5076" t="s">
        <v>11501</v>
      </c>
      <c r="J5076" t="str">
        <f>HYPERLINK("https://www.facebook.com/357267201017935/inbox/6920515678026355/","https://www.facebook.com/357267201017935/inbox/6920515678026355/")</f>
        <v>https://www.facebook.com/357267201017935/inbox/6920515678026355/</v>
      </c>
      <c r="O5076">
        <v>0</v>
      </c>
      <c r="P5076">
        <v>0</v>
      </c>
      <c r="Q5076">
        <v>0</v>
      </c>
      <c r="S5076">
        <v>0</v>
      </c>
      <c r="T5076">
        <v>0</v>
      </c>
      <c r="U5076">
        <v>0</v>
      </c>
      <c r="W5076" t="s">
        <v>52</v>
      </c>
    </row>
    <row r="5077" spans="1:42" x14ac:dyDescent="0.35">
      <c r="A5077" t="s">
        <v>45</v>
      </c>
      <c r="B5077" t="s">
        <v>11414</v>
      </c>
      <c r="C5077" t="s">
        <v>47</v>
      </c>
      <c r="D5077" t="s">
        <v>45</v>
      </c>
      <c r="E5077" t="s">
        <v>45</v>
      </c>
      <c r="F5077" t="s">
        <v>49</v>
      </c>
      <c r="G5077" t="s">
        <v>11502</v>
      </c>
      <c r="H5077" t="s">
        <v>11503</v>
      </c>
      <c r="J5077" t="str">
        <f>HYPERLINK("https://www.facebook.com/357267201017935/inbox/6920515678026355/","https://www.facebook.com/357267201017935/inbox/6920515678026355/")</f>
        <v>https://www.facebook.com/357267201017935/inbox/6920515678026355/</v>
      </c>
      <c r="O5077">
        <v>0</v>
      </c>
      <c r="P5077">
        <v>0</v>
      </c>
      <c r="Q5077">
        <v>0</v>
      </c>
      <c r="S5077">
        <v>0</v>
      </c>
      <c r="T5077">
        <v>0</v>
      </c>
      <c r="U5077">
        <v>0</v>
      </c>
      <c r="W5077" t="s">
        <v>52</v>
      </c>
    </row>
    <row r="5078" spans="1:42" x14ac:dyDescent="0.35">
      <c r="A5078" t="s">
        <v>45</v>
      </c>
      <c r="B5078" t="s">
        <v>11414</v>
      </c>
      <c r="C5078" t="s">
        <v>47</v>
      </c>
      <c r="D5078" t="s">
        <v>11504</v>
      </c>
      <c r="E5078" t="s">
        <v>11504</v>
      </c>
      <c r="F5078" t="s">
        <v>49</v>
      </c>
      <c r="G5078" t="s">
        <v>11505</v>
      </c>
      <c r="H5078" t="s">
        <v>11506</v>
      </c>
      <c r="J5078" t="str">
        <f>HYPERLINK("https://www.facebook.com/357267201017935/inbox/6922935487784374/","https://www.facebook.com/357267201017935/inbox/6922935487784374/")</f>
        <v>https://www.facebook.com/357267201017935/inbox/6922935487784374/</v>
      </c>
      <c r="O5078">
        <v>0</v>
      </c>
      <c r="P5078">
        <v>0</v>
      </c>
      <c r="Q5078">
        <v>0</v>
      </c>
      <c r="S5078">
        <v>0</v>
      </c>
      <c r="T5078">
        <v>0</v>
      </c>
      <c r="U5078">
        <v>0</v>
      </c>
      <c r="W5078" t="s">
        <v>52</v>
      </c>
    </row>
    <row r="5079" spans="1:42" x14ac:dyDescent="0.35">
      <c r="A5079" t="s">
        <v>45</v>
      </c>
      <c r="B5079" t="s">
        <v>11414</v>
      </c>
      <c r="C5079" t="s">
        <v>47</v>
      </c>
      <c r="D5079" t="s">
        <v>11507</v>
      </c>
      <c r="E5079" t="s">
        <v>11507</v>
      </c>
      <c r="F5079" t="s">
        <v>49</v>
      </c>
      <c r="G5079" t="s">
        <v>11508</v>
      </c>
      <c r="H5079" t="s">
        <v>11509</v>
      </c>
      <c r="J5079" t="str">
        <f>HYPERLINK("https://www.facebook.com/357267201017935/inbox/6926252514119338/","https://www.facebook.com/357267201017935/inbox/6926252514119338/")</f>
        <v>https://www.facebook.com/357267201017935/inbox/6926252514119338/</v>
      </c>
      <c r="O5079">
        <v>0</v>
      </c>
      <c r="P5079">
        <v>0</v>
      </c>
      <c r="Q5079">
        <v>0</v>
      </c>
      <c r="S5079">
        <v>0</v>
      </c>
      <c r="T5079">
        <v>0</v>
      </c>
      <c r="U5079">
        <v>0</v>
      </c>
      <c r="W5079" t="s">
        <v>52</v>
      </c>
    </row>
    <row r="5080" spans="1:42" x14ac:dyDescent="0.35">
      <c r="A5080" t="s">
        <v>45</v>
      </c>
      <c r="B5080" t="s">
        <v>11414</v>
      </c>
      <c r="C5080" t="s">
        <v>47</v>
      </c>
      <c r="D5080" t="s">
        <v>45</v>
      </c>
      <c r="E5080" t="s">
        <v>45</v>
      </c>
      <c r="F5080" t="s">
        <v>49</v>
      </c>
      <c r="G5080" t="s">
        <v>11510</v>
      </c>
      <c r="H5080" t="s">
        <v>11511</v>
      </c>
      <c r="J5080" t="str">
        <f>HYPERLINK("https://www.facebook.com/357267201017935/inbox/6922457354498854/","https://www.facebook.com/357267201017935/inbox/6922457354498854/")</f>
        <v>https://www.facebook.com/357267201017935/inbox/6922457354498854/</v>
      </c>
      <c r="O5080">
        <v>0</v>
      </c>
      <c r="P5080">
        <v>0</v>
      </c>
      <c r="Q5080">
        <v>0</v>
      </c>
      <c r="S5080">
        <v>0</v>
      </c>
      <c r="T5080">
        <v>0</v>
      </c>
      <c r="U5080">
        <v>0</v>
      </c>
      <c r="W5080" t="s">
        <v>52</v>
      </c>
    </row>
    <row r="5081" spans="1:42" x14ac:dyDescent="0.35">
      <c r="A5081" t="s">
        <v>45</v>
      </c>
      <c r="B5081" t="s">
        <v>11414</v>
      </c>
      <c r="C5081" t="s">
        <v>47</v>
      </c>
      <c r="D5081" t="s">
        <v>11504</v>
      </c>
      <c r="E5081" t="s">
        <v>11504</v>
      </c>
      <c r="F5081" t="s">
        <v>49</v>
      </c>
      <c r="G5081" t="s">
        <v>11512</v>
      </c>
      <c r="H5081" t="s">
        <v>11513</v>
      </c>
      <c r="J5081" t="str">
        <f>HYPERLINK("https://www.facebook.com/357267201017935/inbox/6922935487784374/","https://www.facebook.com/357267201017935/inbox/6922935487784374/")</f>
        <v>https://www.facebook.com/357267201017935/inbox/6922935487784374/</v>
      </c>
      <c r="O5081">
        <v>0</v>
      </c>
      <c r="P5081">
        <v>0</v>
      </c>
      <c r="Q5081">
        <v>0</v>
      </c>
      <c r="S5081">
        <v>0</v>
      </c>
      <c r="T5081">
        <v>0</v>
      </c>
      <c r="U5081">
        <v>0</v>
      </c>
      <c r="W5081" t="s">
        <v>52</v>
      </c>
      <c r="AP5081" t="s">
        <v>147</v>
      </c>
    </row>
    <row r="5082" spans="1:42" x14ac:dyDescent="0.35">
      <c r="A5082" t="s">
        <v>45</v>
      </c>
      <c r="B5082" t="s">
        <v>11414</v>
      </c>
      <c r="C5082" t="s">
        <v>47</v>
      </c>
      <c r="D5082" t="s">
        <v>11507</v>
      </c>
      <c r="E5082" t="s">
        <v>11507</v>
      </c>
      <c r="F5082" t="s">
        <v>49</v>
      </c>
      <c r="G5082" t="s">
        <v>50</v>
      </c>
      <c r="H5082" t="s">
        <v>11514</v>
      </c>
      <c r="J5082" t="str">
        <f>HYPERLINK("https://www.facebook.com/357267201017935/inbox/6926252514119338/","https://www.facebook.com/357267201017935/inbox/6926252514119338/")</f>
        <v>https://www.facebook.com/357267201017935/inbox/6926252514119338/</v>
      </c>
      <c r="O5082">
        <v>0</v>
      </c>
      <c r="P5082">
        <v>0</v>
      </c>
      <c r="Q5082">
        <v>0</v>
      </c>
      <c r="S5082">
        <v>0</v>
      </c>
      <c r="T5082">
        <v>0</v>
      </c>
      <c r="U5082">
        <v>0</v>
      </c>
      <c r="W5082" t="s">
        <v>52</v>
      </c>
    </row>
    <row r="5083" spans="1:42" x14ac:dyDescent="0.35">
      <c r="A5083" t="s">
        <v>45</v>
      </c>
      <c r="B5083" t="s">
        <v>11414</v>
      </c>
      <c r="C5083" t="s">
        <v>47</v>
      </c>
      <c r="D5083" t="s">
        <v>45</v>
      </c>
      <c r="E5083" t="s">
        <v>45</v>
      </c>
      <c r="F5083" t="s">
        <v>49</v>
      </c>
      <c r="G5083" t="s">
        <v>11515</v>
      </c>
      <c r="H5083" t="s">
        <v>11516</v>
      </c>
      <c r="J5083" t="str">
        <f>HYPERLINK("https://www.facebook.com/357267201017935/inbox/6922457354498854/","https://www.facebook.com/357267201017935/inbox/6922457354498854/")</f>
        <v>https://www.facebook.com/357267201017935/inbox/6922457354498854/</v>
      </c>
      <c r="O5083">
        <v>0</v>
      </c>
      <c r="P5083">
        <v>0</v>
      </c>
      <c r="Q5083">
        <v>0</v>
      </c>
      <c r="S5083">
        <v>0</v>
      </c>
      <c r="T5083">
        <v>0</v>
      </c>
      <c r="U5083">
        <v>0</v>
      </c>
      <c r="W5083" t="s">
        <v>52</v>
      </c>
      <c r="AP5083" t="s">
        <v>101</v>
      </c>
    </row>
    <row r="5084" spans="1:42" x14ac:dyDescent="0.35">
      <c r="A5084" t="s">
        <v>45</v>
      </c>
      <c r="B5084" t="s">
        <v>11414</v>
      </c>
      <c r="C5084" t="s">
        <v>47</v>
      </c>
      <c r="D5084" t="s">
        <v>45</v>
      </c>
      <c r="E5084" t="s">
        <v>45</v>
      </c>
      <c r="F5084" t="s">
        <v>49</v>
      </c>
      <c r="G5084" t="s">
        <v>11517</v>
      </c>
      <c r="H5084" t="s">
        <v>11518</v>
      </c>
      <c r="J5084" t="str">
        <f>HYPERLINK("https://www.facebook.com/357267201017935/posts/3418723634872261/?comment_id=937729980560539&amp;reply_comment_id=317782153956038","https://www.facebook.com/357267201017935/posts/3418723634872261/?comment_id=937729980560539&amp;reply_comment_id=317782153956038")</f>
        <v>https://www.facebook.com/357267201017935/posts/3418723634872261/?comment_id=937729980560539&amp;reply_comment_id=317782153956038</v>
      </c>
      <c r="O5084">
        <v>0</v>
      </c>
      <c r="P5084">
        <v>0</v>
      </c>
      <c r="Q5084">
        <v>0</v>
      </c>
      <c r="S5084">
        <v>0</v>
      </c>
      <c r="T5084">
        <v>0</v>
      </c>
      <c r="U5084">
        <v>0</v>
      </c>
      <c r="W5084" t="s">
        <v>62</v>
      </c>
    </row>
    <row r="5085" spans="1:42" x14ac:dyDescent="0.35">
      <c r="A5085" t="s">
        <v>45</v>
      </c>
      <c r="B5085" t="s">
        <v>11414</v>
      </c>
      <c r="C5085" t="s">
        <v>47</v>
      </c>
      <c r="D5085" t="s">
        <v>45</v>
      </c>
      <c r="E5085" t="s">
        <v>45</v>
      </c>
      <c r="F5085" t="s">
        <v>49</v>
      </c>
      <c r="G5085" t="s">
        <v>11519</v>
      </c>
      <c r="H5085" t="s">
        <v>11520</v>
      </c>
      <c r="J5085" t="str">
        <f>HYPERLINK("https://www.facebook.com/454965103328545/posts/752510810240638?comment_id=1415104702411650&amp;reply_comment_id=358508500227436","https://www.facebook.com/454965103328545/posts/752510810240638?comment_id=1415104702411650&amp;reply_comment_id=358508500227436")</f>
        <v>https://www.facebook.com/454965103328545/posts/752510810240638?comment_id=1415104702411650&amp;reply_comment_id=358508500227436</v>
      </c>
      <c r="O5085">
        <v>0</v>
      </c>
      <c r="P5085">
        <v>0</v>
      </c>
      <c r="Q5085">
        <v>0</v>
      </c>
      <c r="S5085">
        <v>0</v>
      </c>
      <c r="T5085">
        <v>0</v>
      </c>
      <c r="U5085">
        <v>0</v>
      </c>
      <c r="W5085" t="s">
        <v>62</v>
      </c>
      <c r="AP5085" t="s">
        <v>101</v>
      </c>
    </row>
    <row r="5086" spans="1:42" x14ac:dyDescent="0.35">
      <c r="A5086" t="s">
        <v>45</v>
      </c>
      <c r="B5086" t="s">
        <v>11414</v>
      </c>
      <c r="C5086" t="s">
        <v>47</v>
      </c>
      <c r="D5086" t="s">
        <v>45</v>
      </c>
      <c r="E5086" t="s">
        <v>45</v>
      </c>
      <c r="F5086" t="s">
        <v>49</v>
      </c>
      <c r="G5086" t="s">
        <v>11521</v>
      </c>
      <c r="H5086" t="s">
        <v>11522</v>
      </c>
      <c r="J5086" t="str">
        <f>HYPERLINK("https://www.facebook.com/357267201017935/inbox/6922935487784374/","https://www.facebook.com/357267201017935/inbox/6922935487784374/")</f>
        <v>https://www.facebook.com/357267201017935/inbox/6922935487784374/</v>
      </c>
      <c r="O5086">
        <v>0</v>
      </c>
      <c r="P5086">
        <v>0</v>
      </c>
      <c r="Q5086">
        <v>0</v>
      </c>
      <c r="S5086">
        <v>0</v>
      </c>
      <c r="T5086">
        <v>0</v>
      </c>
      <c r="U5086">
        <v>0</v>
      </c>
      <c r="W5086" t="s">
        <v>52</v>
      </c>
    </row>
    <row r="5087" spans="1:42" x14ac:dyDescent="0.35">
      <c r="A5087" t="s">
        <v>45</v>
      </c>
      <c r="B5087" t="s">
        <v>11414</v>
      </c>
      <c r="C5087" t="s">
        <v>47</v>
      </c>
      <c r="D5087" t="s">
        <v>45</v>
      </c>
      <c r="E5087" t="s">
        <v>45</v>
      </c>
      <c r="F5087" t="s">
        <v>49</v>
      </c>
      <c r="G5087" t="s">
        <v>11523</v>
      </c>
      <c r="H5087" t="s">
        <v>11524</v>
      </c>
      <c r="J5087" t="str">
        <f>HYPERLINK("https://www.facebook.com/357267201017935/inbox/6923103004434289/","https://www.facebook.com/357267201017935/inbox/6923103004434289/")</f>
        <v>https://www.facebook.com/357267201017935/inbox/6923103004434289/</v>
      </c>
      <c r="O5087">
        <v>0</v>
      </c>
      <c r="P5087">
        <v>0</v>
      </c>
      <c r="Q5087">
        <v>0</v>
      </c>
      <c r="S5087">
        <v>0</v>
      </c>
      <c r="T5087">
        <v>0</v>
      </c>
      <c r="U5087">
        <v>0</v>
      </c>
      <c r="W5087" t="s">
        <v>52</v>
      </c>
    </row>
    <row r="5088" spans="1:42" x14ac:dyDescent="0.35">
      <c r="A5088" t="s">
        <v>45</v>
      </c>
      <c r="B5088" t="s">
        <v>11414</v>
      </c>
      <c r="C5088" t="s">
        <v>47</v>
      </c>
      <c r="D5088" t="s">
        <v>45</v>
      </c>
      <c r="E5088" t="s">
        <v>45</v>
      </c>
      <c r="F5088" t="s">
        <v>49</v>
      </c>
      <c r="G5088" t="s">
        <v>11525</v>
      </c>
      <c r="H5088" t="s">
        <v>11526</v>
      </c>
      <c r="J5088" t="str">
        <f>HYPERLINK("https://www.facebook.com/454965103328545/posts/752516700240049?comment_id=739884241053226&amp;reply_comment_id=1834282870365797","https://www.facebook.com/454965103328545/posts/752516700240049?comment_id=739884241053226&amp;reply_comment_id=1834282870365797")</f>
        <v>https://www.facebook.com/454965103328545/posts/752516700240049?comment_id=739884241053226&amp;reply_comment_id=1834282870365797</v>
      </c>
      <c r="O5088">
        <v>0</v>
      </c>
      <c r="P5088">
        <v>0</v>
      </c>
      <c r="Q5088">
        <v>0</v>
      </c>
      <c r="S5088">
        <v>0</v>
      </c>
      <c r="T5088">
        <v>0</v>
      </c>
      <c r="U5088">
        <v>0</v>
      </c>
      <c r="W5088" t="s">
        <v>62</v>
      </c>
    </row>
    <row r="5089" spans="1:45" x14ac:dyDescent="0.35">
      <c r="A5089" t="s">
        <v>45</v>
      </c>
      <c r="B5089" t="s">
        <v>11414</v>
      </c>
      <c r="C5089" t="s">
        <v>139</v>
      </c>
      <c r="D5089" t="s">
        <v>190</v>
      </c>
      <c r="E5089" t="s">
        <v>45</v>
      </c>
      <c r="F5089" t="s">
        <v>49</v>
      </c>
      <c r="G5089" t="s">
        <v>11527</v>
      </c>
      <c r="H5089" t="s">
        <v>11528</v>
      </c>
      <c r="J5089" t="str">
        <f>HYPERLINK("https://twitter.com/FinoPaymntsBank/status/1747193798608994648","https://twitter.com/FinoPaymntsBank/status/1747193798608994648")</f>
        <v>https://twitter.com/FinoPaymntsBank/status/1747193798608994648</v>
      </c>
      <c r="K5089" t="s">
        <v>145</v>
      </c>
      <c r="O5089">
        <v>0</v>
      </c>
      <c r="P5089">
        <v>0</v>
      </c>
      <c r="Q5089">
        <v>8308</v>
      </c>
      <c r="R5089" t="s">
        <v>193</v>
      </c>
      <c r="S5089">
        <v>0</v>
      </c>
      <c r="T5089">
        <v>0</v>
      </c>
      <c r="U5089">
        <v>0</v>
      </c>
      <c r="W5089" t="s">
        <v>146</v>
      </c>
    </row>
    <row r="5090" spans="1:45" x14ac:dyDescent="0.35">
      <c r="A5090" t="s">
        <v>45</v>
      </c>
      <c r="B5090" t="s">
        <v>11414</v>
      </c>
      <c r="C5090" t="s">
        <v>58</v>
      </c>
      <c r="D5090" t="s">
        <v>277</v>
      </c>
      <c r="E5090" t="s">
        <v>277</v>
      </c>
      <c r="F5090" t="s">
        <v>49</v>
      </c>
      <c r="G5090" t="s">
        <v>320</v>
      </c>
      <c r="H5090" t="s">
        <v>11529</v>
      </c>
      <c r="J5090" t="str">
        <f>HYPERLINK("https://www.youtube.com/watch?v=kbdGnx74Oy8&amp;lc=UgwTQPeWFQpscwD-pj54AaABAg.9zbsv_oTytR9zcXC_A_HSi","https://www.youtube.com/watch?v=kbdGnx74Oy8&amp;lc=UgwTQPeWFQpscwD-pj54AaABAg.9zbsv_oTytR9zcXC_A_HSi")</f>
        <v>https://www.youtube.com/watch?v=kbdGnx74Oy8&amp;lc=UgwTQPeWFQpscwD-pj54AaABAg.9zbsv_oTytR9zcXC_A_HSi</v>
      </c>
      <c r="O5090">
        <v>0</v>
      </c>
      <c r="P5090">
        <v>0</v>
      </c>
      <c r="Q5090">
        <v>0</v>
      </c>
      <c r="S5090">
        <v>0</v>
      </c>
      <c r="T5090">
        <v>0</v>
      </c>
      <c r="U5090">
        <v>0</v>
      </c>
      <c r="W5090" t="s">
        <v>62</v>
      </c>
    </row>
    <row r="5091" spans="1:45" x14ac:dyDescent="0.35">
      <c r="A5091" t="s">
        <v>45</v>
      </c>
      <c r="B5091" t="s">
        <v>11414</v>
      </c>
      <c r="C5091" t="s">
        <v>139</v>
      </c>
      <c r="D5091" t="s">
        <v>11530</v>
      </c>
      <c r="E5091" t="s">
        <v>11531</v>
      </c>
      <c r="F5091" t="s">
        <v>142</v>
      </c>
      <c r="G5091" t="s">
        <v>11532</v>
      </c>
      <c r="H5091" t="s">
        <v>11533</v>
      </c>
      <c r="J5091" t="str">
        <f>HYPERLINK("https://twitter.com/JaySosue/status/1747190681582383399","https://twitter.com/JaySosue/status/1747190681582383399")</f>
        <v>https://twitter.com/JaySosue/status/1747190681582383399</v>
      </c>
      <c r="K5091" t="s">
        <v>145</v>
      </c>
      <c r="O5091">
        <v>0</v>
      </c>
      <c r="P5091">
        <v>0</v>
      </c>
      <c r="Q5091">
        <v>15</v>
      </c>
      <c r="S5091">
        <v>0</v>
      </c>
      <c r="T5091">
        <v>0</v>
      </c>
      <c r="U5091">
        <v>0</v>
      </c>
      <c r="W5091" t="s">
        <v>146</v>
      </c>
      <c r="AP5091" t="s">
        <v>147</v>
      </c>
      <c r="AS5091" t="s">
        <v>375</v>
      </c>
    </row>
    <row r="5092" spans="1:45" x14ac:dyDescent="0.35">
      <c r="A5092" t="s">
        <v>45</v>
      </c>
      <c r="B5092" t="s">
        <v>11414</v>
      </c>
      <c r="C5092" t="s">
        <v>139</v>
      </c>
      <c r="D5092" t="s">
        <v>11534</v>
      </c>
      <c r="E5092" t="s">
        <v>11535</v>
      </c>
      <c r="F5092" t="s">
        <v>49</v>
      </c>
      <c r="G5092" t="s">
        <v>11536</v>
      </c>
      <c r="H5092" t="s">
        <v>11537</v>
      </c>
      <c r="J5092" t="str">
        <f>HYPERLINK("https://twitter.com/Abhishe13517911/status/1747190467123634588","https://twitter.com/Abhishe13517911/status/1747190467123634588")</f>
        <v>https://twitter.com/Abhishe13517911/status/1747190467123634588</v>
      </c>
      <c r="K5092" t="s">
        <v>145</v>
      </c>
      <c r="O5092">
        <v>0</v>
      </c>
      <c r="P5092">
        <v>0</v>
      </c>
      <c r="Q5092">
        <v>0</v>
      </c>
      <c r="S5092">
        <v>0</v>
      </c>
      <c r="T5092">
        <v>0</v>
      </c>
      <c r="U5092">
        <v>0</v>
      </c>
      <c r="W5092" t="s">
        <v>146</v>
      </c>
      <c r="AS5092" t="s">
        <v>375</v>
      </c>
    </row>
    <row r="5093" spans="1:45" x14ac:dyDescent="0.35">
      <c r="A5093" t="s">
        <v>45</v>
      </c>
      <c r="B5093" t="s">
        <v>11414</v>
      </c>
      <c r="C5093" t="s">
        <v>47</v>
      </c>
      <c r="D5093" t="s">
        <v>45</v>
      </c>
      <c r="E5093" t="s">
        <v>45</v>
      </c>
      <c r="F5093" t="s">
        <v>49</v>
      </c>
      <c r="G5093" t="s">
        <v>11538</v>
      </c>
      <c r="H5093" t="s">
        <v>11539</v>
      </c>
      <c r="J5093" t="str">
        <f>HYPERLINK("https://www.facebook.com/357267201017935/inbox/6923576964386893/","https://www.facebook.com/357267201017935/inbox/6923576964386893/")</f>
        <v>https://www.facebook.com/357267201017935/inbox/6923576964386893/</v>
      </c>
      <c r="O5093">
        <v>0</v>
      </c>
      <c r="P5093">
        <v>0</v>
      </c>
      <c r="Q5093">
        <v>0</v>
      </c>
      <c r="S5093">
        <v>0</v>
      </c>
      <c r="T5093">
        <v>0</v>
      </c>
      <c r="U5093">
        <v>0</v>
      </c>
      <c r="W5093" t="s">
        <v>52</v>
      </c>
    </row>
    <row r="5094" spans="1:45" x14ac:dyDescent="0.35">
      <c r="A5094" t="s">
        <v>45</v>
      </c>
      <c r="B5094" t="s">
        <v>11414</v>
      </c>
      <c r="C5094" t="s">
        <v>47</v>
      </c>
      <c r="D5094" t="s">
        <v>45</v>
      </c>
      <c r="E5094" t="s">
        <v>45</v>
      </c>
      <c r="F5094" t="s">
        <v>49</v>
      </c>
      <c r="G5094" t="s">
        <v>11108</v>
      </c>
      <c r="H5094" t="s">
        <v>11540</v>
      </c>
      <c r="J5094" t="str">
        <f>HYPERLINK("https://www.facebook.com/454965103328545/posts/750007137157672?comment_id=405731985135432&amp;reply_comment_id=1432942437661204","https://www.facebook.com/454965103328545/posts/750007137157672?comment_id=405731985135432&amp;reply_comment_id=1432942437661204")</f>
        <v>https://www.facebook.com/454965103328545/posts/750007137157672?comment_id=405731985135432&amp;reply_comment_id=1432942437661204</v>
      </c>
      <c r="O5094">
        <v>0</v>
      </c>
      <c r="P5094">
        <v>0</v>
      </c>
      <c r="Q5094">
        <v>0</v>
      </c>
      <c r="S5094">
        <v>0</v>
      </c>
      <c r="T5094">
        <v>0</v>
      </c>
      <c r="U5094">
        <v>0</v>
      </c>
      <c r="W5094" t="s">
        <v>62</v>
      </c>
    </row>
    <row r="5095" spans="1:45" x14ac:dyDescent="0.35">
      <c r="A5095" t="s">
        <v>45</v>
      </c>
      <c r="B5095" t="s">
        <v>11414</v>
      </c>
      <c r="C5095" t="s">
        <v>139</v>
      </c>
      <c r="D5095" t="s">
        <v>4902</v>
      </c>
      <c r="E5095" t="s">
        <v>4903</v>
      </c>
      <c r="F5095" t="s">
        <v>49</v>
      </c>
      <c r="G5095" t="s">
        <v>11541</v>
      </c>
      <c r="H5095" t="s">
        <v>11542</v>
      </c>
      <c r="J5095" t="str">
        <f>HYPERLINK("https://twitter.com/lovepartner_1/status/1747183352229326976","https://twitter.com/lovepartner_1/status/1747183352229326976")</f>
        <v>https://twitter.com/lovepartner_1/status/1747183352229326976</v>
      </c>
      <c r="K5095" t="s">
        <v>145</v>
      </c>
      <c r="O5095">
        <v>0</v>
      </c>
      <c r="P5095">
        <v>0</v>
      </c>
      <c r="Q5095">
        <v>17</v>
      </c>
      <c r="R5095" t="s">
        <v>4587</v>
      </c>
      <c r="S5095">
        <v>0</v>
      </c>
      <c r="T5095">
        <v>0</v>
      </c>
      <c r="U5095">
        <v>0</v>
      </c>
      <c r="W5095" t="s">
        <v>146</v>
      </c>
    </row>
    <row r="5096" spans="1:45" x14ac:dyDescent="0.35">
      <c r="A5096" t="s">
        <v>45</v>
      </c>
      <c r="B5096" t="s">
        <v>11414</v>
      </c>
      <c r="C5096" t="s">
        <v>47</v>
      </c>
      <c r="D5096" t="s">
        <v>10816</v>
      </c>
      <c r="E5096" t="s">
        <v>10816</v>
      </c>
      <c r="F5096" t="s">
        <v>49</v>
      </c>
      <c r="G5096" t="s">
        <v>11543</v>
      </c>
      <c r="H5096" t="s">
        <v>11544</v>
      </c>
      <c r="J5096" t="str">
        <f>HYPERLINK("https://www.facebook.com/454965103328545/posts/750007137157672?comment_id=405731985135432","https://www.facebook.com/454965103328545/posts/750007137157672?comment_id=405731985135432")</f>
        <v>https://www.facebook.com/454965103328545/posts/750007137157672?comment_id=405731985135432</v>
      </c>
      <c r="O5096">
        <v>0</v>
      </c>
      <c r="P5096">
        <v>0</v>
      </c>
      <c r="Q5096">
        <v>0</v>
      </c>
      <c r="S5096">
        <v>0</v>
      </c>
      <c r="T5096">
        <v>0</v>
      </c>
      <c r="U5096">
        <v>0</v>
      </c>
      <c r="W5096" t="s">
        <v>62</v>
      </c>
      <c r="AS5096" t="s">
        <v>375</v>
      </c>
    </row>
    <row r="5097" spans="1:45" x14ac:dyDescent="0.35">
      <c r="A5097" t="s">
        <v>45</v>
      </c>
      <c r="B5097" t="s">
        <v>11414</v>
      </c>
      <c r="C5097" t="s">
        <v>47</v>
      </c>
      <c r="D5097" t="s">
        <v>11545</v>
      </c>
      <c r="E5097" t="s">
        <v>11545</v>
      </c>
      <c r="F5097" t="s">
        <v>49</v>
      </c>
      <c r="G5097" t="s">
        <v>11546</v>
      </c>
      <c r="H5097" t="s">
        <v>11547</v>
      </c>
      <c r="J5097" t="str">
        <f>HYPERLINK("https://www.facebook.com/357267201017935/inbox/6925720944172495/","https://www.facebook.com/357267201017935/inbox/6925720944172495/")</f>
        <v>https://www.facebook.com/357267201017935/inbox/6925720944172495/</v>
      </c>
      <c r="O5097">
        <v>0</v>
      </c>
      <c r="P5097">
        <v>0</v>
      </c>
      <c r="Q5097">
        <v>0</v>
      </c>
      <c r="S5097">
        <v>0</v>
      </c>
      <c r="T5097">
        <v>0</v>
      </c>
      <c r="U5097">
        <v>0</v>
      </c>
      <c r="W5097" t="s">
        <v>52</v>
      </c>
    </row>
    <row r="5098" spans="1:45" x14ac:dyDescent="0.35">
      <c r="A5098" t="s">
        <v>45</v>
      </c>
      <c r="B5098" t="s">
        <v>11414</v>
      </c>
      <c r="C5098" t="s">
        <v>58</v>
      </c>
      <c r="D5098" t="s">
        <v>5456</v>
      </c>
      <c r="E5098" t="s">
        <v>5456</v>
      </c>
      <c r="F5098" t="s">
        <v>49</v>
      </c>
      <c r="G5098" t="s">
        <v>11548</v>
      </c>
      <c r="H5098" t="s">
        <v>11549</v>
      </c>
      <c r="J5098" t="str">
        <f>HYPERLINK("https://www.youtube.com/watch?v=d9UKVEYXoHM","https://www.youtube.com/watch?v=d9UKVEYXoHM")</f>
        <v>https://www.youtube.com/watch?v=d9UKVEYXoHM</v>
      </c>
      <c r="O5098">
        <v>0</v>
      </c>
      <c r="P5098">
        <v>0</v>
      </c>
      <c r="Q5098">
        <v>0</v>
      </c>
      <c r="S5098">
        <v>0</v>
      </c>
      <c r="T5098">
        <v>0</v>
      </c>
      <c r="U5098">
        <v>0</v>
      </c>
      <c r="W5098" t="s">
        <v>106</v>
      </c>
      <c r="AP5098" t="s">
        <v>101</v>
      </c>
    </row>
    <row r="5099" spans="1:45" x14ac:dyDescent="0.35">
      <c r="A5099" t="s">
        <v>45</v>
      </c>
      <c r="B5099" t="s">
        <v>11414</v>
      </c>
      <c r="C5099" t="s">
        <v>47</v>
      </c>
      <c r="D5099" t="s">
        <v>11550</v>
      </c>
      <c r="E5099" t="s">
        <v>11550</v>
      </c>
      <c r="F5099" t="s">
        <v>49</v>
      </c>
      <c r="G5099" t="s">
        <v>45</v>
      </c>
      <c r="H5099" t="s">
        <v>11551</v>
      </c>
      <c r="J5099" t="str">
        <f>HYPERLINK("https://www.facebook.com/348071974661942/posts/348071924661947","https://www.facebook.com/348071974661942/posts/348071924661947")</f>
        <v>https://www.facebook.com/348071974661942/posts/348071924661947</v>
      </c>
      <c r="O5099">
        <v>0</v>
      </c>
      <c r="P5099">
        <v>0</v>
      </c>
      <c r="Q5099">
        <v>0</v>
      </c>
      <c r="S5099">
        <v>0</v>
      </c>
      <c r="T5099">
        <v>0</v>
      </c>
      <c r="U5099">
        <v>0</v>
      </c>
      <c r="W5099" t="s">
        <v>106</v>
      </c>
    </row>
    <row r="5100" spans="1:45" x14ac:dyDescent="0.35">
      <c r="A5100" t="s">
        <v>45</v>
      </c>
      <c r="B5100" t="s">
        <v>11414</v>
      </c>
      <c r="C5100" t="s">
        <v>58</v>
      </c>
      <c r="D5100" t="s">
        <v>11552</v>
      </c>
      <c r="E5100" t="s">
        <v>11552</v>
      </c>
      <c r="F5100" t="s">
        <v>142</v>
      </c>
      <c r="G5100" t="s">
        <v>11553</v>
      </c>
      <c r="H5100" t="s">
        <v>11554</v>
      </c>
      <c r="J5100" t="str">
        <f>HYPERLINK("https://www.youtube.com/watch?v=kbdGnx74Oy8&amp;lc=UgwTQPeWFQpscwD-pj54AaABAg","https://www.youtube.com/watch?v=kbdGnx74Oy8&amp;lc=UgwTQPeWFQpscwD-pj54AaABAg")</f>
        <v>https://www.youtube.com/watch?v=kbdGnx74Oy8&amp;lc=UgwTQPeWFQpscwD-pj54AaABAg</v>
      </c>
      <c r="O5100">
        <v>0</v>
      </c>
      <c r="P5100">
        <v>0</v>
      </c>
      <c r="Q5100">
        <v>0</v>
      </c>
      <c r="S5100">
        <v>0</v>
      </c>
      <c r="T5100">
        <v>0</v>
      </c>
      <c r="U5100">
        <v>0</v>
      </c>
      <c r="W5100" t="s">
        <v>62</v>
      </c>
      <c r="AS5100" t="s">
        <v>375</v>
      </c>
    </row>
    <row r="5101" spans="1:45" x14ac:dyDescent="0.35">
      <c r="A5101" t="s">
        <v>45</v>
      </c>
      <c r="B5101" t="s">
        <v>11414</v>
      </c>
      <c r="C5101" t="s">
        <v>47</v>
      </c>
      <c r="F5101" t="s">
        <v>76</v>
      </c>
      <c r="G5101" t="s">
        <v>11555</v>
      </c>
      <c r="H5101" t="s">
        <v>11556</v>
      </c>
      <c r="J5101" t="str">
        <f>HYPERLINK("https://www.facebook.com/6820763411346178_10233057366846883","https://www.facebook.com/6820763411346178_10233057366846883")</f>
        <v>https://www.facebook.com/6820763411346178_10233057366846883</v>
      </c>
      <c r="O5101">
        <v>0</v>
      </c>
      <c r="P5101">
        <v>0</v>
      </c>
      <c r="Q5101">
        <v>0</v>
      </c>
      <c r="S5101">
        <v>0</v>
      </c>
      <c r="T5101">
        <v>0</v>
      </c>
      <c r="U5101">
        <v>0</v>
      </c>
      <c r="W5101" t="s">
        <v>106</v>
      </c>
    </row>
    <row r="5102" spans="1:45" x14ac:dyDescent="0.35">
      <c r="A5102" t="s">
        <v>45</v>
      </c>
      <c r="B5102" t="s">
        <v>11557</v>
      </c>
      <c r="C5102" t="s">
        <v>47</v>
      </c>
      <c r="D5102" t="s">
        <v>11558</v>
      </c>
      <c r="E5102" t="s">
        <v>11558</v>
      </c>
      <c r="F5102" t="s">
        <v>49</v>
      </c>
      <c r="G5102" t="s">
        <v>11559</v>
      </c>
      <c r="H5102" t="s">
        <v>11560</v>
      </c>
      <c r="J5102" t="str">
        <f>HYPERLINK("https://www.facebook.com/357267201017935/inbox/6923823951028861/","https://www.facebook.com/357267201017935/inbox/6923823951028861/")</f>
        <v>https://www.facebook.com/357267201017935/inbox/6923823951028861/</v>
      </c>
      <c r="O5102">
        <v>0</v>
      </c>
      <c r="P5102">
        <v>0</v>
      </c>
      <c r="Q5102">
        <v>0</v>
      </c>
      <c r="S5102">
        <v>0</v>
      </c>
      <c r="T5102">
        <v>0</v>
      </c>
      <c r="U5102">
        <v>0</v>
      </c>
      <c r="W5102" t="s">
        <v>52</v>
      </c>
    </row>
    <row r="5103" spans="1:45" x14ac:dyDescent="0.35">
      <c r="A5103" t="s">
        <v>45</v>
      </c>
      <c r="B5103" t="s">
        <v>11557</v>
      </c>
      <c r="C5103" t="s">
        <v>47</v>
      </c>
      <c r="D5103" t="s">
        <v>11561</v>
      </c>
      <c r="E5103" t="s">
        <v>11561</v>
      </c>
      <c r="F5103" t="s">
        <v>49</v>
      </c>
      <c r="G5103" t="s">
        <v>2273</v>
      </c>
      <c r="H5103" t="s">
        <v>11562</v>
      </c>
      <c r="J5103" t="str">
        <f>HYPERLINK("https://www.facebook.com/357267201017935/inbox/6923576964386893/","https://www.facebook.com/357267201017935/inbox/6923576964386893/")</f>
        <v>https://www.facebook.com/357267201017935/inbox/6923576964386893/</v>
      </c>
      <c r="O5103">
        <v>0</v>
      </c>
      <c r="P5103">
        <v>0</v>
      </c>
      <c r="Q5103">
        <v>0</v>
      </c>
      <c r="S5103">
        <v>0</v>
      </c>
      <c r="T5103">
        <v>0</v>
      </c>
      <c r="U5103">
        <v>0</v>
      </c>
      <c r="W5103" t="s">
        <v>52</v>
      </c>
      <c r="AS5103" t="s">
        <v>375</v>
      </c>
    </row>
    <row r="5104" spans="1:45" x14ac:dyDescent="0.35">
      <c r="A5104" t="s">
        <v>45</v>
      </c>
      <c r="B5104" t="s">
        <v>11557</v>
      </c>
      <c r="C5104" t="s">
        <v>58</v>
      </c>
      <c r="D5104" t="s">
        <v>11563</v>
      </c>
      <c r="E5104" t="s">
        <v>11563</v>
      </c>
      <c r="F5104" t="s">
        <v>49</v>
      </c>
      <c r="G5104" t="s">
        <v>11564</v>
      </c>
      <c r="H5104" t="s">
        <v>11565</v>
      </c>
      <c r="J5104" t="str">
        <f>HYPERLINK("https://www.youtube.com/watch?v=ZLryiYMkAmc","https://www.youtube.com/watch?v=ZLryiYMkAmc")</f>
        <v>https://www.youtube.com/watch?v=ZLryiYMkAmc</v>
      </c>
      <c r="O5104">
        <v>0</v>
      </c>
      <c r="P5104">
        <v>0</v>
      </c>
      <c r="Q5104">
        <v>0</v>
      </c>
      <c r="S5104">
        <v>0</v>
      </c>
      <c r="T5104">
        <v>0</v>
      </c>
      <c r="U5104">
        <v>0</v>
      </c>
      <c r="W5104" t="s">
        <v>106</v>
      </c>
    </row>
    <row r="5105" spans="1:45" x14ac:dyDescent="0.35">
      <c r="A5105" t="s">
        <v>45</v>
      </c>
      <c r="B5105" t="s">
        <v>11557</v>
      </c>
      <c r="C5105" t="s">
        <v>47</v>
      </c>
      <c r="D5105" t="s">
        <v>11566</v>
      </c>
      <c r="E5105" t="s">
        <v>11566</v>
      </c>
      <c r="F5105" t="s">
        <v>49</v>
      </c>
      <c r="G5105" t="s">
        <v>11567</v>
      </c>
      <c r="H5105" t="s">
        <v>11568</v>
      </c>
      <c r="J5105" t="str">
        <f>HYPERLINK("https://www.facebook.com/454965103328545/posts/752516700240049?comment_id=7035731116472675","https://www.facebook.com/454965103328545/posts/752516700240049?comment_id=7035731116472675")</f>
        <v>https://www.facebook.com/454965103328545/posts/752516700240049?comment_id=7035731116472675</v>
      </c>
      <c r="O5105">
        <v>0</v>
      </c>
      <c r="P5105">
        <v>0</v>
      </c>
      <c r="Q5105">
        <v>0</v>
      </c>
      <c r="S5105">
        <v>0</v>
      </c>
      <c r="T5105">
        <v>0</v>
      </c>
      <c r="U5105">
        <v>0</v>
      </c>
      <c r="W5105" t="s">
        <v>62</v>
      </c>
    </row>
    <row r="5106" spans="1:45" x14ac:dyDescent="0.35">
      <c r="A5106" t="s">
        <v>45</v>
      </c>
      <c r="B5106" t="s">
        <v>11557</v>
      </c>
      <c r="C5106" t="s">
        <v>58</v>
      </c>
      <c r="D5106" t="s">
        <v>11569</v>
      </c>
      <c r="E5106" t="s">
        <v>11569</v>
      </c>
      <c r="F5106" t="s">
        <v>49</v>
      </c>
      <c r="G5106" t="s">
        <v>11570</v>
      </c>
      <c r="H5106" t="s">
        <v>11571</v>
      </c>
      <c r="J5106" t="str">
        <f>HYPERLINK("https://www.youtube.com/watch?v=FrnEXAExKMw&amp;lc=UgwUVL-LtkjLP7D-42x4AaABAg","https://www.youtube.com/watch?v=FrnEXAExKMw&amp;lc=UgwUVL-LtkjLP7D-42x4AaABAg")</f>
        <v>https://www.youtube.com/watch?v=FrnEXAExKMw&amp;lc=UgwUVL-LtkjLP7D-42x4AaABAg</v>
      </c>
      <c r="O5106">
        <v>0</v>
      </c>
      <c r="P5106">
        <v>0</v>
      </c>
      <c r="Q5106">
        <v>0</v>
      </c>
      <c r="S5106">
        <v>0</v>
      </c>
      <c r="T5106">
        <v>0</v>
      </c>
      <c r="U5106">
        <v>0</v>
      </c>
      <c r="W5106" t="s">
        <v>62</v>
      </c>
    </row>
    <row r="5107" spans="1:45" x14ac:dyDescent="0.35">
      <c r="A5107" t="s">
        <v>45</v>
      </c>
      <c r="B5107" t="s">
        <v>11557</v>
      </c>
      <c r="C5107" t="s">
        <v>139</v>
      </c>
      <c r="D5107" t="s">
        <v>11572</v>
      </c>
      <c r="E5107" t="s">
        <v>11573</v>
      </c>
      <c r="F5107" t="s">
        <v>142</v>
      </c>
      <c r="G5107" t="s">
        <v>11574</v>
      </c>
      <c r="H5107" t="s">
        <v>11575</v>
      </c>
      <c r="J5107" t="str">
        <f>HYPERLINK("https://twitter.com/krishankaliraw3/status/1746897878134747299","https://twitter.com/krishankaliraw3/status/1746897878134747299")</f>
        <v>https://twitter.com/krishankaliraw3/status/1746897878134747299</v>
      </c>
      <c r="O5107">
        <v>0</v>
      </c>
      <c r="P5107">
        <v>0</v>
      </c>
      <c r="Q5107">
        <v>19</v>
      </c>
      <c r="S5107">
        <v>0</v>
      </c>
      <c r="T5107">
        <v>0</v>
      </c>
      <c r="U5107">
        <v>0</v>
      </c>
      <c r="W5107" t="s">
        <v>146</v>
      </c>
      <c r="AS5107" t="s">
        <v>375</v>
      </c>
    </row>
    <row r="5108" spans="1:45" x14ac:dyDescent="0.35">
      <c r="A5108" t="s">
        <v>45</v>
      </c>
      <c r="B5108" t="s">
        <v>11557</v>
      </c>
      <c r="C5108" t="s">
        <v>47</v>
      </c>
      <c r="D5108" t="s">
        <v>11576</v>
      </c>
      <c r="E5108" t="s">
        <v>11576</v>
      </c>
      <c r="F5108" t="s">
        <v>142</v>
      </c>
      <c r="G5108" t="s">
        <v>11577</v>
      </c>
      <c r="H5108" t="s">
        <v>11578</v>
      </c>
      <c r="J5108" t="str">
        <f>HYPERLINK("https://www.facebook.com/454965103328545/posts/752516700240049?comment_id=739884241053226","https://www.facebook.com/454965103328545/posts/752516700240049?comment_id=739884241053226")</f>
        <v>https://www.facebook.com/454965103328545/posts/752516700240049?comment_id=739884241053226</v>
      </c>
      <c r="O5108">
        <v>0</v>
      </c>
      <c r="P5108">
        <v>0</v>
      </c>
      <c r="Q5108">
        <v>0</v>
      </c>
      <c r="S5108">
        <v>0</v>
      </c>
      <c r="T5108">
        <v>0</v>
      </c>
      <c r="U5108">
        <v>0</v>
      </c>
      <c r="W5108" t="s">
        <v>62</v>
      </c>
      <c r="AS5108" t="s">
        <v>375</v>
      </c>
    </row>
    <row r="5109" spans="1:45" x14ac:dyDescent="0.35">
      <c r="A5109" t="s">
        <v>45</v>
      </c>
      <c r="B5109" t="s">
        <v>11557</v>
      </c>
      <c r="C5109" t="s">
        <v>139</v>
      </c>
      <c r="D5109" t="s">
        <v>11579</v>
      </c>
      <c r="E5109" t="s">
        <v>11580</v>
      </c>
      <c r="F5109" t="s">
        <v>76</v>
      </c>
      <c r="G5109" t="s">
        <v>11581</v>
      </c>
      <c r="H5109" t="s">
        <v>11582</v>
      </c>
      <c r="J5109" t="str">
        <f>HYPERLINK("https://twitter.com/ifpresdema50204/status/1746888553538150868","https://twitter.com/ifpresdema50204/status/1746888553538150868")</f>
        <v>https://twitter.com/ifpresdema50204/status/1746888553538150868</v>
      </c>
      <c r="O5109">
        <v>0</v>
      </c>
      <c r="P5109">
        <v>0</v>
      </c>
      <c r="Q5109">
        <v>0</v>
      </c>
      <c r="S5109">
        <v>0</v>
      </c>
      <c r="T5109">
        <v>0</v>
      </c>
      <c r="U5109">
        <v>0</v>
      </c>
      <c r="W5109" t="s">
        <v>146</v>
      </c>
    </row>
    <row r="5110" spans="1:45" x14ac:dyDescent="0.35">
      <c r="A5110" t="s">
        <v>45</v>
      </c>
      <c r="B5110" t="s">
        <v>11557</v>
      </c>
      <c r="C5110" t="s">
        <v>47</v>
      </c>
      <c r="D5110" t="s">
        <v>11093</v>
      </c>
      <c r="E5110" t="s">
        <v>11093</v>
      </c>
      <c r="F5110" t="s">
        <v>142</v>
      </c>
      <c r="G5110" t="s">
        <v>11583</v>
      </c>
      <c r="H5110" t="s">
        <v>11584</v>
      </c>
      <c r="J5110" t="str">
        <f>HYPERLINK("https://www.facebook.com/454965103328545/posts/734812295343823?comment_id=1454408025511044","https://www.facebook.com/454965103328545/posts/734812295343823?comment_id=1454408025511044")</f>
        <v>https://www.facebook.com/454965103328545/posts/734812295343823?comment_id=1454408025511044</v>
      </c>
      <c r="O5110">
        <v>0</v>
      </c>
      <c r="P5110">
        <v>0</v>
      </c>
      <c r="Q5110">
        <v>0</v>
      </c>
      <c r="S5110">
        <v>0</v>
      </c>
      <c r="T5110">
        <v>0</v>
      </c>
      <c r="U5110">
        <v>0</v>
      </c>
      <c r="W5110" t="s">
        <v>62</v>
      </c>
      <c r="AP5110" t="s">
        <v>147</v>
      </c>
      <c r="AS5110" t="s">
        <v>375</v>
      </c>
    </row>
    <row r="5111" spans="1:45" x14ac:dyDescent="0.35">
      <c r="A5111" t="s">
        <v>45</v>
      </c>
      <c r="B5111" t="s">
        <v>11557</v>
      </c>
      <c r="C5111" t="s">
        <v>47</v>
      </c>
      <c r="D5111" t="s">
        <v>11585</v>
      </c>
      <c r="E5111" t="s">
        <v>11585</v>
      </c>
      <c r="F5111" t="s">
        <v>49</v>
      </c>
      <c r="G5111" t="s">
        <v>11586</v>
      </c>
      <c r="H5111" t="s">
        <v>11587</v>
      </c>
      <c r="J5111" t="str">
        <f>HYPERLINK("https://www.facebook.com/357267201017935/inbox/6923211324423457/","https://www.facebook.com/357267201017935/inbox/6923211324423457/")</f>
        <v>https://www.facebook.com/357267201017935/inbox/6923211324423457/</v>
      </c>
      <c r="O5111">
        <v>0</v>
      </c>
      <c r="P5111">
        <v>0</v>
      </c>
      <c r="Q5111">
        <v>0</v>
      </c>
      <c r="S5111">
        <v>0</v>
      </c>
      <c r="T5111">
        <v>0</v>
      </c>
      <c r="U5111">
        <v>0</v>
      </c>
      <c r="W5111" t="s">
        <v>52</v>
      </c>
    </row>
    <row r="5112" spans="1:45" x14ac:dyDescent="0.35">
      <c r="A5112" t="s">
        <v>45</v>
      </c>
      <c r="B5112" t="s">
        <v>11557</v>
      </c>
      <c r="C5112" t="s">
        <v>47</v>
      </c>
      <c r="D5112" t="s">
        <v>11588</v>
      </c>
      <c r="E5112" t="s">
        <v>11588</v>
      </c>
      <c r="F5112" t="s">
        <v>49</v>
      </c>
      <c r="G5112" t="s">
        <v>11589</v>
      </c>
      <c r="H5112" t="s">
        <v>11590</v>
      </c>
      <c r="J5112" t="str">
        <f>HYPERLINK("https://www.facebook.com/357267201017935/inbox/6923103004434289/","https://www.facebook.com/357267201017935/inbox/6923103004434289/")</f>
        <v>https://www.facebook.com/357267201017935/inbox/6923103004434289/</v>
      </c>
      <c r="O5112">
        <v>0</v>
      </c>
      <c r="P5112">
        <v>0</v>
      </c>
      <c r="Q5112">
        <v>0</v>
      </c>
      <c r="S5112">
        <v>0</v>
      </c>
      <c r="T5112">
        <v>0</v>
      </c>
      <c r="U5112">
        <v>0</v>
      </c>
      <c r="W5112" t="s">
        <v>52</v>
      </c>
    </row>
    <row r="5113" spans="1:45" x14ac:dyDescent="0.35">
      <c r="A5113" t="s">
        <v>45</v>
      </c>
      <c r="B5113" t="s">
        <v>11557</v>
      </c>
      <c r="C5113" t="s">
        <v>47</v>
      </c>
      <c r="D5113" t="s">
        <v>11588</v>
      </c>
      <c r="E5113" t="s">
        <v>11588</v>
      </c>
      <c r="F5113" t="s">
        <v>49</v>
      </c>
      <c r="G5113" t="s">
        <v>4323</v>
      </c>
      <c r="H5113" t="s">
        <v>11591</v>
      </c>
      <c r="J5113" t="str">
        <f>HYPERLINK("https://www.facebook.com/357267201017935/inbox/6923103004434289/","https://www.facebook.com/357267201017935/inbox/6923103004434289/")</f>
        <v>https://www.facebook.com/357267201017935/inbox/6923103004434289/</v>
      </c>
      <c r="O5113">
        <v>0</v>
      </c>
      <c r="P5113">
        <v>0</v>
      </c>
      <c r="Q5113">
        <v>0</v>
      </c>
      <c r="S5113">
        <v>0</v>
      </c>
      <c r="T5113">
        <v>0</v>
      </c>
      <c r="U5113">
        <v>0</v>
      </c>
      <c r="W5113" t="s">
        <v>52</v>
      </c>
    </row>
    <row r="5114" spans="1:45" x14ac:dyDescent="0.35">
      <c r="A5114" t="s">
        <v>45</v>
      </c>
      <c r="B5114" t="s">
        <v>11557</v>
      </c>
      <c r="C5114" t="s">
        <v>47</v>
      </c>
      <c r="D5114" t="s">
        <v>11588</v>
      </c>
      <c r="E5114" t="s">
        <v>11588</v>
      </c>
      <c r="F5114" t="s">
        <v>49</v>
      </c>
      <c r="G5114" t="s">
        <v>373</v>
      </c>
      <c r="H5114" t="s">
        <v>11591</v>
      </c>
      <c r="J5114" t="str">
        <f>HYPERLINK("https://www.facebook.com/357267201017935/inbox/6923103004434289/","https://www.facebook.com/357267201017935/inbox/6923103004434289/")</f>
        <v>https://www.facebook.com/357267201017935/inbox/6923103004434289/</v>
      </c>
      <c r="O5114">
        <v>0</v>
      </c>
      <c r="P5114">
        <v>0</v>
      </c>
      <c r="Q5114">
        <v>0</v>
      </c>
      <c r="S5114">
        <v>0</v>
      </c>
      <c r="T5114">
        <v>0</v>
      </c>
      <c r="U5114">
        <v>0</v>
      </c>
      <c r="W5114" t="s">
        <v>52</v>
      </c>
      <c r="AS5114" t="s">
        <v>375</v>
      </c>
    </row>
    <row r="5115" spans="1:45" x14ac:dyDescent="0.35">
      <c r="A5115" t="s">
        <v>45</v>
      </c>
      <c r="B5115" t="s">
        <v>11557</v>
      </c>
      <c r="C5115" t="s">
        <v>139</v>
      </c>
      <c r="D5115" t="s">
        <v>190</v>
      </c>
      <c r="E5115" t="s">
        <v>45</v>
      </c>
      <c r="F5115" t="s">
        <v>49</v>
      </c>
      <c r="G5115" t="s">
        <v>11592</v>
      </c>
      <c r="H5115" t="s">
        <v>11593</v>
      </c>
      <c r="J5115" t="str">
        <f>HYPERLINK("https://twitter.com/FinoPaymntsBank/status/1746857259181670454","https://twitter.com/FinoPaymntsBank/status/1746857259181670454")</f>
        <v>https://twitter.com/FinoPaymntsBank/status/1746857259181670454</v>
      </c>
      <c r="K5115" t="s">
        <v>145</v>
      </c>
      <c r="O5115">
        <v>0</v>
      </c>
      <c r="P5115">
        <v>0</v>
      </c>
      <c r="Q5115">
        <v>8301</v>
      </c>
      <c r="R5115" t="s">
        <v>193</v>
      </c>
      <c r="S5115">
        <v>0</v>
      </c>
      <c r="T5115">
        <v>0</v>
      </c>
      <c r="U5115">
        <v>0</v>
      </c>
      <c r="W5115" t="s">
        <v>146</v>
      </c>
    </row>
    <row r="5116" spans="1:45" x14ac:dyDescent="0.35">
      <c r="A5116" t="s">
        <v>45</v>
      </c>
      <c r="B5116" t="s">
        <v>11557</v>
      </c>
      <c r="C5116" t="s">
        <v>47</v>
      </c>
      <c r="D5116" t="s">
        <v>11594</v>
      </c>
      <c r="E5116" t="s">
        <v>11594</v>
      </c>
      <c r="F5116" t="s">
        <v>49</v>
      </c>
      <c r="G5116" t="s">
        <v>11595</v>
      </c>
      <c r="H5116" t="s">
        <v>11596</v>
      </c>
      <c r="J5116" t="str">
        <f>HYPERLINK("https://www.facebook.com/357267201017935/inbox/6864975576913699/","https://www.facebook.com/357267201017935/inbox/6864975576913699/")</f>
        <v>https://www.facebook.com/357267201017935/inbox/6864975576913699/</v>
      </c>
      <c r="O5116">
        <v>0</v>
      </c>
      <c r="P5116">
        <v>0</v>
      </c>
      <c r="Q5116">
        <v>0</v>
      </c>
      <c r="S5116">
        <v>0</v>
      </c>
      <c r="T5116">
        <v>0</v>
      </c>
      <c r="U5116">
        <v>0</v>
      </c>
      <c r="W5116" t="s">
        <v>52</v>
      </c>
      <c r="Y5116" t="s">
        <v>11597</v>
      </c>
      <c r="Z5116" t="s">
        <v>613</v>
      </c>
      <c r="AA5116" t="s">
        <v>614</v>
      </c>
    </row>
    <row r="5117" spans="1:45" x14ac:dyDescent="0.35">
      <c r="A5117" t="s">
        <v>45</v>
      </c>
      <c r="B5117" t="s">
        <v>11557</v>
      </c>
      <c r="C5117" t="s">
        <v>47</v>
      </c>
      <c r="D5117" t="s">
        <v>11504</v>
      </c>
      <c r="E5117" t="s">
        <v>11504</v>
      </c>
      <c r="F5117" t="s">
        <v>49</v>
      </c>
      <c r="G5117" t="s">
        <v>56</v>
      </c>
      <c r="H5117" t="s">
        <v>11598</v>
      </c>
      <c r="J5117" t="str">
        <f>HYPERLINK("https://www.facebook.com/357267201017935/inbox/6922935487784374/","https://www.facebook.com/357267201017935/inbox/6922935487784374/")</f>
        <v>https://www.facebook.com/357267201017935/inbox/6922935487784374/</v>
      </c>
      <c r="O5117">
        <v>0</v>
      </c>
      <c r="P5117">
        <v>0</v>
      </c>
      <c r="Q5117">
        <v>0</v>
      </c>
      <c r="S5117">
        <v>0</v>
      </c>
      <c r="T5117">
        <v>0</v>
      </c>
      <c r="U5117">
        <v>0</v>
      </c>
      <c r="W5117" t="s">
        <v>52</v>
      </c>
      <c r="AS5117" t="s">
        <v>375</v>
      </c>
    </row>
    <row r="5118" spans="1:45" x14ac:dyDescent="0.35">
      <c r="A5118" t="s">
        <v>45</v>
      </c>
      <c r="B5118" t="s">
        <v>11557</v>
      </c>
      <c r="C5118" t="s">
        <v>47</v>
      </c>
      <c r="D5118" t="s">
        <v>11504</v>
      </c>
      <c r="E5118" t="s">
        <v>11504</v>
      </c>
      <c r="F5118" t="s">
        <v>76</v>
      </c>
      <c r="G5118" t="s">
        <v>11599</v>
      </c>
      <c r="H5118" t="s">
        <v>11600</v>
      </c>
      <c r="J5118" t="str">
        <f>HYPERLINK("https://www.facebook.com/357267201017935/inbox/6922935487784374/","https://www.facebook.com/357267201017935/inbox/6922935487784374/")</f>
        <v>https://www.facebook.com/357267201017935/inbox/6922935487784374/</v>
      </c>
      <c r="O5118">
        <v>0</v>
      </c>
      <c r="P5118">
        <v>0</v>
      </c>
      <c r="Q5118">
        <v>0</v>
      </c>
      <c r="S5118">
        <v>0</v>
      </c>
      <c r="T5118">
        <v>0</v>
      </c>
      <c r="U5118">
        <v>0</v>
      </c>
      <c r="W5118" t="s">
        <v>52</v>
      </c>
    </row>
    <row r="5119" spans="1:45" x14ac:dyDescent="0.35">
      <c r="A5119" t="s">
        <v>45</v>
      </c>
      <c r="B5119" t="s">
        <v>11557</v>
      </c>
      <c r="C5119" t="s">
        <v>139</v>
      </c>
      <c r="D5119" t="s">
        <v>10858</v>
      </c>
      <c r="E5119" t="s">
        <v>10859</v>
      </c>
      <c r="F5119" t="s">
        <v>142</v>
      </c>
      <c r="G5119" t="s">
        <v>11601</v>
      </c>
      <c r="H5119" t="s">
        <v>11602</v>
      </c>
      <c r="J5119" t="str">
        <f>HYPERLINK("https://twitter.com/SRDJ35/status/1746847074120077808","https://twitter.com/SRDJ35/status/1746847074120077808")</f>
        <v>https://twitter.com/SRDJ35/status/1746847074120077808</v>
      </c>
      <c r="O5119">
        <v>0</v>
      </c>
      <c r="P5119">
        <v>0</v>
      </c>
      <c r="Q5119">
        <v>1</v>
      </c>
      <c r="S5119">
        <v>0</v>
      </c>
      <c r="T5119">
        <v>0</v>
      </c>
      <c r="U5119">
        <v>0</v>
      </c>
      <c r="W5119" t="s">
        <v>146</v>
      </c>
      <c r="AP5119" t="s">
        <v>147</v>
      </c>
      <c r="AS5119" t="s">
        <v>375</v>
      </c>
    </row>
    <row r="5120" spans="1:45" x14ac:dyDescent="0.35">
      <c r="A5120" t="s">
        <v>45</v>
      </c>
      <c r="B5120" t="s">
        <v>11557</v>
      </c>
      <c r="C5120" t="s">
        <v>47</v>
      </c>
      <c r="D5120" t="s">
        <v>1987</v>
      </c>
      <c r="E5120" t="s">
        <v>1987</v>
      </c>
      <c r="F5120" t="s">
        <v>49</v>
      </c>
      <c r="G5120" t="s">
        <v>11603</v>
      </c>
      <c r="H5120" t="s">
        <v>11604</v>
      </c>
      <c r="J5120" t="str">
        <f>HYPERLINK("https://www.facebook.com/454965103328545/posts/752510810240638?comment_id=1415104702411650","https://www.facebook.com/454965103328545/posts/752510810240638?comment_id=1415104702411650")</f>
        <v>https://www.facebook.com/454965103328545/posts/752510810240638?comment_id=1415104702411650</v>
      </c>
      <c r="O5120">
        <v>0</v>
      </c>
      <c r="P5120">
        <v>0</v>
      </c>
      <c r="Q5120">
        <v>0</v>
      </c>
      <c r="S5120">
        <v>0</v>
      </c>
      <c r="T5120">
        <v>0</v>
      </c>
      <c r="U5120">
        <v>0</v>
      </c>
      <c r="W5120" t="s">
        <v>62</v>
      </c>
      <c r="AS5120" t="s">
        <v>375</v>
      </c>
    </row>
    <row r="5121" spans="1:45" x14ac:dyDescent="0.35">
      <c r="A5121" t="s">
        <v>45</v>
      </c>
      <c r="B5121" t="s">
        <v>11557</v>
      </c>
      <c r="C5121" t="s">
        <v>58</v>
      </c>
      <c r="D5121" t="s">
        <v>3179</v>
      </c>
      <c r="E5121" t="s">
        <v>3179</v>
      </c>
      <c r="F5121" t="s">
        <v>49</v>
      </c>
      <c r="G5121" t="s">
        <v>11605</v>
      </c>
      <c r="H5121" t="s">
        <v>11606</v>
      </c>
      <c r="J5121" t="str">
        <f>HYPERLINK("https://www.youtube.com/watch?v=kzKVfoqpwD8","https://www.youtube.com/watch?v=kzKVfoqpwD8")</f>
        <v>https://www.youtube.com/watch?v=kzKVfoqpwD8</v>
      </c>
      <c r="O5121">
        <v>0</v>
      </c>
      <c r="P5121">
        <v>0</v>
      </c>
      <c r="Q5121">
        <v>0</v>
      </c>
      <c r="S5121">
        <v>0</v>
      </c>
      <c r="T5121">
        <v>0</v>
      </c>
      <c r="U5121">
        <v>0</v>
      </c>
      <c r="W5121" t="s">
        <v>106</v>
      </c>
      <c r="AP5121" t="s">
        <v>101</v>
      </c>
    </row>
    <row r="5122" spans="1:45" x14ac:dyDescent="0.35">
      <c r="A5122" t="s">
        <v>45</v>
      </c>
      <c r="B5122" t="s">
        <v>11557</v>
      </c>
      <c r="C5122" t="s">
        <v>47</v>
      </c>
      <c r="D5122" t="s">
        <v>11607</v>
      </c>
      <c r="E5122" t="s">
        <v>11607</v>
      </c>
      <c r="F5122" t="s">
        <v>76</v>
      </c>
      <c r="G5122" t="s">
        <v>501</v>
      </c>
      <c r="H5122" t="s">
        <v>11608</v>
      </c>
      <c r="J5122" t="str">
        <f>HYPERLINK("https://www.facebook.com/454965103328545/posts/752516700240049?comment_id=1330424110994067","https://www.facebook.com/454965103328545/posts/752516700240049?comment_id=1330424110994067")</f>
        <v>https://www.facebook.com/454965103328545/posts/752516700240049?comment_id=1330424110994067</v>
      </c>
      <c r="O5122">
        <v>0</v>
      </c>
      <c r="P5122">
        <v>0</v>
      </c>
      <c r="Q5122">
        <v>0</v>
      </c>
      <c r="S5122">
        <v>0</v>
      </c>
      <c r="T5122">
        <v>0</v>
      </c>
      <c r="U5122">
        <v>0</v>
      </c>
      <c r="W5122" t="s">
        <v>62</v>
      </c>
    </row>
    <row r="5123" spans="1:45" x14ac:dyDescent="0.35">
      <c r="A5123" t="s">
        <v>45</v>
      </c>
      <c r="B5123" t="s">
        <v>11557</v>
      </c>
      <c r="C5123" t="s">
        <v>47</v>
      </c>
      <c r="D5123" t="s">
        <v>11609</v>
      </c>
      <c r="E5123" t="s">
        <v>11609</v>
      </c>
      <c r="F5123" t="s">
        <v>49</v>
      </c>
      <c r="G5123" t="s">
        <v>11610</v>
      </c>
      <c r="H5123" t="s">
        <v>11611</v>
      </c>
      <c r="J5123" t="str">
        <f>HYPERLINK("https://www.facebook.com/357267201017935/posts/3418723634872261/?comment_id=937729980560539","https://www.facebook.com/357267201017935/posts/3418723634872261/?comment_id=937729980560539")</f>
        <v>https://www.facebook.com/357267201017935/posts/3418723634872261/?comment_id=937729980560539</v>
      </c>
      <c r="O5123">
        <v>0</v>
      </c>
      <c r="P5123">
        <v>0</v>
      </c>
      <c r="Q5123">
        <v>0</v>
      </c>
      <c r="S5123">
        <v>0</v>
      </c>
      <c r="T5123">
        <v>0</v>
      </c>
      <c r="U5123">
        <v>0</v>
      </c>
      <c r="W5123" t="s">
        <v>62</v>
      </c>
      <c r="AS5123" t="s">
        <v>375</v>
      </c>
    </row>
    <row r="5124" spans="1:45" x14ac:dyDescent="0.35">
      <c r="A5124" t="s">
        <v>45</v>
      </c>
      <c r="B5124" t="s">
        <v>11557</v>
      </c>
      <c r="C5124" t="s">
        <v>47</v>
      </c>
      <c r="D5124" t="s">
        <v>11612</v>
      </c>
      <c r="E5124" t="s">
        <v>11612</v>
      </c>
      <c r="F5124" t="s">
        <v>49</v>
      </c>
      <c r="G5124" t="s">
        <v>11613</v>
      </c>
      <c r="H5124" t="s">
        <v>11614</v>
      </c>
      <c r="J5124" t="str">
        <f>HYPERLINK("https://www.facebook.com/357267201017935/inbox/6922457354498854/","https://www.facebook.com/357267201017935/inbox/6922457354498854/")</f>
        <v>https://www.facebook.com/357267201017935/inbox/6922457354498854/</v>
      </c>
      <c r="O5124">
        <v>0</v>
      </c>
      <c r="P5124">
        <v>0</v>
      </c>
      <c r="Q5124">
        <v>0</v>
      </c>
      <c r="S5124">
        <v>0</v>
      </c>
      <c r="T5124">
        <v>0</v>
      </c>
      <c r="U5124">
        <v>0</v>
      </c>
      <c r="W5124" t="s">
        <v>52</v>
      </c>
      <c r="AS5124" t="s">
        <v>375</v>
      </c>
    </row>
    <row r="5125" spans="1:45" x14ac:dyDescent="0.35">
      <c r="A5125" t="s">
        <v>45</v>
      </c>
      <c r="B5125" t="s">
        <v>11557</v>
      </c>
      <c r="C5125" t="s">
        <v>47</v>
      </c>
      <c r="D5125" t="s">
        <v>11612</v>
      </c>
      <c r="E5125" t="s">
        <v>11612</v>
      </c>
      <c r="F5125" t="s">
        <v>49</v>
      </c>
      <c r="G5125" t="s">
        <v>7426</v>
      </c>
      <c r="H5125" t="s">
        <v>11615</v>
      </c>
      <c r="J5125" t="str">
        <f>HYPERLINK("https://www.facebook.com/357267201017935/inbox/6922457354498854/","https://www.facebook.com/357267201017935/inbox/6922457354498854/")</f>
        <v>https://www.facebook.com/357267201017935/inbox/6922457354498854/</v>
      </c>
      <c r="O5125">
        <v>0</v>
      </c>
      <c r="P5125">
        <v>0</v>
      </c>
      <c r="Q5125">
        <v>0</v>
      </c>
      <c r="S5125">
        <v>0</v>
      </c>
      <c r="T5125">
        <v>0</v>
      </c>
      <c r="U5125">
        <v>0</v>
      </c>
      <c r="W5125" t="s">
        <v>52</v>
      </c>
    </row>
    <row r="5126" spans="1:45" x14ac:dyDescent="0.35">
      <c r="A5126" t="s">
        <v>45</v>
      </c>
      <c r="B5126" t="s">
        <v>11557</v>
      </c>
      <c r="C5126" t="s">
        <v>47</v>
      </c>
      <c r="D5126" t="s">
        <v>11612</v>
      </c>
      <c r="E5126" t="s">
        <v>11612</v>
      </c>
      <c r="F5126" t="s">
        <v>49</v>
      </c>
      <c r="G5126" t="s">
        <v>50</v>
      </c>
      <c r="H5126" t="s">
        <v>11616</v>
      </c>
      <c r="J5126" t="str">
        <f>HYPERLINK("https://www.facebook.com/357267201017935/inbox/6922457354498854/","https://www.facebook.com/357267201017935/inbox/6922457354498854/")</f>
        <v>https://www.facebook.com/357267201017935/inbox/6922457354498854/</v>
      </c>
      <c r="O5126">
        <v>0</v>
      </c>
      <c r="P5126">
        <v>0</v>
      </c>
      <c r="Q5126">
        <v>0</v>
      </c>
      <c r="S5126">
        <v>0</v>
      </c>
      <c r="T5126">
        <v>0</v>
      </c>
      <c r="U5126">
        <v>0</v>
      </c>
      <c r="W5126" t="s">
        <v>52</v>
      </c>
      <c r="AS5126" t="s">
        <v>375</v>
      </c>
    </row>
    <row r="5127" spans="1:45" x14ac:dyDescent="0.35">
      <c r="A5127" t="s">
        <v>45</v>
      </c>
      <c r="B5127" t="s">
        <v>11557</v>
      </c>
      <c r="C5127" t="s">
        <v>139</v>
      </c>
      <c r="D5127" t="s">
        <v>11617</v>
      </c>
      <c r="E5127" t="s">
        <v>11618</v>
      </c>
      <c r="F5127" t="s">
        <v>76</v>
      </c>
      <c r="G5127" t="s">
        <v>11619</v>
      </c>
      <c r="H5127" t="s">
        <v>11620</v>
      </c>
      <c r="J5127" t="str">
        <f>HYPERLINK("https://twitter.com/HARJEETKUMAR1/status/1746784218762690570","https://twitter.com/HARJEETKUMAR1/status/1746784218762690570")</f>
        <v>https://twitter.com/HARJEETKUMAR1/status/1746784218762690570</v>
      </c>
      <c r="O5127">
        <v>0</v>
      </c>
      <c r="P5127">
        <v>0</v>
      </c>
      <c r="Q5127">
        <v>307</v>
      </c>
      <c r="R5127" t="s">
        <v>11621</v>
      </c>
      <c r="S5127">
        <v>0</v>
      </c>
      <c r="T5127">
        <v>0</v>
      </c>
      <c r="U5127">
        <v>0</v>
      </c>
      <c r="W5127" t="s">
        <v>146</v>
      </c>
    </row>
    <row r="5128" spans="1:45" x14ac:dyDescent="0.35">
      <c r="A5128" t="s">
        <v>45</v>
      </c>
      <c r="B5128" t="s">
        <v>11557</v>
      </c>
      <c r="C5128" t="s">
        <v>47</v>
      </c>
      <c r="F5128" t="s">
        <v>49</v>
      </c>
      <c r="G5128" s="1" t="s">
        <v>11622</v>
      </c>
      <c r="H5128" t="s">
        <v>11623</v>
      </c>
      <c r="J5128" t="str">
        <f>HYPERLINK("https://www.facebook.com/6820763411346178_10233052920855736","https://www.facebook.com/6820763411346178_10233052920855736")</f>
        <v>https://www.facebook.com/6820763411346178_10233052920855736</v>
      </c>
      <c r="O5128">
        <v>0</v>
      </c>
      <c r="P5128">
        <v>0</v>
      </c>
      <c r="Q5128">
        <v>0</v>
      </c>
      <c r="S5128">
        <v>0</v>
      </c>
      <c r="T5128">
        <v>0</v>
      </c>
      <c r="U5128">
        <v>0</v>
      </c>
      <c r="W5128" t="s">
        <v>106</v>
      </c>
    </row>
    <row r="5129" spans="1:45" x14ac:dyDescent="0.35">
      <c r="A5129" t="s">
        <v>45</v>
      </c>
      <c r="B5129" t="s">
        <v>11557</v>
      </c>
      <c r="C5129" t="s">
        <v>139</v>
      </c>
      <c r="D5129" t="s">
        <v>190</v>
      </c>
      <c r="E5129" t="s">
        <v>45</v>
      </c>
      <c r="F5129" t="s">
        <v>49</v>
      </c>
      <c r="G5129" t="s">
        <v>11624</v>
      </c>
      <c r="H5129" t="s">
        <v>11625</v>
      </c>
      <c r="J5129" t="str">
        <f>HYPERLINK("https://twitter.com/FinoPaymntsBank/status/1746781761370268119","https://twitter.com/FinoPaymntsBank/status/1746781761370268119")</f>
        <v>https://twitter.com/FinoPaymntsBank/status/1746781761370268119</v>
      </c>
      <c r="K5129" t="s">
        <v>145</v>
      </c>
      <c r="O5129">
        <v>0</v>
      </c>
      <c r="P5129">
        <v>0</v>
      </c>
      <c r="Q5129">
        <v>8300</v>
      </c>
      <c r="R5129" t="s">
        <v>193</v>
      </c>
      <c r="S5129">
        <v>0</v>
      </c>
      <c r="T5129">
        <v>0</v>
      </c>
      <c r="U5129">
        <v>0</v>
      </c>
      <c r="W5129" t="s">
        <v>146</v>
      </c>
    </row>
    <row r="5130" spans="1:45" x14ac:dyDescent="0.35">
      <c r="A5130" t="s">
        <v>45</v>
      </c>
      <c r="B5130" t="s">
        <v>11557</v>
      </c>
      <c r="C5130" t="s">
        <v>47</v>
      </c>
      <c r="D5130" t="s">
        <v>4488</v>
      </c>
      <c r="E5130" t="s">
        <v>4488</v>
      </c>
      <c r="F5130" t="s">
        <v>49</v>
      </c>
      <c r="G5130" t="s">
        <v>11626</v>
      </c>
      <c r="H5130" t="s">
        <v>11627</v>
      </c>
      <c r="J5130" t="str">
        <f>HYPERLINK("https://www.facebook.com/454965103328545/posts/752516700240049?comment_id=1041602820241828","https://www.facebook.com/454965103328545/posts/752516700240049?comment_id=1041602820241828")</f>
        <v>https://www.facebook.com/454965103328545/posts/752516700240049?comment_id=1041602820241828</v>
      </c>
      <c r="O5130">
        <v>0</v>
      </c>
      <c r="P5130">
        <v>0</v>
      </c>
      <c r="Q5130">
        <v>0</v>
      </c>
      <c r="S5130">
        <v>0</v>
      </c>
      <c r="T5130">
        <v>0</v>
      </c>
      <c r="U5130">
        <v>0</v>
      </c>
      <c r="W5130" t="s">
        <v>62</v>
      </c>
      <c r="AS5130" t="s">
        <v>375</v>
      </c>
    </row>
    <row r="5131" spans="1:45" x14ac:dyDescent="0.35">
      <c r="A5131" t="s">
        <v>45</v>
      </c>
      <c r="B5131" t="s">
        <v>11557</v>
      </c>
      <c r="C5131" t="s">
        <v>58</v>
      </c>
      <c r="D5131" t="s">
        <v>11628</v>
      </c>
      <c r="E5131" t="s">
        <v>11628</v>
      </c>
      <c r="F5131" t="s">
        <v>49</v>
      </c>
      <c r="G5131" t="s">
        <v>11629</v>
      </c>
      <c r="H5131" t="s">
        <v>11630</v>
      </c>
      <c r="J5131" t="str">
        <f>HYPERLINK("https://www.youtube.com/watch?v=ByXxYqOTvdo","https://www.youtube.com/watch?v=ByXxYqOTvdo")</f>
        <v>https://www.youtube.com/watch?v=ByXxYqOTvdo</v>
      </c>
      <c r="O5131">
        <v>0</v>
      </c>
      <c r="P5131">
        <v>0</v>
      </c>
      <c r="Q5131">
        <v>0</v>
      </c>
      <c r="S5131">
        <v>0</v>
      </c>
      <c r="T5131">
        <v>0</v>
      </c>
      <c r="U5131">
        <v>0</v>
      </c>
      <c r="W5131" t="s">
        <v>106</v>
      </c>
    </row>
    <row r="5132" spans="1:45" x14ac:dyDescent="0.35">
      <c r="A5132" t="s">
        <v>45</v>
      </c>
      <c r="B5132" t="s">
        <v>11557</v>
      </c>
      <c r="C5132" t="s">
        <v>58</v>
      </c>
      <c r="D5132" t="s">
        <v>2320</v>
      </c>
      <c r="E5132" t="s">
        <v>2320</v>
      </c>
      <c r="F5132" t="s">
        <v>49</v>
      </c>
      <c r="G5132" t="s">
        <v>11631</v>
      </c>
      <c r="H5132" t="s">
        <v>11632</v>
      </c>
      <c r="J5132" t="str">
        <f>HYPERLINK("https://www.youtube.com/watch?v=2qbvcBk_e48","https://www.youtube.com/watch?v=2qbvcBk_e48")</f>
        <v>https://www.youtube.com/watch?v=2qbvcBk_e48</v>
      </c>
      <c r="O5132">
        <v>0</v>
      </c>
      <c r="P5132">
        <v>0</v>
      </c>
      <c r="Q5132">
        <v>0</v>
      </c>
      <c r="S5132">
        <v>0</v>
      </c>
      <c r="T5132">
        <v>0</v>
      </c>
      <c r="U5132">
        <v>0</v>
      </c>
      <c r="W5132" t="s">
        <v>106</v>
      </c>
      <c r="Y5132" t="s">
        <v>11633</v>
      </c>
      <c r="Z5132" t="s">
        <v>613</v>
      </c>
      <c r="AA5132" t="s">
        <v>614</v>
      </c>
    </row>
    <row r="5133" spans="1:45" x14ac:dyDescent="0.35">
      <c r="A5133" t="s">
        <v>45</v>
      </c>
      <c r="B5133" t="s">
        <v>11557</v>
      </c>
      <c r="C5133" t="s">
        <v>47</v>
      </c>
      <c r="D5133" t="s">
        <v>45</v>
      </c>
      <c r="E5133" t="s">
        <v>45</v>
      </c>
      <c r="F5133" t="s">
        <v>49</v>
      </c>
      <c r="G5133" t="s">
        <v>11634</v>
      </c>
      <c r="H5133" t="s">
        <v>11635</v>
      </c>
      <c r="J5133" t="str">
        <f>HYPERLINK("https://www.facebook.com/357267201017935_752516700240049","https://www.facebook.com/357267201017935_752516700240049")</f>
        <v>https://www.facebook.com/357267201017935_752516700240049</v>
      </c>
      <c r="O5133">
        <v>0</v>
      </c>
      <c r="P5133">
        <v>0</v>
      </c>
      <c r="Q5133">
        <v>0</v>
      </c>
      <c r="S5133">
        <v>5</v>
      </c>
      <c r="T5133">
        <v>89</v>
      </c>
      <c r="U5133">
        <v>10</v>
      </c>
      <c r="W5133" t="s">
        <v>106</v>
      </c>
    </row>
    <row r="5134" spans="1:45" x14ac:dyDescent="0.35">
      <c r="A5134" t="s">
        <v>45</v>
      </c>
      <c r="B5134" t="s">
        <v>11557</v>
      </c>
      <c r="C5134" t="s">
        <v>139</v>
      </c>
      <c r="D5134" t="s">
        <v>190</v>
      </c>
      <c r="E5134" t="s">
        <v>45</v>
      </c>
      <c r="F5134" t="s">
        <v>49</v>
      </c>
      <c r="G5134" t="s">
        <v>11636</v>
      </c>
      <c r="H5134" t="s">
        <v>11635</v>
      </c>
      <c r="J5134" t="str">
        <f>HYPERLINK("https://twitter.com/FinoPaymntsBank/status/1746721364890009660","https://twitter.com/FinoPaymntsBank/status/1746721364890009660")</f>
        <v>https://twitter.com/FinoPaymntsBank/status/1746721364890009660</v>
      </c>
      <c r="K5134" t="s">
        <v>145</v>
      </c>
      <c r="O5134">
        <v>0</v>
      </c>
      <c r="P5134">
        <v>0</v>
      </c>
      <c r="Q5134">
        <v>8300</v>
      </c>
      <c r="R5134" t="s">
        <v>193</v>
      </c>
      <c r="S5134">
        <v>0</v>
      </c>
      <c r="T5134">
        <v>0</v>
      </c>
      <c r="U5134">
        <v>0</v>
      </c>
      <c r="W5134" t="s">
        <v>146</v>
      </c>
    </row>
    <row r="5135" spans="1:45" x14ac:dyDescent="0.35">
      <c r="A5135" t="s">
        <v>45</v>
      </c>
      <c r="B5135" t="s">
        <v>11557</v>
      </c>
      <c r="C5135" t="s">
        <v>102</v>
      </c>
      <c r="D5135" t="s">
        <v>10352</v>
      </c>
      <c r="E5135" t="s">
        <v>10352</v>
      </c>
      <c r="F5135" t="s">
        <v>49</v>
      </c>
      <c r="G5135" t="s">
        <v>11637</v>
      </c>
      <c r="H5135" t="s">
        <v>11638</v>
      </c>
      <c r="J5135" t="str">
        <f>HYPERLINK("https://www.linkedin.com/feed/update/urn:li:share:7146482801830277120/?commentUrn=urn:li:comment:(urn:li:activity:7146482802480365568,7152366475301801984)","https://www.linkedin.com/feed/update/urn:li:share:7146482801830277120/?commentUrn=urn:li:comment:(urn:li:activity:7146482802480365568,7152366475301801984)")</f>
        <v>https://www.linkedin.com/feed/update/urn:li:share:7146482801830277120/?commentUrn=urn:li:comment:(urn:li:activity:7146482802480365568,7152366475301801984)</v>
      </c>
      <c r="K5135" t="s">
        <v>145</v>
      </c>
      <c r="O5135">
        <v>0</v>
      </c>
      <c r="P5135">
        <v>0</v>
      </c>
      <c r="Q5135">
        <v>0</v>
      </c>
      <c r="S5135">
        <v>0</v>
      </c>
      <c r="T5135">
        <v>0</v>
      </c>
      <c r="U5135">
        <v>0</v>
      </c>
      <c r="W5135" t="s">
        <v>62</v>
      </c>
      <c r="AO5135" t="s">
        <v>119</v>
      </c>
      <c r="AP5135" t="s">
        <v>94</v>
      </c>
    </row>
    <row r="5136" spans="1:45" x14ac:dyDescent="0.35">
      <c r="A5136" t="s">
        <v>45</v>
      </c>
      <c r="B5136" t="s">
        <v>11557</v>
      </c>
      <c r="C5136" t="s">
        <v>102</v>
      </c>
      <c r="D5136" t="s">
        <v>10352</v>
      </c>
      <c r="E5136" t="s">
        <v>10352</v>
      </c>
      <c r="F5136" t="s">
        <v>49</v>
      </c>
      <c r="G5136" t="s">
        <v>11639</v>
      </c>
      <c r="H5136" t="s">
        <v>11640</v>
      </c>
      <c r="J5136" t="str">
        <f>HYPERLINK("https://www.linkedin.com/feed/update/urn:li:share:7146482801830277120/?commentUrn=urn:li:comment:(urn:li:activity:7146482802480365568,7152366337200128000)","https://www.linkedin.com/feed/update/urn:li:share:7146482801830277120/?commentUrn=urn:li:comment:(urn:li:activity:7146482802480365568,7152366337200128000)")</f>
        <v>https://www.linkedin.com/feed/update/urn:li:share:7146482801830277120/?commentUrn=urn:li:comment:(urn:li:activity:7146482802480365568,7152366337200128000)</v>
      </c>
      <c r="K5136" t="s">
        <v>145</v>
      </c>
      <c r="O5136">
        <v>0</v>
      </c>
      <c r="P5136">
        <v>0</v>
      </c>
      <c r="Q5136">
        <v>0</v>
      </c>
      <c r="S5136">
        <v>0</v>
      </c>
      <c r="T5136">
        <v>0</v>
      </c>
      <c r="U5136">
        <v>0</v>
      </c>
      <c r="W5136" t="s">
        <v>62</v>
      </c>
    </row>
    <row r="5137" spans="1:45" x14ac:dyDescent="0.35">
      <c r="A5137" t="s">
        <v>45</v>
      </c>
      <c r="B5137" t="s">
        <v>11641</v>
      </c>
      <c r="C5137" t="s">
        <v>139</v>
      </c>
      <c r="D5137" t="s">
        <v>11642</v>
      </c>
      <c r="E5137" t="s">
        <v>11643</v>
      </c>
      <c r="F5137" t="s">
        <v>76</v>
      </c>
      <c r="G5137" t="s">
        <v>11644</v>
      </c>
      <c r="H5137" t="s">
        <v>11645</v>
      </c>
      <c r="J5137" t="str">
        <f>HYPERLINK("https://twitter.com/sescoaliwa38225/status/1746592118724821502","https://twitter.com/sescoaliwa38225/status/1746592118724821502")</f>
        <v>https://twitter.com/sescoaliwa38225/status/1746592118724821502</v>
      </c>
      <c r="O5137">
        <v>0</v>
      </c>
      <c r="P5137">
        <v>0</v>
      </c>
      <c r="Q5137">
        <v>0</v>
      </c>
      <c r="S5137">
        <v>0</v>
      </c>
      <c r="T5137">
        <v>0</v>
      </c>
      <c r="U5137">
        <v>0</v>
      </c>
      <c r="W5137" t="s">
        <v>146</v>
      </c>
    </row>
    <row r="5138" spans="1:45" x14ac:dyDescent="0.35">
      <c r="A5138" t="s">
        <v>45</v>
      </c>
      <c r="B5138" t="s">
        <v>11641</v>
      </c>
      <c r="C5138" t="s">
        <v>58</v>
      </c>
      <c r="D5138" t="s">
        <v>11628</v>
      </c>
      <c r="E5138" t="s">
        <v>11628</v>
      </c>
      <c r="F5138" t="s">
        <v>49</v>
      </c>
      <c r="G5138" t="s">
        <v>11629</v>
      </c>
      <c r="H5138" t="s">
        <v>11646</v>
      </c>
      <c r="J5138" t="str">
        <f>HYPERLINK("https://www.youtube.com/watch?v=W5q3s_koX6I","https://www.youtube.com/watch?v=W5q3s_koX6I")</f>
        <v>https://www.youtube.com/watch?v=W5q3s_koX6I</v>
      </c>
      <c r="O5138">
        <v>0</v>
      </c>
      <c r="P5138">
        <v>0</v>
      </c>
      <c r="Q5138">
        <v>0</v>
      </c>
      <c r="S5138">
        <v>0</v>
      </c>
      <c r="T5138">
        <v>0</v>
      </c>
      <c r="U5138">
        <v>0</v>
      </c>
      <c r="W5138" t="s">
        <v>106</v>
      </c>
    </row>
    <row r="5139" spans="1:45" x14ac:dyDescent="0.35">
      <c r="A5139" t="s">
        <v>45</v>
      </c>
      <c r="B5139" t="s">
        <v>11641</v>
      </c>
      <c r="C5139" t="s">
        <v>47</v>
      </c>
      <c r="D5139" t="s">
        <v>11647</v>
      </c>
      <c r="E5139" t="s">
        <v>11647</v>
      </c>
      <c r="F5139" t="s">
        <v>49</v>
      </c>
      <c r="G5139" t="s">
        <v>11648</v>
      </c>
      <c r="H5139" t="s">
        <v>11649</v>
      </c>
      <c r="J5139" t="str">
        <f>HYPERLINK("https://www.facebook.com/357267201017935/inbox/6920515678026355/","https://www.facebook.com/357267201017935/inbox/6920515678026355/")</f>
        <v>https://www.facebook.com/357267201017935/inbox/6920515678026355/</v>
      </c>
      <c r="O5139">
        <v>0</v>
      </c>
      <c r="P5139">
        <v>0</v>
      </c>
      <c r="Q5139">
        <v>0</v>
      </c>
      <c r="S5139">
        <v>0</v>
      </c>
      <c r="T5139">
        <v>0</v>
      </c>
      <c r="U5139">
        <v>0</v>
      </c>
      <c r="W5139" t="s">
        <v>52</v>
      </c>
      <c r="Y5139" t="s">
        <v>11650</v>
      </c>
      <c r="Z5139" t="s">
        <v>613</v>
      </c>
      <c r="AA5139" t="s">
        <v>614</v>
      </c>
    </row>
    <row r="5140" spans="1:45" x14ac:dyDescent="0.35">
      <c r="A5140" t="s">
        <v>45</v>
      </c>
      <c r="B5140" t="s">
        <v>11641</v>
      </c>
      <c r="C5140" t="s">
        <v>47</v>
      </c>
      <c r="D5140" t="s">
        <v>11647</v>
      </c>
      <c r="E5140" t="s">
        <v>11647</v>
      </c>
      <c r="F5140" t="s">
        <v>49</v>
      </c>
      <c r="G5140" t="s">
        <v>11651</v>
      </c>
      <c r="H5140" t="s">
        <v>11652</v>
      </c>
      <c r="J5140" t="str">
        <f>HYPERLINK("https://www.facebook.com/357267201017935/inbox/6920515678026355/","https://www.facebook.com/357267201017935/inbox/6920515678026355/")</f>
        <v>https://www.facebook.com/357267201017935/inbox/6920515678026355/</v>
      </c>
      <c r="O5140">
        <v>0</v>
      </c>
      <c r="P5140">
        <v>0</v>
      </c>
      <c r="Q5140">
        <v>0</v>
      </c>
      <c r="S5140">
        <v>0</v>
      </c>
      <c r="T5140">
        <v>0</v>
      </c>
      <c r="U5140">
        <v>0</v>
      </c>
      <c r="W5140" t="s">
        <v>52</v>
      </c>
    </row>
    <row r="5141" spans="1:45" x14ac:dyDescent="0.35">
      <c r="A5141" t="s">
        <v>45</v>
      </c>
      <c r="B5141" t="s">
        <v>11641</v>
      </c>
      <c r="C5141" t="s">
        <v>47</v>
      </c>
      <c r="D5141" t="s">
        <v>11647</v>
      </c>
      <c r="E5141" t="s">
        <v>11647</v>
      </c>
      <c r="F5141" t="s">
        <v>49</v>
      </c>
      <c r="G5141" t="s">
        <v>11653</v>
      </c>
      <c r="H5141" t="s">
        <v>11654</v>
      </c>
      <c r="J5141" t="str">
        <f>HYPERLINK("https://www.facebook.com/357267201017935/inbox/6920515678026355/","https://www.facebook.com/357267201017935/inbox/6920515678026355/")</f>
        <v>https://www.facebook.com/357267201017935/inbox/6920515678026355/</v>
      </c>
      <c r="O5141">
        <v>0</v>
      </c>
      <c r="P5141">
        <v>0</v>
      </c>
      <c r="Q5141">
        <v>0</v>
      </c>
      <c r="S5141">
        <v>0</v>
      </c>
      <c r="T5141">
        <v>0</v>
      </c>
      <c r="U5141">
        <v>0</v>
      </c>
      <c r="W5141" t="s">
        <v>52</v>
      </c>
      <c r="AS5141" t="s">
        <v>375</v>
      </c>
    </row>
    <row r="5142" spans="1:45" x14ac:dyDescent="0.35">
      <c r="A5142" t="s">
        <v>45</v>
      </c>
      <c r="B5142" t="s">
        <v>11641</v>
      </c>
      <c r="C5142" t="s">
        <v>47</v>
      </c>
      <c r="D5142" t="s">
        <v>11647</v>
      </c>
      <c r="E5142" t="s">
        <v>11647</v>
      </c>
      <c r="F5142" t="s">
        <v>49</v>
      </c>
      <c r="G5142" t="s">
        <v>11655</v>
      </c>
      <c r="H5142" t="s">
        <v>11656</v>
      </c>
      <c r="J5142" t="str">
        <f>HYPERLINK("https://www.facebook.com/357267201017935/inbox/6920515678026355/","https://www.facebook.com/357267201017935/inbox/6920515678026355/")</f>
        <v>https://www.facebook.com/357267201017935/inbox/6920515678026355/</v>
      </c>
      <c r="O5142">
        <v>0</v>
      </c>
      <c r="P5142">
        <v>0</v>
      </c>
      <c r="Q5142">
        <v>0</v>
      </c>
      <c r="S5142">
        <v>0</v>
      </c>
      <c r="T5142">
        <v>0</v>
      </c>
      <c r="U5142">
        <v>0</v>
      </c>
      <c r="W5142" t="s">
        <v>52</v>
      </c>
      <c r="AS5142" t="s">
        <v>375</v>
      </c>
    </row>
    <row r="5143" spans="1:45" x14ac:dyDescent="0.35">
      <c r="A5143" t="s">
        <v>45</v>
      </c>
      <c r="B5143" t="s">
        <v>11641</v>
      </c>
      <c r="C5143" t="s">
        <v>47</v>
      </c>
      <c r="D5143" t="s">
        <v>11657</v>
      </c>
      <c r="E5143" t="s">
        <v>11657</v>
      </c>
      <c r="F5143" t="s">
        <v>49</v>
      </c>
      <c r="G5143" t="s">
        <v>11658</v>
      </c>
      <c r="H5143" t="s">
        <v>11659</v>
      </c>
      <c r="J5143" t="str">
        <f>HYPERLINK("https://www.facebook.com/454965103328545/posts/752461300245589?comment_id=913807123652158","https://www.facebook.com/454965103328545/posts/752461300245589?comment_id=913807123652158")</f>
        <v>https://www.facebook.com/454965103328545/posts/752461300245589?comment_id=913807123652158</v>
      </c>
      <c r="O5143">
        <v>0</v>
      </c>
      <c r="P5143">
        <v>0</v>
      </c>
      <c r="Q5143">
        <v>0</v>
      </c>
      <c r="S5143">
        <v>0</v>
      </c>
      <c r="T5143">
        <v>0</v>
      </c>
      <c r="U5143">
        <v>0</v>
      </c>
      <c r="W5143" t="s">
        <v>62</v>
      </c>
      <c r="AP5143" t="s">
        <v>101</v>
      </c>
      <c r="AS5143" t="s">
        <v>375</v>
      </c>
    </row>
    <row r="5144" spans="1:45" x14ac:dyDescent="0.35">
      <c r="A5144" t="s">
        <v>45</v>
      </c>
      <c r="B5144" t="s">
        <v>11641</v>
      </c>
      <c r="C5144" t="s">
        <v>47</v>
      </c>
      <c r="D5144" t="s">
        <v>11657</v>
      </c>
      <c r="E5144" t="s">
        <v>11657</v>
      </c>
      <c r="F5144" t="s">
        <v>49</v>
      </c>
      <c r="G5144" t="s">
        <v>11660</v>
      </c>
      <c r="H5144" t="s">
        <v>11661</v>
      </c>
      <c r="J5144" t="str">
        <f>HYPERLINK("https://www.facebook.com/454965103328545/posts/752461300245589?comment_id=1124667858700666","https://www.facebook.com/454965103328545/posts/752461300245589?comment_id=1124667858700666")</f>
        <v>https://www.facebook.com/454965103328545/posts/752461300245589?comment_id=1124667858700666</v>
      </c>
      <c r="O5144">
        <v>0</v>
      </c>
      <c r="P5144">
        <v>0</v>
      </c>
      <c r="Q5144">
        <v>0</v>
      </c>
      <c r="S5144">
        <v>0</v>
      </c>
      <c r="T5144">
        <v>0</v>
      </c>
      <c r="U5144">
        <v>0</v>
      </c>
      <c r="W5144" t="s">
        <v>62</v>
      </c>
    </row>
    <row r="5145" spans="1:45" x14ac:dyDescent="0.35">
      <c r="A5145" t="s">
        <v>45</v>
      </c>
      <c r="B5145" t="s">
        <v>11641</v>
      </c>
      <c r="C5145" t="s">
        <v>47</v>
      </c>
      <c r="D5145" t="s">
        <v>11662</v>
      </c>
      <c r="E5145" t="s">
        <v>11662</v>
      </c>
      <c r="F5145" t="s">
        <v>142</v>
      </c>
      <c r="G5145" t="s">
        <v>11663</v>
      </c>
      <c r="H5145" t="s">
        <v>11664</v>
      </c>
      <c r="J5145" t="str">
        <f>HYPERLINK("https://www.facebook.com/357267201017935/inbox/6920409311370325/","https://www.facebook.com/357267201017935/inbox/6920409311370325/")</f>
        <v>https://www.facebook.com/357267201017935/inbox/6920409311370325/</v>
      </c>
      <c r="O5145">
        <v>0</v>
      </c>
      <c r="P5145">
        <v>0</v>
      </c>
      <c r="Q5145">
        <v>0</v>
      </c>
      <c r="S5145">
        <v>0</v>
      </c>
      <c r="T5145">
        <v>0</v>
      </c>
      <c r="U5145">
        <v>0</v>
      </c>
      <c r="W5145" t="s">
        <v>52</v>
      </c>
    </row>
    <row r="5146" spans="1:45" x14ac:dyDescent="0.35">
      <c r="A5146" t="s">
        <v>45</v>
      </c>
      <c r="B5146" t="s">
        <v>11641</v>
      </c>
      <c r="C5146" t="s">
        <v>58</v>
      </c>
      <c r="D5146" t="s">
        <v>3440</v>
      </c>
      <c r="E5146" t="s">
        <v>3440</v>
      </c>
      <c r="F5146" t="s">
        <v>49</v>
      </c>
      <c r="G5146" t="s">
        <v>11665</v>
      </c>
      <c r="H5146" t="s">
        <v>11666</v>
      </c>
      <c r="J5146" t="str">
        <f>HYPERLINK("https://www.youtube.com/watch?v=ecXXFEwSqno","https://www.youtube.com/watch?v=ecXXFEwSqno")</f>
        <v>https://www.youtube.com/watch?v=ecXXFEwSqno</v>
      </c>
      <c r="O5146">
        <v>0</v>
      </c>
      <c r="P5146">
        <v>0</v>
      </c>
      <c r="Q5146">
        <v>0</v>
      </c>
      <c r="S5146">
        <v>0</v>
      </c>
      <c r="T5146">
        <v>0</v>
      </c>
      <c r="U5146">
        <v>0</v>
      </c>
      <c r="W5146" t="s">
        <v>106</v>
      </c>
      <c r="AP5146" t="s">
        <v>101</v>
      </c>
    </row>
    <row r="5147" spans="1:45" x14ac:dyDescent="0.35">
      <c r="A5147" t="s">
        <v>45</v>
      </c>
      <c r="B5147" t="s">
        <v>11641</v>
      </c>
      <c r="C5147" t="s">
        <v>47</v>
      </c>
      <c r="D5147" t="s">
        <v>11472</v>
      </c>
      <c r="E5147" t="s">
        <v>11472</v>
      </c>
      <c r="F5147" t="s">
        <v>49</v>
      </c>
      <c r="G5147" t="s">
        <v>373</v>
      </c>
      <c r="H5147" t="s">
        <v>11667</v>
      </c>
      <c r="J5147" t="str">
        <f>HYPERLINK("https://www.facebook.com/357267201017935/inbox/6676058172472108/","https://www.facebook.com/357267201017935/inbox/6676058172472108/")</f>
        <v>https://www.facebook.com/357267201017935/inbox/6676058172472108/</v>
      </c>
      <c r="O5147">
        <v>0</v>
      </c>
      <c r="P5147">
        <v>0</v>
      </c>
      <c r="Q5147">
        <v>0</v>
      </c>
      <c r="S5147">
        <v>0</v>
      </c>
      <c r="T5147">
        <v>0</v>
      </c>
      <c r="U5147">
        <v>0</v>
      </c>
      <c r="W5147" t="s">
        <v>52</v>
      </c>
      <c r="AS5147" t="s">
        <v>375</v>
      </c>
    </row>
    <row r="5148" spans="1:45" x14ac:dyDescent="0.35">
      <c r="A5148" t="s">
        <v>45</v>
      </c>
      <c r="B5148" t="s">
        <v>11641</v>
      </c>
      <c r="C5148" t="s">
        <v>47</v>
      </c>
      <c r="D5148" t="s">
        <v>11668</v>
      </c>
      <c r="E5148" t="s">
        <v>11668</v>
      </c>
      <c r="F5148" t="s">
        <v>76</v>
      </c>
      <c r="G5148" t="s">
        <v>11669</v>
      </c>
      <c r="H5148" t="s">
        <v>11670</v>
      </c>
      <c r="J5148" t="str">
        <f>HYPERLINK("https://www.facebook.com/454965103328545/posts/752461300245589?comment_id=2015134752182122","https://www.facebook.com/454965103328545/posts/752461300245589?comment_id=2015134752182122")</f>
        <v>https://www.facebook.com/454965103328545/posts/752461300245589?comment_id=2015134752182122</v>
      </c>
      <c r="O5148">
        <v>0</v>
      </c>
      <c r="P5148">
        <v>0</v>
      </c>
      <c r="Q5148">
        <v>0</v>
      </c>
      <c r="S5148">
        <v>0</v>
      </c>
      <c r="T5148">
        <v>0</v>
      </c>
      <c r="U5148">
        <v>0</v>
      </c>
      <c r="W5148" t="s">
        <v>62</v>
      </c>
    </row>
    <row r="5149" spans="1:45" x14ac:dyDescent="0.35">
      <c r="A5149" t="s">
        <v>45</v>
      </c>
      <c r="B5149" t="s">
        <v>11641</v>
      </c>
      <c r="C5149" t="s">
        <v>47</v>
      </c>
      <c r="F5149" t="s">
        <v>76</v>
      </c>
      <c r="G5149" t="s">
        <v>11671</v>
      </c>
      <c r="H5149" t="s">
        <v>11672</v>
      </c>
      <c r="J5149" t="str">
        <f>HYPERLINK("https://www.facebook.com/6820763411346178_10233049682414777","https://www.facebook.com/6820763411346178_10233049682414777")</f>
        <v>https://www.facebook.com/6820763411346178_10233049682414777</v>
      </c>
      <c r="O5149">
        <v>0</v>
      </c>
      <c r="P5149">
        <v>0</v>
      </c>
      <c r="Q5149">
        <v>0</v>
      </c>
      <c r="S5149">
        <v>0</v>
      </c>
      <c r="T5149">
        <v>0</v>
      </c>
      <c r="U5149">
        <v>0</v>
      </c>
      <c r="W5149" t="s">
        <v>106</v>
      </c>
    </row>
    <row r="5150" spans="1:45" x14ac:dyDescent="0.35">
      <c r="A5150" t="s">
        <v>45</v>
      </c>
      <c r="B5150" t="s">
        <v>11641</v>
      </c>
      <c r="C5150" t="s">
        <v>58</v>
      </c>
      <c r="D5150" t="s">
        <v>3079</v>
      </c>
      <c r="E5150" t="s">
        <v>3079</v>
      </c>
      <c r="F5150" t="s">
        <v>49</v>
      </c>
      <c r="G5150" t="s">
        <v>11673</v>
      </c>
      <c r="H5150" t="s">
        <v>11674</v>
      </c>
      <c r="J5150" t="str">
        <f>HYPERLINK("https://www.youtube.com/watch?v=fZTGAQDW1Lo","https://www.youtube.com/watch?v=fZTGAQDW1Lo")</f>
        <v>https://www.youtube.com/watch?v=fZTGAQDW1Lo</v>
      </c>
      <c r="O5150">
        <v>0</v>
      </c>
      <c r="P5150">
        <v>0</v>
      </c>
      <c r="Q5150">
        <v>0</v>
      </c>
      <c r="S5150">
        <v>0</v>
      </c>
      <c r="T5150">
        <v>0</v>
      </c>
      <c r="U5150">
        <v>0</v>
      </c>
      <c r="W5150" t="s">
        <v>106</v>
      </c>
    </row>
    <row r="5151" spans="1:45" x14ac:dyDescent="0.35">
      <c r="A5151" t="s">
        <v>45</v>
      </c>
      <c r="B5151" t="s">
        <v>11641</v>
      </c>
      <c r="C5151" t="s">
        <v>47</v>
      </c>
      <c r="D5151" t="s">
        <v>98</v>
      </c>
      <c r="E5151" t="s">
        <v>98</v>
      </c>
      <c r="F5151" t="s">
        <v>49</v>
      </c>
      <c r="G5151" t="s">
        <v>3343</v>
      </c>
      <c r="H5151" t="s">
        <v>11675</v>
      </c>
      <c r="J5151" t="str">
        <f>HYPERLINK("https://www.facebook.com/454965103328545/posts/751213870370332?comment_id=185120117991469","https://www.facebook.com/454965103328545/posts/751213870370332?comment_id=185120117991469")</f>
        <v>https://www.facebook.com/454965103328545/posts/751213870370332?comment_id=185120117991469</v>
      </c>
      <c r="O5151">
        <v>0</v>
      </c>
      <c r="P5151">
        <v>0</v>
      </c>
      <c r="Q5151">
        <v>0</v>
      </c>
      <c r="S5151">
        <v>0</v>
      </c>
      <c r="T5151">
        <v>0</v>
      </c>
      <c r="U5151">
        <v>0</v>
      </c>
      <c r="W5151" t="s">
        <v>62</v>
      </c>
    </row>
    <row r="5152" spans="1:45" x14ac:dyDescent="0.35">
      <c r="A5152" t="s">
        <v>45</v>
      </c>
      <c r="B5152" t="s">
        <v>11641</v>
      </c>
      <c r="C5152" t="s">
        <v>47</v>
      </c>
      <c r="D5152" t="s">
        <v>98</v>
      </c>
      <c r="E5152" t="s">
        <v>98</v>
      </c>
      <c r="F5152" t="s">
        <v>49</v>
      </c>
      <c r="G5152" t="s">
        <v>3343</v>
      </c>
      <c r="H5152" t="s">
        <v>11676</v>
      </c>
      <c r="J5152" t="str">
        <f>HYPERLINK("https://www.facebook.com/454965103328545/posts/752461300245589?comment_id=269554612569743","https://www.facebook.com/454965103328545/posts/752461300245589?comment_id=269554612569743")</f>
        <v>https://www.facebook.com/454965103328545/posts/752461300245589?comment_id=269554612569743</v>
      </c>
      <c r="O5152">
        <v>0</v>
      </c>
      <c r="P5152">
        <v>0</v>
      </c>
      <c r="Q5152">
        <v>0</v>
      </c>
      <c r="S5152">
        <v>0</v>
      </c>
      <c r="T5152">
        <v>0</v>
      </c>
      <c r="U5152">
        <v>0</v>
      </c>
      <c r="W5152" t="s">
        <v>62</v>
      </c>
    </row>
    <row r="5153" spans="1:45" x14ac:dyDescent="0.35">
      <c r="A5153" t="s">
        <v>45</v>
      </c>
      <c r="B5153" t="s">
        <v>11641</v>
      </c>
      <c r="C5153" t="s">
        <v>139</v>
      </c>
      <c r="D5153" t="s">
        <v>11047</v>
      </c>
      <c r="E5153" t="s">
        <v>11048</v>
      </c>
      <c r="F5153" t="s">
        <v>49</v>
      </c>
      <c r="G5153" t="s">
        <v>11677</v>
      </c>
      <c r="H5153" t="s">
        <v>11678</v>
      </c>
      <c r="J5153" t="str">
        <f>HYPERLINK("https://twitter.com/Parmeshwar7755/status/1746478173884457448","https://twitter.com/Parmeshwar7755/status/1746478173884457448")</f>
        <v>https://twitter.com/Parmeshwar7755/status/1746478173884457448</v>
      </c>
      <c r="K5153" t="s">
        <v>145</v>
      </c>
      <c r="O5153">
        <v>0</v>
      </c>
      <c r="P5153">
        <v>0</v>
      </c>
      <c r="Q5153">
        <v>25</v>
      </c>
      <c r="R5153" t="s">
        <v>582</v>
      </c>
      <c r="S5153">
        <v>0</v>
      </c>
      <c r="T5153">
        <v>0</v>
      </c>
      <c r="U5153">
        <v>0</v>
      </c>
      <c r="W5153" t="s">
        <v>146</v>
      </c>
      <c r="AS5153" t="s">
        <v>375</v>
      </c>
    </row>
    <row r="5154" spans="1:45" x14ac:dyDescent="0.35">
      <c r="A5154" t="s">
        <v>45</v>
      </c>
      <c r="B5154" t="s">
        <v>11641</v>
      </c>
      <c r="C5154" t="s">
        <v>47</v>
      </c>
      <c r="D5154" t="s">
        <v>746</v>
      </c>
      <c r="E5154" t="s">
        <v>746</v>
      </c>
      <c r="F5154" t="s">
        <v>49</v>
      </c>
      <c r="G5154" t="s">
        <v>253</v>
      </c>
      <c r="H5154" t="s">
        <v>11679</v>
      </c>
      <c r="J5154" t="str">
        <f>HYPERLINK("https://www.facebook.com/357267201017935/inbox/6918553994889190/","https://www.facebook.com/357267201017935/inbox/6918553994889190/")</f>
        <v>https://www.facebook.com/357267201017935/inbox/6918553994889190/</v>
      </c>
      <c r="O5154">
        <v>0</v>
      </c>
      <c r="P5154">
        <v>0</v>
      </c>
      <c r="Q5154">
        <v>0</v>
      </c>
      <c r="S5154">
        <v>0</v>
      </c>
      <c r="T5154">
        <v>0</v>
      </c>
      <c r="U5154">
        <v>0</v>
      </c>
      <c r="W5154" t="s">
        <v>52</v>
      </c>
    </row>
    <row r="5155" spans="1:45" x14ac:dyDescent="0.35">
      <c r="A5155" t="s">
        <v>45</v>
      </c>
      <c r="B5155" t="s">
        <v>11641</v>
      </c>
      <c r="C5155" t="s">
        <v>47</v>
      </c>
      <c r="D5155" t="s">
        <v>746</v>
      </c>
      <c r="E5155" t="s">
        <v>746</v>
      </c>
      <c r="F5155" t="s">
        <v>142</v>
      </c>
      <c r="G5155" t="s">
        <v>11680</v>
      </c>
      <c r="H5155" t="s">
        <v>11681</v>
      </c>
      <c r="J5155" t="str">
        <f>HYPERLINK("https://www.facebook.com/357267201017935/inbox/6918553994889190/","https://www.facebook.com/357267201017935/inbox/6918553994889190/")</f>
        <v>https://www.facebook.com/357267201017935/inbox/6918553994889190/</v>
      </c>
      <c r="O5155">
        <v>0</v>
      </c>
      <c r="P5155">
        <v>0</v>
      </c>
      <c r="Q5155">
        <v>0</v>
      </c>
      <c r="S5155">
        <v>0</v>
      </c>
      <c r="T5155">
        <v>0</v>
      </c>
      <c r="U5155">
        <v>0</v>
      </c>
      <c r="W5155" t="s">
        <v>52</v>
      </c>
      <c r="AP5155" t="s">
        <v>147</v>
      </c>
      <c r="AS5155" t="s">
        <v>375</v>
      </c>
    </row>
    <row r="5156" spans="1:45" x14ac:dyDescent="0.35">
      <c r="A5156" t="s">
        <v>45</v>
      </c>
      <c r="B5156" t="s">
        <v>11641</v>
      </c>
      <c r="C5156" t="s">
        <v>47</v>
      </c>
      <c r="D5156" t="s">
        <v>746</v>
      </c>
      <c r="E5156" t="s">
        <v>746</v>
      </c>
      <c r="F5156" t="s">
        <v>49</v>
      </c>
      <c r="G5156" t="s">
        <v>11682</v>
      </c>
      <c r="H5156" t="s">
        <v>11683</v>
      </c>
      <c r="J5156" t="str">
        <f>HYPERLINK("https://www.facebook.com/357267201017935/inbox/6918553994889190/","https://www.facebook.com/357267201017935/inbox/6918553994889190/")</f>
        <v>https://www.facebook.com/357267201017935/inbox/6918553994889190/</v>
      </c>
      <c r="O5156">
        <v>0</v>
      </c>
      <c r="P5156">
        <v>0</v>
      </c>
      <c r="Q5156">
        <v>0</v>
      </c>
      <c r="S5156">
        <v>0</v>
      </c>
      <c r="T5156">
        <v>0</v>
      </c>
      <c r="U5156">
        <v>0</v>
      </c>
      <c r="W5156" t="s">
        <v>52</v>
      </c>
      <c r="AS5156" t="s">
        <v>375</v>
      </c>
    </row>
    <row r="5157" spans="1:45" x14ac:dyDescent="0.35">
      <c r="A5157" t="s">
        <v>45</v>
      </c>
      <c r="B5157" t="s">
        <v>11641</v>
      </c>
      <c r="C5157" t="s">
        <v>47</v>
      </c>
      <c r="D5157" t="s">
        <v>746</v>
      </c>
      <c r="E5157" t="s">
        <v>746</v>
      </c>
      <c r="F5157" t="s">
        <v>76</v>
      </c>
      <c r="G5157" t="s">
        <v>11684</v>
      </c>
      <c r="H5157" t="s">
        <v>11685</v>
      </c>
      <c r="J5157" t="str">
        <f>HYPERLINK("https://www.facebook.com/357267201017935/inbox/6918553994889190/","https://www.facebook.com/357267201017935/inbox/6918553994889190/")</f>
        <v>https://www.facebook.com/357267201017935/inbox/6918553994889190/</v>
      </c>
      <c r="O5157">
        <v>0</v>
      </c>
      <c r="P5157">
        <v>0</v>
      </c>
      <c r="Q5157">
        <v>0</v>
      </c>
      <c r="S5157">
        <v>0</v>
      </c>
      <c r="T5157">
        <v>0</v>
      </c>
      <c r="U5157">
        <v>0</v>
      </c>
      <c r="W5157" t="s">
        <v>52</v>
      </c>
      <c r="AS5157" t="s">
        <v>375</v>
      </c>
    </row>
    <row r="5158" spans="1:45" x14ac:dyDescent="0.35">
      <c r="A5158" t="s">
        <v>45</v>
      </c>
      <c r="B5158" t="s">
        <v>11641</v>
      </c>
      <c r="C5158" t="s">
        <v>47</v>
      </c>
      <c r="D5158" t="s">
        <v>746</v>
      </c>
      <c r="E5158" t="s">
        <v>746</v>
      </c>
      <c r="F5158" t="s">
        <v>49</v>
      </c>
      <c r="G5158" t="s">
        <v>50</v>
      </c>
      <c r="H5158" t="s">
        <v>11686</v>
      </c>
      <c r="J5158" t="str">
        <f>HYPERLINK("https://www.facebook.com/357267201017935/inbox/6918553994889190/","https://www.facebook.com/357267201017935/inbox/6918553994889190/")</f>
        <v>https://www.facebook.com/357267201017935/inbox/6918553994889190/</v>
      </c>
      <c r="O5158">
        <v>0</v>
      </c>
      <c r="P5158">
        <v>0</v>
      </c>
      <c r="Q5158">
        <v>0</v>
      </c>
      <c r="S5158">
        <v>0</v>
      </c>
      <c r="T5158">
        <v>0</v>
      </c>
      <c r="U5158">
        <v>0</v>
      </c>
      <c r="W5158" t="s">
        <v>52</v>
      </c>
      <c r="AS5158" t="s">
        <v>375</v>
      </c>
    </row>
    <row r="5159" spans="1:45" x14ac:dyDescent="0.35">
      <c r="A5159" t="s">
        <v>45</v>
      </c>
      <c r="B5159" t="s">
        <v>11641</v>
      </c>
      <c r="C5159" t="s">
        <v>47</v>
      </c>
      <c r="D5159" t="s">
        <v>7714</v>
      </c>
      <c r="E5159" t="s">
        <v>7714</v>
      </c>
      <c r="F5159" t="s">
        <v>76</v>
      </c>
      <c r="G5159" t="s">
        <v>11687</v>
      </c>
      <c r="H5159" t="s">
        <v>11688</v>
      </c>
      <c r="J5159" t="str">
        <f>HYPERLINK("https://www.facebook.com/454965103328545/posts/752510810240638?comment_id=395567286341627","https://www.facebook.com/454965103328545/posts/752510810240638?comment_id=395567286341627")</f>
        <v>https://www.facebook.com/454965103328545/posts/752510810240638?comment_id=395567286341627</v>
      </c>
      <c r="O5159">
        <v>0</v>
      </c>
      <c r="P5159">
        <v>0</v>
      </c>
      <c r="Q5159">
        <v>0</v>
      </c>
      <c r="S5159">
        <v>0</v>
      </c>
      <c r="T5159">
        <v>0</v>
      </c>
      <c r="U5159">
        <v>0</v>
      </c>
      <c r="W5159" t="s">
        <v>62</v>
      </c>
    </row>
    <row r="5160" spans="1:45" x14ac:dyDescent="0.35">
      <c r="A5160" t="s">
        <v>45</v>
      </c>
      <c r="B5160" t="s">
        <v>11641</v>
      </c>
      <c r="C5160" t="s">
        <v>47</v>
      </c>
      <c r="D5160" t="s">
        <v>205</v>
      </c>
      <c r="E5160" t="s">
        <v>205</v>
      </c>
      <c r="F5160" t="s">
        <v>76</v>
      </c>
      <c r="G5160" t="s">
        <v>11689</v>
      </c>
      <c r="H5160" t="s">
        <v>11690</v>
      </c>
      <c r="J5160" t="str">
        <f>HYPERLINK("https://www.facebook.com/454965103328545/posts/752510810240638?comment_id=753681112787702","https://www.facebook.com/454965103328545/posts/752510810240638?comment_id=753681112787702")</f>
        <v>https://www.facebook.com/454965103328545/posts/752510810240638?comment_id=753681112787702</v>
      </c>
      <c r="O5160">
        <v>0</v>
      </c>
      <c r="P5160">
        <v>0</v>
      </c>
      <c r="Q5160">
        <v>0</v>
      </c>
      <c r="S5160">
        <v>0</v>
      </c>
      <c r="T5160">
        <v>0</v>
      </c>
      <c r="U5160">
        <v>0</v>
      </c>
      <c r="W5160" t="s">
        <v>62</v>
      </c>
    </row>
    <row r="5161" spans="1:45" x14ac:dyDescent="0.35">
      <c r="A5161" t="s">
        <v>45</v>
      </c>
      <c r="B5161" t="s">
        <v>11641</v>
      </c>
      <c r="C5161" t="s">
        <v>47</v>
      </c>
      <c r="D5161" t="s">
        <v>45</v>
      </c>
      <c r="E5161" t="s">
        <v>45</v>
      </c>
      <c r="F5161" t="s">
        <v>49</v>
      </c>
      <c r="G5161" t="s">
        <v>11691</v>
      </c>
      <c r="H5161" t="s">
        <v>11692</v>
      </c>
      <c r="J5161" t="str">
        <f>HYPERLINK("https://www.facebook.com/357267201017935_752510810240638","https://www.facebook.com/357267201017935_752510810240638")</f>
        <v>https://www.facebook.com/357267201017935_752510810240638</v>
      </c>
      <c r="O5161">
        <v>0</v>
      </c>
      <c r="P5161">
        <v>0</v>
      </c>
      <c r="Q5161">
        <v>0</v>
      </c>
      <c r="S5161">
        <v>3</v>
      </c>
      <c r="T5161">
        <v>75</v>
      </c>
      <c r="U5161">
        <v>11</v>
      </c>
      <c r="W5161" t="s">
        <v>106</v>
      </c>
    </row>
    <row r="5162" spans="1:45" x14ac:dyDescent="0.35">
      <c r="A5162" t="s">
        <v>45</v>
      </c>
      <c r="B5162" t="s">
        <v>11641</v>
      </c>
      <c r="C5162" t="s">
        <v>139</v>
      </c>
      <c r="D5162" t="s">
        <v>190</v>
      </c>
      <c r="E5162" t="s">
        <v>45</v>
      </c>
      <c r="F5162" t="s">
        <v>49</v>
      </c>
      <c r="G5162" t="s">
        <v>11693</v>
      </c>
      <c r="H5162" t="s">
        <v>11692</v>
      </c>
      <c r="J5162" t="str">
        <f>HYPERLINK("https://twitter.com/FinoPaymntsBank/status/1746358976273662040","https://twitter.com/FinoPaymntsBank/status/1746358976273662040")</f>
        <v>https://twitter.com/FinoPaymntsBank/status/1746358976273662040</v>
      </c>
      <c r="K5162" t="s">
        <v>145</v>
      </c>
      <c r="O5162">
        <v>0</v>
      </c>
      <c r="P5162">
        <v>0</v>
      </c>
      <c r="Q5162">
        <v>8304</v>
      </c>
      <c r="R5162" t="s">
        <v>193</v>
      </c>
      <c r="S5162">
        <v>0</v>
      </c>
      <c r="T5162">
        <v>0</v>
      </c>
      <c r="U5162">
        <v>0</v>
      </c>
      <c r="W5162" t="s">
        <v>146</v>
      </c>
    </row>
    <row r="5163" spans="1:45" x14ac:dyDescent="0.35">
      <c r="A5163" t="s">
        <v>45</v>
      </c>
      <c r="B5163" t="s">
        <v>11641</v>
      </c>
      <c r="C5163" t="s">
        <v>139</v>
      </c>
      <c r="D5163" t="s">
        <v>11694</v>
      </c>
      <c r="E5163" t="s">
        <v>11695</v>
      </c>
      <c r="F5163" t="s">
        <v>76</v>
      </c>
      <c r="G5163" t="s">
        <v>11696</v>
      </c>
      <c r="H5163" t="s">
        <v>11697</v>
      </c>
      <c r="J5163" t="str">
        <f>HYPERLINK("https://twitter.com/trogarsilc78786/status/1746346791333658968","https://twitter.com/trogarsilc78786/status/1746346791333658968")</f>
        <v>https://twitter.com/trogarsilc78786/status/1746346791333658968</v>
      </c>
      <c r="O5163">
        <v>0</v>
      </c>
      <c r="P5163">
        <v>0</v>
      </c>
      <c r="Q5163">
        <v>0</v>
      </c>
      <c r="S5163">
        <v>0</v>
      </c>
      <c r="T5163">
        <v>0</v>
      </c>
      <c r="U5163">
        <v>0</v>
      </c>
      <c r="W5163" t="s">
        <v>146</v>
      </c>
    </row>
    <row r="5164" spans="1:45" x14ac:dyDescent="0.35">
      <c r="A5164" t="s">
        <v>45</v>
      </c>
      <c r="B5164" t="s">
        <v>11641</v>
      </c>
      <c r="C5164" t="s">
        <v>47</v>
      </c>
      <c r="D5164" t="s">
        <v>11698</v>
      </c>
      <c r="E5164" t="s">
        <v>11698</v>
      </c>
      <c r="F5164" t="s">
        <v>142</v>
      </c>
      <c r="G5164" t="s">
        <v>11699</v>
      </c>
      <c r="H5164" t="s">
        <v>11700</v>
      </c>
      <c r="J5164" t="str">
        <f>HYPERLINK("https://www.facebook.com/357267201017935/inbox/6918074981603758/","https://www.facebook.com/357267201017935/inbox/6918074981603758/")</f>
        <v>https://www.facebook.com/357267201017935/inbox/6918074981603758/</v>
      </c>
      <c r="O5164">
        <v>0</v>
      </c>
      <c r="P5164">
        <v>0</v>
      </c>
      <c r="Q5164">
        <v>0</v>
      </c>
      <c r="S5164">
        <v>0</v>
      </c>
      <c r="T5164">
        <v>0</v>
      </c>
      <c r="U5164">
        <v>0</v>
      </c>
      <c r="W5164" t="s">
        <v>52</v>
      </c>
    </row>
    <row r="5165" spans="1:45" x14ac:dyDescent="0.35">
      <c r="A5165" t="s">
        <v>45</v>
      </c>
      <c r="B5165" t="s">
        <v>11641</v>
      </c>
      <c r="C5165" t="s">
        <v>139</v>
      </c>
      <c r="D5165" t="s">
        <v>11701</v>
      </c>
      <c r="E5165" t="s">
        <v>11702</v>
      </c>
      <c r="F5165" t="s">
        <v>76</v>
      </c>
      <c r="G5165" t="s">
        <v>11703</v>
      </c>
      <c r="H5165" t="s">
        <v>11704</v>
      </c>
      <c r="J5165" t="str">
        <f>HYPERLINK("https://twitter.com/AngelaHeat91484/status/1746238667885007104","https://twitter.com/AngelaHeat91484/status/1746238667885007104")</f>
        <v>https://twitter.com/AngelaHeat91484/status/1746238667885007104</v>
      </c>
      <c r="K5165" t="s">
        <v>1769</v>
      </c>
      <c r="O5165">
        <v>0</v>
      </c>
      <c r="P5165">
        <v>0</v>
      </c>
      <c r="Q5165">
        <v>2</v>
      </c>
      <c r="S5165">
        <v>0</v>
      </c>
      <c r="T5165">
        <v>0</v>
      </c>
      <c r="U5165">
        <v>0</v>
      </c>
      <c r="W5165" t="s">
        <v>146</v>
      </c>
    </row>
    <row r="5166" spans="1:45" x14ac:dyDescent="0.35">
      <c r="A5166" t="s">
        <v>45</v>
      </c>
      <c r="B5166" t="s">
        <v>11641</v>
      </c>
      <c r="C5166" t="s">
        <v>139</v>
      </c>
      <c r="D5166" t="s">
        <v>11701</v>
      </c>
      <c r="E5166" t="s">
        <v>11702</v>
      </c>
      <c r="F5166" t="s">
        <v>76</v>
      </c>
      <c r="G5166" t="s">
        <v>11705</v>
      </c>
      <c r="H5166" t="s">
        <v>11706</v>
      </c>
      <c r="J5166" t="str">
        <f>HYPERLINK("https://twitter.com/AngelaHeat91484/status/1746238568417104335","https://twitter.com/AngelaHeat91484/status/1746238568417104335")</f>
        <v>https://twitter.com/AngelaHeat91484/status/1746238568417104335</v>
      </c>
      <c r="K5166" t="s">
        <v>1769</v>
      </c>
      <c r="O5166">
        <v>0</v>
      </c>
      <c r="P5166">
        <v>0</v>
      </c>
      <c r="Q5166">
        <v>2</v>
      </c>
      <c r="S5166">
        <v>0</v>
      </c>
      <c r="T5166">
        <v>0</v>
      </c>
      <c r="U5166">
        <v>0</v>
      </c>
      <c r="W5166" t="s">
        <v>146</v>
      </c>
    </row>
    <row r="5167" spans="1:45" x14ac:dyDescent="0.35">
      <c r="A5167" t="s">
        <v>45</v>
      </c>
      <c r="B5167" t="s">
        <v>11641</v>
      </c>
      <c r="C5167" t="s">
        <v>139</v>
      </c>
      <c r="D5167" t="s">
        <v>11707</v>
      </c>
      <c r="E5167" t="s">
        <v>11708</v>
      </c>
      <c r="F5167" t="s">
        <v>49</v>
      </c>
      <c r="G5167" t="s">
        <v>11709</v>
      </c>
      <c r="H5167" t="s">
        <v>11710</v>
      </c>
      <c r="J5167" t="str">
        <f>HYPERLINK("https://twitter.com/Saptarshi_78/status/1746238417640554628","https://twitter.com/Saptarshi_78/status/1746238417640554628")</f>
        <v>https://twitter.com/Saptarshi_78/status/1746238417640554628</v>
      </c>
      <c r="K5167" t="s">
        <v>145</v>
      </c>
      <c r="O5167">
        <v>0</v>
      </c>
      <c r="P5167">
        <v>0</v>
      </c>
      <c r="Q5167">
        <v>22</v>
      </c>
      <c r="R5167" t="s">
        <v>11711</v>
      </c>
      <c r="S5167">
        <v>0</v>
      </c>
      <c r="T5167">
        <v>0</v>
      </c>
      <c r="U5167">
        <v>0</v>
      </c>
      <c r="W5167" t="s">
        <v>146</v>
      </c>
      <c r="AS5167" t="s">
        <v>375</v>
      </c>
    </row>
    <row r="5168" spans="1:45" x14ac:dyDescent="0.35">
      <c r="A5168" t="s">
        <v>45</v>
      </c>
      <c r="B5168" t="s">
        <v>11712</v>
      </c>
      <c r="C5168" t="s">
        <v>58</v>
      </c>
      <c r="D5168" t="s">
        <v>11713</v>
      </c>
      <c r="E5168" t="s">
        <v>11713</v>
      </c>
      <c r="F5168" t="s">
        <v>49</v>
      </c>
      <c r="G5168" t="s">
        <v>11714</v>
      </c>
      <c r="H5168" t="s">
        <v>11715</v>
      </c>
      <c r="J5168" t="str">
        <f>HYPERLINK("https://www.youtube.com/watch?v=l6L74zg2M0Y","https://www.youtube.com/watch?v=l6L74zg2M0Y")</f>
        <v>https://www.youtube.com/watch?v=l6L74zg2M0Y</v>
      </c>
      <c r="O5168">
        <v>0</v>
      </c>
      <c r="P5168">
        <v>0</v>
      </c>
      <c r="Q5168">
        <v>0</v>
      </c>
      <c r="S5168">
        <v>0</v>
      </c>
      <c r="T5168">
        <v>0</v>
      </c>
      <c r="U5168">
        <v>0</v>
      </c>
      <c r="W5168" t="s">
        <v>106</v>
      </c>
      <c r="AP5168" t="s">
        <v>101</v>
      </c>
    </row>
    <row r="5169" spans="1:42" x14ac:dyDescent="0.35">
      <c r="A5169" t="s">
        <v>45</v>
      </c>
      <c r="B5169" t="s">
        <v>11712</v>
      </c>
      <c r="C5169" t="s">
        <v>47</v>
      </c>
      <c r="F5169" t="s">
        <v>76</v>
      </c>
      <c r="G5169" t="s">
        <v>11716</v>
      </c>
      <c r="H5169" t="s">
        <v>11717</v>
      </c>
      <c r="J5169" t="str">
        <f>HYPERLINK("https://www.facebook.com/102958662643869_2560501584141672","https://www.facebook.com/102958662643869_2560501584141672")</f>
        <v>https://www.facebook.com/102958662643869_2560501584141672</v>
      </c>
      <c r="O5169">
        <v>0</v>
      </c>
      <c r="P5169">
        <v>0</v>
      </c>
      <c r="Q5169">
        <v>0</v>
      </c>
      <c r="S5169">
        <v>0</v>
      </c>
      <c r="T5169">
        <v>0</v>
      </c>
      <c r="U5169">
        <v>0</v>
      </c>
      <c r="W5169" t="s">
        <v>106</v>
      </c>
      <c r="AP5169" t="s">
        <v>101</v>
      </c>
    </row>
    <row r="5170" spans="1:42" x14ac:dyDescent="0.35">
      <c r="A5170" t="s">
        <v>45</v>
      </c>
      <c r="B5170" t="s">
        <v>11712</v>
      </c>
      <c r="C5170" t="s">
        <v>47</v>
      </c>
      <c r="D5170" t="s">
        <v>11718</v>
      </c>
      <c r="E5170" t="s">
        <v>11718</v>
      </c>
      <c r="F5170" t="s">
        <v>49</v>
      </c>
      <c r="G5170" t="s">
        <v>11719</v>
      </c>
      <c r="H5170" t="s">
        <v>11720</v>
      </c>
      <c r="J5170" t="str">
        <f>HYPERLINK("https://www.facebook.com/454965103328545/posts/750017770489942?comment_id=2047800965593865","https://www.facebook.com/454965103328545/posts/750017770489942?comment_id=2047800965593865")</f>
        <v>https://www.facebook.com/454965103328545/posts/750017770489942?comment_id=2047800965593865</v>
      </c>
      <c r="O5170">
        <v>0</v>
      </c>
      <c r="P5170">
        <v>0</v>
      </c>
      <c r="Q5170">
        <v>0</v>
      </c>
      <c r="S5170">
        <v>0</v>
      </c>
      <c r="T5170">
        <v>0</v>
      </c>
      <c r="U5170">
        <v>0</v>
      </c>
      <c r="W5170" t="s">
        <v>62</v>
      </c>
    </row>
    <row r="5171" spans="1:42" x14ac:dyDescent="0.35">
      <c r="A5171" t="s">
        <v>45</v>
      </c>
      <c r="B5171" t="s">
        <v>11712</v>
      </c>
      <c r="C5171" t="s">
        <v>47</v>
      </c>
      <c r="D5171" t="s">
        <v>4488</v>
      </c>
      <c r="E5171" t="s">
        <v>4488</v>
      </c>
      <c r="F5171" t="s">
        <v>49</v>
      </c>
      <c r="G5171" t="s">
        <v>11721</v>
      </c>
      <c r="H5171" t="s">
        <v>11722</v>
      </c>
      <c r="J5171" t="str">
        <f>HYPERLINK("https://www.facebook.com/454965103328545/posts/752461300245589?comment_id=344446761814420&amp;reply_comment_id=717429167159975","https://www.facebook.com/454965103328545/posts/752461300245589?comment_id=344446761814420&amp;reply_comment_id=717429167159975")</f>
        <v>https://www.facebook.com/454965103328545/posts/752461300245589?comment_id=344446761814420&amp;reply_comment_id=717429167159975</v>
      </c>
      <c r="O5171">
        <v>0</v>
      </c>
      <c r="P5171">
        <v>0</v>
      </c>
      <c r="Q5171">
        <v>0</v>
      </c>
      <c r="S5171">
        <v>0</v>
      </c>
      <c r="T5171">
        <v>0</v>
      </c>
      <c r="U5171">
        <v>0</v>
      </c>
      <c r="W5171" t="s">
        <v>62</v>
      </c>
      <c r="Y5171" t="s">
        <v>11723</v>
      </c>
      <c r="Z5171" t="s">
        <v>613</v>
      </c>
      <c r="AA5171" t="s">
        <v>614</v>
      </c>
    </row>
    <row r="5172" spans="1:42" x14ac:dyDescent="0.35">
      <c r="A5172" t="s">
        <v>45</v>
      </c>
      <c r="B5172" t="s">
        <v>11712</v>
      </c>
      <c r="C5172" t="s">
        <v>47</v>
      </c>
      <c r="D5172" t="s">
        <v>2340</v>
      </c>
      <c r="E5172" t="s">
        <v>2340</v>
      </c>
      <c r="F5172" t="s">
        <v>49</v>
      </c>
      <c r="G5172" t="s">
        <v>11724</v>
      </c>
      <c r="H5172" t="s">
        <v>11725</v>
      </c>
      <c r="J5172" t="str">
        <f>HYPERLINK("https://www.facebook.com/454965103328545/posts/752461300245589?comment_id=344446761814420&amp;reply_comment_id=393848836644836","https://www.facebook.com/454965103328545/posts/752461300245589?comment_id=344446761814420&amp;reply_comment_id=393848836644836")</f>
        <v>https://www.facebook.com/454965103328545/posts/752461300245589?comment_id=344446761814420&amp;reply_comment_id=393848836644836</v>
      </c>
      <c r="O5172">
        <v>0</v>
      </c>
      <c r="P5172">
        <v>0</v>
      </c>
      <c r="Q5172">
        <v>0</v>
      </c>
      <c r="S5172">
        <v>0</v>
      </c>
      <c r="T5172">
        <v>0</v>
      </c>
      <c r="U5172">
        <v>0</v>
      </c>
      <c r="W5172" t="s">
        <v>62</v>
      </c>
      <c r="AP5172" t="s">
        <v>94</v>
      </c>
    </row>
    <row r="5173" spans="1:42" x14ac:dyDescent="0.35">
      <c r="A5173" t="s">
        <v>45</v>
      </c>
      <c r="B5173" t="s">
        <v>11712</v>
      </c>
      <c r="C5173" t="s">
        <v>58</v>
      </c>
      <c r="D5173" t="s">
        <v>5323</v>
      </c>
      <c r="E5173" t="s">
        <v>5323</v>
      </c>
      <c r="F5173" t="s">
        <v>49</v>
      </c>
      <c r="G5173" t="s">
        <v>11726</v>
      </c>
      <c r="H5173" t="s">
        <v>11727</v>
      </c>
      <c r="J5173" t="str">
        <f>HYPERLINK("https://www.youtube.com/watch?v=Q90aekzkSIc","https://www.youtube.com/watch?v=Q90aekzkSIc")</f>
        <v>https://www.youtube.com/watch?v=Q90aekzkSIc</v>
      </c>
      <c r="O5173">
        <v>0</v>
      </c>
      <c r="P5173">
        <v>0</v>
      </c>
      <c r="Q5173">
        <v>0</v>
      </c>
      <c r="S5173">
        <v>0</v>
      </c>
      <c r="T5173">
        <v>0</v>
      </c>
      <c r="U5173">
        <v>0</v>
      </c>
      <c r="W5173" t="s">
        <v>106</v>
      </c>
    </row>
    <row r="5174" spans="1:42" x14ac:dyDescent="0.35">
      <c r="A5174" t="s">
        <v>45</v>
      </c>
      <c r="B5174" t="s">
        <v>11712</v>
      </c>
      <c r="C5174" t="s">
        <v>47</v>
      </c>
      <c r="D5174" t="s">
        <v>7785</v>
      </c>
      <c r="E5174" t="s">
        <v>7785</v>
      </c>
      <c r="F5174" t="s">
        <v>49</v>
      </c>
      <c r="G5174" t="s">
        <v>11728</v>
      </c>
      <c r="H5174" t="s">
        <v>11729</v>
      </c>
      <c r="J5174" t="str">
        <f>HYPERLINK("https://www.facebook.com/454965103328545/posts/751345700357149?comment_id=398704175935093&amp;reply_comment_id=759627879315911","https://www.facebook.com/454965103328545/posts/751345700357149?comment_id=398704175935093&amp;reply_comment_id=759627879315911")</f>
        <v>https://www.facebook.com/454965103328545/posts/751345700357149?comment_id=398704175935093&amp;reply_comment_id=759627879315911</v>
      </c>
      <c r="O5174">
        <v>0</v>
      </c>
      <c r="P5174">
        <v>0</v>
      </c>
      <c r="Q5174">
        <v>0</v>
      </c>
      <c r="S5174">
        <v>0</v>
      </c>
      <c r="T5174">
        <v>0</v>
      </c>
      <c r="U5174">
        <v>0</v>
      </c>
      <c r="W5174" t="s">
        <v>62</v>
      </c>
    </row>
    <row r="5175" spans="1:42" x14ac:dyDescent="0.35">
      <c r="A5175" t="s">
        <v>45</v>
      </c>
      <c r="B5175" t="s">
        <v>11712</v>
      </c>
      <c r="C5175" t="s">
        <v>47</v>
      </c>
      <c r="D5175" t="s">
        <v>7785</v>
      </c>
      <c r="E5175" t="s">
        <v>7785</v>
      </c>
      <c r="F5175" t="s">
        <v>49</v>
      </c>
      <c r="G5175" t="s">
        <v>11730</v>
      </c>
      <c r="H5175" t="s">
        <v>11731</v>
      </c>
      <c r="J5175" t="str">
        <f>HYPERLINK("https://www.facebook.com/454965103328545/posts/751345700357149?comment_id=398704175935093&amp;reply_comment_id=903690534406857","https://www.facebook.com/454965103328545/posts/751345700357149?comment_id=398704175935093&amp;reply_comment_id=903690534406857")</f>
        <v>https://www.facebook.com/454965103328545/posts/751345700357149?comment_id=398704175935093&amp;reply_comment_id=903690534406857</v>
      </c>
      <c r="O5175">
        <v>0</v>
      </c>
      <c r="P5175">
        <v>0</v>
      </c>
      <c r="Q5175">
        <v>0</v>
      </c>
      <c r="S5175">
        <v>0</v>
      </c>
      <c r="T5175">
        <v>0</v>
      </c>
      <c r="U5175">
        <v>0</v>
      </c>
      <c r="W5175" t="s">
        <v>62</v>
      </c>
    </row>
    <row r="5176" spans="1:42" x14ac:dyDescent="0.35">
      <c r="A5176" t="s">
        <v>45</v>
      </c>
      <c r="B5176" t="s">
        <v>11712</v>
      </c>
      <c r="C5176" t="s">
        <v>47</v>
      </c>
      <c r="D5176" t="s">
        <v>1779</v>
      </c>
      <c r="E5176" t="s">
        <v>1779</v>
      </c>
      <c r="F5176" t="s">
        <v>49</v>
      </c>
      <c r="G5176" t="s">
        <v>11732</v>
      </c>
      <c r="H5176" t="s">
        <v>11733</v>
      </c>
      <c r="J5176" t="str">
        <f>HYPERLINK("https://www.facebook.com/454965103328545/posts/751345700357149?comment_id=398704175935093&amp;reply_comment_id=1327904194596422","https://www.facebook.com/454965103328545/posts/751345700357149?comment_id=398704175935093&amp;reply_comment_id=1327904194596422")</f>
        <v>https://www.facebook.com/454965103328545/posts/751345700357149?comment_id=398704175935093&amp;reply_comment_id=1327904194596422</v>
      </c>
      <c r="O5176">
        <v>0</v>
      </c>
      <c r="P5176">
        <v>0</v>
      </c>
      <c r="Q5176">
        <v>0</v>
      </c>
      <c r="S5176">
        <v>0</v>
      </c>
      <c r="T5176">
        <v>0</v>
      </c>
      <c r="U5176">
        <v>0</v>
      </c>
      <c r="W5176" t="s">
        <v>62</v>
      </c>
    </row>
    <row r="5177" spans="1:42" x14ac:dyDescent="0.35">
      <c r="A5177" t="s">
        <v>45</v>
      </c>
      <c r="B5177" t="s">
        <v>11712</v>
      </c>
      <c r="C5177" t="s">
        <v>47</v>
      </c>
      <c r="D5177" t="s">
        <v>7785</v>
      </c>
      <c r="E5177" t="s">
        <v>7785</v>
      </c>
      <c r="F5177" t="s">
        <v>49</v>
      </c>
      <c r="G5177" t="s">
        <v>11734</v>
      </c>
      <c r="H5177" t="s">
        <v>11735</v>
      </c>
      <c r="J5177" t="str">
        <f>HYPERLINK("https://www.facebook.com/454965103328545/posts/751345700357149?comment_id=398704175935093&amp;reply_comment_id=691316736322035","https://www.facebook.com/454965103328545/posts/751345700357149?comment_id=398704175935093&amp;reply_comment_id=691316736322035")</f>
        <v>https://www.facebook.com/454965103328545/posts/751345700357149?comment_id=398704175935093&amp;reply_comment_id=691316736322035</v>
      </c>
      <c r="O5177">
        <v>0</v>
      </c>
      <c r="P5177">
        <v>0</v>
      </c>
      <c r="Q5177">
        <v>0</v>
      </c>
      <c r="S5177">
        <v>0</v>
      </c>
      <c r="T5177">
        <v>0</v>
      </c>
      <c r="U5177">
        <v>0</v>
      </c>
      <c r="W5177" t="s">
        <v>62</v>
      </c>
    </row>
    <row r="5178" spans="1:42" x14ac:dyDescent="0.35">
      <c r="A5178" t="s">
        <v>45</v>
      </c>
      <c r="B5178" t="s">
        <v>11712</v>
      </c>
      <c r="C5178" t="s">
        <v>47</v>
      </c>
      <c r="D5178" t="s">
        <v>1779</v>
      </c>
      <c r="E5178" t="s">
        <v>1779</v>
      </c>
      <c r="F5178" t="s">
        <v>49</v>
      </c>
      <c r="G5178" t="s">
        <v>11736</v>
      </c>
      <c r="H5178" t="s">
        <v>11737</v>
      </c>
      <c r="J5178" t="str">
        <f>HYPERLINK("https://www.facebook.com/454965103328545/posts/751345700357149?comment_id=398704175935093&amp;reply_comment_id=758272279522107","https://www.facebook.com/454965103328545/posts/751345700357149?comment_id=398704175935093&amp;reply_comment_id=758272279522107")</f>
        <v>https://www.facebook.com/454965103328545/posts/751345700357149?comment_id=398704175935093&amp;reply_comment_id=758272279522107</v>
      </c>
      <c r="O5178">
        <v>0</v>
      </c>
      <c r="P5178">
        <v>0</v>
      </c>
      <c r="Q5178">
        <v>0</v>
      </c>
      <c r="S5178">
        <v>0</v>
      </c>
      <c r="T5178">
        <v>0</v>
      </c>
      <c r="U5178">
        <v>0</v>
      </c>
      <c r="W5178" t="s">
        <v>62</v>
      </c>
    </row>
    <row r="5179" spans="1:42" x14ac:dyDescent="0.35">
      <c r="A5179" t="s">
        <v>45</v>
      </c>
      <c r="B5179" t="s">
        <v>11712</v>
      </c>
      <c r="C5179" t="s">
        <v>47</v>
      </c>
      <c r="D5179" t="s">
        <v>7785</v>
      </c>
      <c r="E5179" t="s">
        <v>7785</v>
      </c>
      <c r="F5179" t="s">
        <v>142</v>
      </c>
      <c r="G5179" t="s">
        <v>11738</v>
      </c>
      <c r="H5179" t="s">
        <v>11739</v>
      </c>
      <c r="J5179" t="str">
        <f>HYPERLINK("https://www.facebook.com/454965103328545/posts/751345700357149?comment_id=398704175935093&amp;reply_comment_id=1118337025725640","https://www.facebook.com/454965103328545/posts/751345700357149?comment_id=398704175935093&amp;reply_comment_id=1118337025725640")</f>
        <v>https://www.facebook.com/454965103328545/posts/751345700357149?comment_id=398704175935093&amp;reply_comment_id=1118337025725640</v>
      </c>
      <c r="O5179">
        <v>0</v>
      </c>
      <c r="P5179">
        <v>0</v>
      </c>
      <c r="Q5179">
        <v>0</v>
      </c>
      <c r="S5179">
        <v>0</v>
      </c>
      <c r="T5179">
        <v>0</v>
      </c>
      <c r="U5179">
        <v>0</v>
      </c>
      <c r="W5179" t="s">
        <v>62</v>
      </c>
      <c r="AP5179" t="s">
        <v>147</v>
      </c>
    </row>
    <row r="5180" spans="1:42" x14ac:dyDescent="0.35">
      <c r="A5180" t="s">
        <v>45</v>
      </c>
      <c r="B5180" t="s">
        <v>11712</v>
      </c>
      <c r="C5180" t="s">
        <v>47</v>
      </c>
      <c r="D5180" t="s">
        <v>7785</v>
      </c>
      <c r="E5180" t="s">
        <v>7785</v>
      </c>
      <c r="F5180" t="s">
        <v>49</v>
      </c>
      <c r="G5180" t="s">
        <v>11740</v>
      </c>
      <c r="H5180" t="s">
        <v>11741</v>
      </c>
      <c r="J5180" t="str">
        <f>HYPERLINK("https://www.facebook.com/454965103328545/posts/752461300245589?comment_id=344446761814420&amp;reply_comment_id=353234054187415","https://www.facebook.com/454965103328545/posts/752461300245589?comment_id=344446761814420&amp;reply_comment_id=353234054187415")</f>
        <v>https://www.facebook.com/454965103328545/posts/752461300245589?comment_id=344446761814420&amp;reply_comment_id=353234054187415</v>
      </c>
      <c r="O5180">
        <v>0</v>
      </c>
      <c r="P5180">
        <v>0</v>
      </c>
      <c r="Q5180">
        <v>0</v>
      </c>
      <c r="S5180">
        <v>0</v>
      </c>
      <c r="T5180">
        <v>0</v>
      </c>
      <c r="U5180">
        <v>0</v>
      </c>
      <c r="W5180" t="s">
        <v>62</v>
      </c>
    </row>
    <row r="5181" spans="1:42" x14ac:dyDescent="0.35">
      <c r="A5181" t="s">
        <v>45</v>
      </c>
      <c r="B5181" t="s">
        <v>11712</v>
      </c>
      <c r="C5181" t="s">
        <v>139</v>
      </c>
      <c r="D5181" t="s">
        <v>11742</v>
      </c>
      <c r="E5181" t="s">
        <v>11743</v>
      </c>
      <c r="F5181" t="s">
        <v>142</v>
      </c>
      <c r="G5181" t="s">
        <v>11744</v>
      </c>
      <c r="H5181" t="s">
        <v>11745</v>
      </c>
      <c r="J5181" t="str">
        <f>HYPERLINK("https://twitter.com/HDFCBANKCARES__/status/1746181507029553325","https://twitter.com/HDFCBANKCARES__/status/1746181507029553325")</f>
        <v>https://twitter.com/HDFCBANKCARES__/status/1746181507029553325</v>
      </c>
      <c r="K5181" t="s">
        <v>145</v>
      </c>
      <c r="O5181">
        <v>0</v>
      </c>
      <c r="P5181">
        <v>0</v>
      </c>
      <c r="Q5181">
        <v>0</v>
      </c>
      <c r="S5181">
        <v>0</v>
      </c>
      <c r="T5181">
        <v>0</v>
      </c>
      <c r="U5181">
        <v>0</v>
      </c>
      <c r="W5181" t="s">
        <v>146</v>
      </c>
    </row>
    <row r="5182" spans="1:42" x14ac:dyDescent="0.35">
      <c r="A5182" t="s">
        <v>45</v>
      </c>
      <c r="B5182" t="s">
        <v>11712</v>
      </c>
      <c r="C5182" t="s">
        <v>139</v>
      </c>
      <c r="D5182" t="s">
        <v>11267</v>
      </c>
      <c r="E5182" t="s">
        <v>11268</v>
      </c>
      <c r="F5182" t="s">
        <v>49</v>
      </c>
      <c r="G5182" t="s">
        <v>11746</v>
      </c>
      <c r="H5182" t="s">
        <v>11747</v>
      </c>
      <c r="J5182" t="str">
        <f>HYPERLINK("https://twitter.com/autodidact_arya/status/1746177726598599109","https://twitter.com/autodidact_arya/status/1746177726598599109")</f>
        <v>https://twitter.com/autodidact_arya/status/1746177726598599109</v>
      </c>
      <c r="O5182">
        <v>0</v>
      </c>
      <c r="P5182">
        <v>0</v>
      </c>
      <c r="Q5182">
        <v>113</v>
      </c>
      <c r="R5182" t="s">
        <v>11748</v>
      </c>
      <c r="S5182">
        <v>0</v>
      </c>
      <c r="T5182">
        <v>0</v>
      </c>
      <c r="U5182">
        <v>0</v>
      </c>
      <c r="W5182" t="s">
        <v>552</v>
      </c>
    </row>
    <row r="5183" spans="1:42" x14ac:dyDescent="0.35">
      <c r="A5183" t="s">
        <v>45</v>
      </c>
      <c r="B5183" t="s">
        <v>11712</v>
      </c>
      <c r="C5183" t="s">
        <v>139</v>
      </c>
      <c r="D5183" t="s">
        <v>11749</v>
      </c>
      <c r="E5183" t="s">
        <v>11750</v>
      </c>
      <c r="F5183" t="s">
        <v>142</v>
      </c>
      <c r="G5183" t="s">
        <v>11751</v>
      </c>
      <c r="H5183" t="s">
        <v>11752</v>
      </c>
      <c r="J5183" t="str">
        <f>HYPERLINK("https://twitter.com/HelpByHDFCBank/status/1746172868952826226","https://twitter.com/HelpByHDFCBank/status/1746172868952826226")</f>
        <v>https://twitter.com/HelpByHDFCBank/status/1746172868952826226</v>
      </c>
      <c r="O5183">
        <v>0</v>
      </c>
      <c r="P5183">
        <v>0</v>
      </c>
      <c r="Q5183">
        <v>6</v>
      </c>
      <c r="S5183">
        <v>0</v>
      </c>
      <c r="T5183">
        <v>0</v>
      </c>
      <c r="U5183">
        <v>0</v>
      </c>
      <c r="W5183" t="s">
        <v>146</v>
      </c>
    </row>
    <row r="5184" spans="1:42" x14ac:dyDescent="0.35">
      <c r="A5184" t="s">
        <v>45</v>
      </c>
      <c r="B5184" t="s">
        <v>11712</v>
      </c>
      <c r="C5184" t="s">
        <v>47</v>
      </c>
      <c r="D5184" t="s">
        <v>11753</v>
      </c>
      <c r="E5184" t="s">
        <v>11753</v>
      </c>
      <c r="F5184" t="s">
        <v>49</v>
      </c>
      <c r="G5184" t="s">
        <v>11754</v>
      </c>
      <c r="H5184" t="s">
        <v>11755</v>
      </c>
      <c r="J5184" t="str">
        <f>HYPERLINK("https://www.facebook.com/454965103328545/posts/734812295343823?comment_id=701410952063692","https://www.facebook.com/454965103328545/posts/734812295343823?comment_id=701410952063692")</f>
        <v>https://www.facebook.com/454965103328545/posts/734812295343823?comment_id=701410952063692</v>
      </c>
      <c r="O5184">
        <v>0</v>
      </c>
      <c r="P5184">
        <v>0</v>
      </c>
      <c r="Q5184">
        <v>0</v>
      </c>
      <c r="S5184">
        <v>0</v>
      </c>
      <c r="T5184">
        <v>0</v>
      </c>
      <c r="U5184">
        <v>0</v>
      </c>
      <c r="W5184" t="s">
        <v>62</v>
      </c>
    </row>
    <row r="5185" spans="1:45" x14ac:dyDescent="0.35">
      <c r="A5185" t="s">
        <v>45</v>
      </c>
      <c r="B5185" t="s">
        <v>11712</v>
      </c>
      <c r="C5185" t="s">
        <v>139</v>
      </c>
      <c r="D5185" t="s">
        <v>11267</v>
      </c>
      <c r="E5185" t="s">
        <v>11268</v>
      </c>
      <c r="F5185" t="s">
        <v>49</v>
      </c>
      <c r="G5185" t="s">
        <v>11756</v>
      </c>
      <c r="H5185" t="s">
        <v>11755</v>
      </c>
      <c r="J5185" t="str">
        <f>HYPERLINK("https://twitter.com/autodidact_arya/status/1746172467356586030","https://twitter.com/autodidact_arya/status/1746172467356586030")</f>
        <v>https://twitter.com/autodidact_arya/status/1746172467356586030</v>
      </c>
      <c r="O5185">
        <v>0</v>
      </c>
      <c r="P5185">
        <v>0</v>
      </c>
      <c r="Q5185">
        <v>113</v>
      </c>
      <c r="R5185" t="s">
        <v>11748</v>
      </c>
      <c r="S5185">
        <v>0</v>
      </c>
      <c r="T5185">
        <v>0</v>
      </c>
      <c r="U5185">
        <v>0</v>
      </c>
      <c r="W5185" t="s">
        <v>146</v>
      </c>
    </row>
    <row r="5186" spans="1:45" x14ac:dyDescent="0.35">
      <c r="A5186" t="s">
        <v>45</v>
      </c>
      <c r="B5186" t="s">
        <v>11712</v>
      </c>
      <c r="C5186" t="s">
        <v>47</v>
      </c>
      <c r="D5186" t="s">
        <v>4488</v>
      </c>
      <c r="E5186" t="s">
        <v>4488</v>
      </c>
      <c r="F5186" t="s">
        <v>49</v>
      </c>
      <c r="G5186" t="s">
        <v>11626</v>
      </c>
      <c r="H5186" t="s">
        <v>11757</v>
      </c>
      <c r="J5186" t="str">
        <f>HYPERLINK("https://www.facebook.com/454965103328545/posts/752461300245589?comment_id=344446761814420","https://www.facebook.com/454965103328545/posts/752461300245589?comment_id=344446761814420")</f>
        <v>https://www.facebook.com/454965103328545/posts/752461300245589?comment_id=344446761814420</v>
      </c>
      <c r="O5186">
        <v>0</v>
      </c>
      <c r="P5186">
        <v>0</v>
      </c>
      <c r="Q5186">
        <v>0</v>
      </c>
      <c r="S5186">
        <v>0</v>
      </c>
      <c r="T5186">
        <v>0</v>
      </c>
      <c r="U5186">
        <v>0</v>
      </c>
      <c r="W5186" t="s">
        <v>62</v>
      </c>
      <c r="AS5186" t="s">
        <v>375</v>
      </c>
    </row>
    <row r="5187" spans="1:45" x14ac:dyDescent="0.35">
      <c r="A5187" t="s">
        <v>45</v>
      </c>
      <c r="B5187" t="s">
        <v>11712</v>
      </c>
      <c r="C5187" t="s">
        <v>47</v>
      </c>
      <c r="D5187" t="s">
        <v>45</v>
      </c>
      <c r="E5187" t="s">
        <v>45</v>
      </c>
      <c r="F5187" t="s">
        <v>49</v>
      </c>
      <c r="G5187" t="s">
        <v>11758</v>
      </c>
      <c r="H5187" t="s">
        <v>11759</v>
      </c>
      <c r="J5187" t="str">
        <f>HYPERLINK("https://www.facebook.com/357267201017935_752509516907434","https://www.facebook.com/357267201017935_752509516907434")</f>
        <v>https://www.facebook.com/357267201017935_752509516907434</v>
      </c>
      <c r="O5187">
        <v>0</v>
      </c>
      <c r="P5187">
        <v>0</v>
      </c>
      <c r="Q5187">
        <v>0</v>
      </c>
      <c r="S5187">
        <v>1</v>
      </c>
      <c r="T5187">
        <v>34</v>
      </c>
      <c r="U5187">
        <v>4</v>
      </c>
      <c r="W5187" t="s">
        <v>106</v>
      </c>
    </row>
    <row r="5188" spans="1:45" x14ac:dyDescent="0.35">
      <c r="A5188" t="s">
        <v>45</v>
      </c>
      <c r="B5188" t="s">
        <v>11712</v>
      </c>
      <c r="C5188" t="s">
        <v>47</v>
      </c>
      <c r="D5188" t="s">
        <v>45</v>
      </c>
      <c r="E5188" t="s">
        <v>45</v>
      </c>
      <c r="F5188" t="s">
        <v>49</v>
      </c>
      <c r="G5188" t="s">
        <v>11760</v>
      </c>
      <c r="H5188" t="s">
        <v>11761</v>
      </c>
      <c r="J5188" t="str">
        <f>HYPERLINK("https://www.facebook.com/357267201017935_752506933574359","https://www.facebook.com/357267201017935_752506933574359")</f>
        <v>https://www.facebook.com/357267201017935_752506933574359</v>
      </c>
      <c r="O5188">
        <v>0</v>
      </c>
      <c r="P5188">
        <v>0</v>
      </c>
      <c r="Q5188">
        <v>0</v>
      </c>
      <c r="S5188">
        <v>0</v>
      </c>
      <c r="T5188">
        <v>41</v>
      </c>
      <c r="U5188">
        <v>3</v>
      </c>
      <c r="W5188" t="s">
        <v>106</v>
      </c>
    </row>
    <row r="5189" spans="1:45" x14ac:dyDescent="0.35">
      <c r="A5189" t="s">
        <v>45</v>
      </c>
      <c r="B5189" t="s">
        <v>11712</v>
      </c>
      <c r="C5189" t="s">
        <v>47</v>
      </c>
      <c r="D5189" t="s">
        <v>7785</v>
      </c>
      <c r="E5189" t="s">
        <v>7785</v>
      </c>
      <c r="F5189" t="s">
        <v>142</v>
      </c>
      <c r="G5189" t="s">
        <v>11762</v>
      </c>
      <c r="H5189" t="s">
        <v>11763</v>
      </c>
      <c r="J5189" t="str">
        <f>HYPERLINK("https://www.facebook.com/454965103328545/posts/752461300245589?comment_id=2323452034531496","https://www.facebook.com/454965103328545/posts/752461300245589?comment_id=2323452034531496")</f>
        <v>https://www.facebook.com/454965103328545/posts/752461300245589?comment_id=2323452034531496</v>
      </c>
      <c r="O5189">
        <v>0</v>
      </c>
      <c r="P5189">
        <v>0</v>
      </c>
      <c r="Q5189">
        <v>0</v>
      </c>
      <c r="S5189">
        <v>0</v>
      </c>
      <c r="T5189">
        <v>0</v>
      </c>
      <c r="U5189">
        <v>0</v>
      </c>
      <c r="W5189" t="s">
        <v>62</v>
      </c>
    </row>
    <row r="5190" spans="1:45" x14ac:dyDescent="0.35">
      <c r="A5190" t="s">
        <v>45</v>
      </c>
      <c r="B5190" t="s">
        <v>11712</v>
      </c>
      <c r="C5190" t="s">
        <v>139</v>
      </c>
      <c r="D5190" t="s">
        <v>11764</v>
      </c>
      <c r="E5190" t="s">
        <v>11765</v>
      </c>
      <c r="F5190" t="s">
        <v>49</v>
      </c>
      <c r="G5190" t="s">
        <v>11766</v>
      </c>
      <c r="H5190" t="s">
        <v>11767</v>
      </c>
      <c r="J5190" t="str">
        <f>HYPERLINK("https://twitter.com/caneberry18/status/1746136274568953983","https://twitter.com/caneberry18/status/1746136274568953983")</f>
        <v>https://twitter.com/caneberry18/status/1746136274568953983</v>
      </c>
      <c r="O5190">
        <v>0</v>
      </c>
      <c r="P5190">
        <v>0</v>
      </c>
      <c r="Q5190">
        <v>92</v>
      </c>
      <c r="R5190" t="s">
        <v>872</v>
      </c>
      <c r="S5190">
        <v>0</v>
      </c>
      <c r="T5190">
        <v>0</v>
      </c>
      <c r="U5190">
        <v>0</v>
      </c>
      <c r="W5190" t="s">
        <v>146</v>
      </c>
      <c r="AP5190" t="s">
        <v>101</v>
      </c>
      <c r="AS5190" t="s">
        <v>375</v>
      </c>
    </row>
    <row r="5191" spans="1:45" x14ac:dyDescent="0.35">
      <c r="A5191" t="s">
        <v>45</v>
      </c>
      <c r="B5191" t="s">
        <v>11712</v>
      </c>
      <c r="C5191" t="s">
        <v>47</v>
      </c>
      <c r="D5191" t="s">
        <v>45</v>
      </c>
      <c r="E5191" t="s">
        <v>45</v>
      </c>
      <c r="F5191" t="s">
        <v>49</v>
      </c>
      <c r="G5191" t="s">
        <v>11768</v>
      </c>
      <c r="H5191" t="s">
        <v>11769</v>
      </c>
      <c r="J5191" t="str">
        <f>HYPERLINK("https://www.facebook.com/357267201017935_752461300245589","https://www.facebook.com/357267201017935_752461300245589")</f>
        <v>https://www.facebook.com/357267201017935_752461300245589</v>
      </c>
      <c r="O5191">
        <v>0</v>
      </c>
      <c r="P5191">
        <v>0</v>
      </c>
      <c r="Q5191">
        <v>0</v>
      </c>
      <c r="S5191">
        <v>8</v>
      </c>
      <c r="T5191">
        <v>57</v>
      </c>
      <c r="U5191">
        <v>12</v>
      </c>
      <c r="W5191" t="s">
        <v>106</v>
      </c>
    </row>
    <row r="5192" spans="1:45" x14ac:dyDescent="0.35">
      <c r="A5192" t="s">
        <v>45</v>
      </c>
      <c r="B5192" t="s">
        <v>11712</v>
      </c>
      <c r="C5192" t="s">
        <v>139</v>
      </c>
      <c r="D5192" t="s">
        <v>190</v>
      </c>
      <c r="E5192" t="s">
        <v>45</v>
      </c>
      <c r="F5192" t="s">
        <v>49</v>
      </c>
      <c r="G5192" t="s">
        <v>11770</v>
      </c>
      <c r="H5192" t="s">
        <v>11771</v>
      </c>
      <c r="J5192" t="str">
        <f>HYPERLINK("https://twitter.com/FinoPaymntsBank/status/1746133536065696229","https://twitter.com/FinoPaymntsBank/status/1746133536065696229")</f>
        <v>https://twitter.com/FinoPaymntsBank/status/1746133536065696229</v>
      </c>
      <c r="K5192" t="s">
        <v>145</v>
      </c>
      <c r="O5192">
        <v>0</v>
      </c>
      <c r="P5192">
        <v>0</v>
      </c>
      <c r="Q5192">
        <v>8301</v>
      </c>
      <c r="R5192" t="s">
        <v>193</v>
      </c>
      <c r="S5192">
        <v>0</v>
      </c>
      <c r="T5192">
        <v>0</v>
      </c>
      <c r="U5192">
        <v>0</v>
      </c>
      <c r="W5192" t="s">
        <v>146</v>
      </c>
    </row>
    <row r="5193" spans="1:45" x14ac:dyDescent="0.35">
      <c r="A5193" t="s">
        <v>45</v>
      </c>
      <c r="B5193" t="s">
        <v>11712</v>
      </c>
      <c r="C5193" t="s">
        <v>58</v>
      </c>
      <c r="D5193" t="s">
        <v>11772</v>
      </c>
      <c r="E5193" t="s">
        <v>11772</v>
      </c>
      <c r="F5193" t="s">
        <v>49</v>
      </c>
      <c r="G5193" t="s">
        <v>11773</v>
      </c>
      <c r="H5193" t="s">
        <v>11774</v>
      </c>
      <c r="J5193" t="str">
        <f>HYPERLINK("https://www.youtube.com/watch?v=gAiYkZI29nA","https://www.youtube.com/watch?v=gAiYkZI29nA")</f>
        <v>https://www.youtube.com/watch?v=gAiYkZI29nA</v>
      </c>
      <c r="O5193">
        <v>0</v>
      </c>
      <c r="P5193">
        <v>0</v>
      </c>
      <c r="Q5193">
        <v>0</v>
      </c>
      <c r="S5193">
        <v>0</v>
      </c>
      <c r="T5193">
        <v>0</v>
      </c>
      <c r="U5193">
        <v>0</v>
      </c>
      <c r="W5193" t="s">
        <v>106</v>
      </c>
    </row>
    <row r="5194" spans="1:45" x14ac:dyDescent="0.35">
      <c r="A5194" t="s">
        <v>45</v>
      </c>
      <c r="B5194" t="s">
        <v>11712</v>
      </c>
      <c r="C5194" t="s">
        <v>139</v>
      </c>
      <c r="D5194" t="s">
        <v>11775</v>
      </c>
      <c r="E5194" t="s">
        <v>11776</v>
      </c>
      <c r="F5194" t="s">
        <v>142</v>
      </c>
      <c r="G5194" t="s">
        <v>11777</v>
      </c>
      <c r="H5194" t="s">
        <v>11778</v>
      </c>
      <c r="J5194" t="str">
        <f>HYPERLINK("https://twitter.com/Praveen37760917/status/1746052538225537190","https://twitter.com/Praveen37760917/status/1746052538225537190")</f>
        <v>https://twitter.com/Praveen37760917/status/1746052538225537190</v>
      </c>
      <c r="K5194" t="s">
        <v>145</v>
      </c>
      <c r="O5194">
        <v>0</v>
      </c>
      <c r="P5194">
        <v>0</v>
      </c>
      <c r="Q5194">
        <v>3318</v>
      </c>
      <c r="S5194">
        <v>0</v>
      </c>
      <c r="T5194">
        <v>0</v>
      </c>
      <c r="U5194">
        <v>0</v>
      </c>
      <c r="W5194" t="s">
        <v>146</v>
      </c>
    </row>
    <row r="5195" spans="1:45" x14ac:dyDescent="0.35">
      <c r="A5195" t="s">
        <v>45</v>
      </c>
      <c r="B5195" t="s">
        <v>11712</v>
      </c>
      <c r="C5195" t="s">
        <v>139</v>
      </c>
      <c r="D5195" t="s">
        <v>11775</v>
      </c>
      <c r="E5195" t="s">
        <v>11776</v>
      </c>
      <c r="F5195" t="s">
        <v>142</v>
      </c>
      <c r="G5195" t="s">
        <v>11779</v>
      </c>
      <c r="H5195" t="s">
        <v>11780</v>
      </c>
      <c r="J5195" t="str">
        <f>HYPERLINK("https://twitter.com/Praveen37760917/status/1746052260302553135","https://twitter.com/Praveen37760917/status/1746052260302553135")</f>
        <v>https://twitter.com/Praveen37760917/status/1746052260302553135</v>
      </c>
      <c r="K5195" t="s">
        <v>145</v>
      </c>
      <c r="O5195">
        <v>0</v>
      </c>
      <c r="P5195">
        <v>0</v>
      </c>
      <c r="Q5195">
        <v>3318</v>
      </c>
      <c r="S5195">
        <v>0</v>
      </c>
      <c r="T5195">
        <v>0</v>
      </c>
      <c r="U5195">
        <v>0</v>
      </c>
      <c r="W5195" t="s">
        <v>146</v>
      </c>
      <c r="AS5195" t="s">
        <v>375</v>
      </c>
    </row>
    <row r="5196" spans="1:45" x14ac:dyDescent="0.35">
      <c r="A5196" t="s">
        <v>45</v>
      </c>
      <c r="B5196" t="s">
        <v>11712</v>
      </c>
      <c r="C5196" t="s">
        <v>102</v>
      </c>
      <c r="D5196" t="s">
        <v>11781</v>
      </c>
      <c r="E5196" t="s">
        <v>11781</v>
      </c>
      <c r="F5196" t="s">
        <v>49</v>
      </c>
      <c r="G5196" t="s">
        <v>11782</v>
      </c>
      <c r="H5196" t="s">
        <v>11783</v>
      </c>
      <c r="J5196" t="str">
        <f>HYPERLINK("https://www.linkedin.com/feed/update/urn:li:ugcPost:7147911480334598144/?commentUrn=urn:li:comment:(urn:li:ugcPost:7147911480334598144,7151804296970280964)","https://www.linkedin.com/feed/update/urn:li:ugcPost:7147911480334598144/?commentUrn=urn:li:comment:(urn:li:ugcPost:7147911480334598144,7151804296970280964)")</f>
        <v>https://www.linkedin.com/feed/update/urn:li:ugcPost:7147911480334598144/?commentUrn=urn:li:comment:(urn:li:ugcPost:7147911480334598144,7151804296970280964)</v>
      </c>
      <c r="K5196" t="s">
        <v>1994</v>
      </c>
      <c r="O5196">
        <v>0</v>
      </c>
      <c r="P5196">
        <v>0</v>
      </c>
      <c r="Q5196">
        <v>0</v>
      </c>
      <c r="S5196">
        <v>0</v>
      </c>
      <c r="T5196">
        <v>0</v>
      </c>
      <c r="U5196">
        <v>0</v>
      </c>
      <c r="W5196" t="s">
        <v>62</v>
      </c>
      <c r="AO5196" t="s">
        <v>119</v>
      </c>
    </row>
    <row r="5197" spans="1:45" x14ac:dyDescent="0.35">
      <c r="A5197" t="s">
        <v>45</v>
      </c>
      <c r="B5197" t="s">
        <v>11712</v>
      </c>
      <c r="C5197" t="s">
        <v>47</v>
      </c>
      <c r="D5197" t="s">
        <v>11784</v>
      </c>
      <c r="E5197" t="s">
        <v>11784</v>
      </c>
      <c r="F5197" t="s">
        <v>49</v>
      </c>
      <c r="G5197" t="s">
        <v>11785</v>
      </c>
      <c r="H5197" t="s">
        <v>11786</v>
      </c>
      <c r="J5197" t="str">
        <f>HYPERLINK("https://www.facebook.com/454965103328545/posts/734812295343823?comment_id=777272937769984","https://www.facebook.com/454965103328545/posts/734812295343823?comment_id=777272937769984")</f>
        <v>https://www.facebook.com/454965103328545/posts/734812295343823?comment_id=777272937769984</v>
      </c>
      <c r="O5197">
        <v>0</v>
      </c>
      <c r="P5197">
        <v>0</v>
      </c>
      <c r="Q5197">
        <v>0</v>
      </c>
      <c r="S5197">
        <v>0</v>
      </c>
      <c r="T5197">
        <v>0</v>
      </c>
      <c r="U5197">
        <v>0</v>
      </c>
      <c r="W5197" t="s">
        <v>62</v>
      </c>
    </row>
    <row r="5198" spans="1:45" x14ac:dyDescent="0.35">
      <c r="A5198" t="s">
        <v>45</v>
      </c>
      <c r="B5198" t="s">
        <v>11712</v>
      </c>
      <c r="C5198" t="s">
        <v>58</v>
      </c>
      <c r="D5198" t="s">
        <v>9726</v>
      </c>
      <c r="E5198" t="s">
        <v>9726</v>
      </c>
      <c r="F5198" t="s">
        <v>49</v>
      </c>
      <c r="G5198" t="s">
        <v>11787</v>
      </c>
      <c r="H5198" t="s">
        <v>11788</v>
      </c>
      <c r="J5198" t="str">
        <f>HYPERLINK("https://www.youtube.com/watch?v=-pla-VLu_Uc","https://www.youtube.com/watch?v=-pla-VLu_Uc")</f>
        <v>https://www.youtube.com/watch?v=-pla-VLu_Uc</v>
      </c>
      <c r="O5198">
        <v>0</v>
      </c>
      <c r="P5198">
        <v>0</v>
      </c>
      <c r="Q5198">
        <v>0</v>
      </c>
      <c r="S5198">
        <v>0</v>
      </c>
      <c r="T5198">
        <v>0</v>
      </c>
      <c r="U5198">
        <v>0</v>
      </c>
      <c r="W5198" t="s">
        <v>106</v>
      </c>
    </row>
    <row r="5199" spans="1:45" x14ac:dyDescent="0.35">
      <c r="A5199" t="s">
        <v>45</v>
      </c>
      <c r="B5199" t="s">
        <v>11712</v>
      </c>
      <c r="C5199" t="s">
        <v>58</v>
      </c>
      <c r="D5199" t="s">
        <v>11789</v>
      </c>
      <c r="E5199" t="s">
        <v>11789</v>
      </c>
      <c r="F5199" t="s">
        <v>49</v>
      </c>
      <c r="G5199" t="s">
        <v>11790</v>
      </c>
      <c r="H5199" t="s">
        <v>11791</v>
      </c>
      <c r="J5199" t="str">
        <f>HYPERLINK("https://www.youtube.com/watch?v=VFisQbhZB0s","https://www.youtube.com/watch?v=VFisQbhZB0s")</f>
        <v>https://www.youtube.com/watch?v=VFisQbhZB0s</v>
      </c>
      <c r="O5199">
        <v>0</v>
      </c>
      <c r="P5199">
        <v>0</v>
      </c>
      <c r="Q5199">
        <v>0</v>
      </c>
      <c r="S5199">
        <v>0</v>
      </c>
      <c r="T5199">
        <v>0</v>
      </c>
      <c r="U5199">
        <v>0</v>
      </c>
      <c r="W5199" t="s">
        <v>106</v>
      </c>
    </row>
    <row r="5200" spans="1:45" x14ac:dyDescent="0.35">
      <c r="A5200" t="s">
        <v>45</v>
      </c>
      <c r="B5200" t="s">
        <v>11712</v>
      </c>
      <c r="C5200" t="s">
        <v>58</v>
      </c>
      <c r="D5200" t="s">
        <v>11792</v>
      </c>
      <c r="E5200" t="s">
        <v>11792</v>
      </c>
      <c r="F5200" t="s">
        <v>49</v>
      </c>
      <c r="G5200" t="s">
        <v>11793</v>
      </c>
      <c r="H5200" t="s">
        <v>11794</v>
      </c>
      <c r="J5200" t="str">
        <f>HYPERLINK("https://www.youtube.com/watch?v=BihYghPJE28","https://www.youtube.com/watch?v=BihYghPJE28")</f>
        <v>https://www.youtube.com/watch?v=BihYghPJE28</v>
      </c>
      <c r="O5200">
        <v>0</v>
      </c>
      <c r="P5200">
        <v>0</v>
      </c>
      <c r="Q5200">
        <v>0</v>
      </c>
      <c r="S5200">
        <v>0</v>
      </c>
      <c r="T5200">
        <v>0</v>
      </c>
      <c r="U5200">
        <v>0</v>
      </c>
      <c r="W5200" t="s">
        <v>106</v>
      </c>
    </row>
    <row r="5201" spans="1:45" x14ac:dyDescent="0.35">
      <c r="A5201" t="s">
        <v>45</v>
      </c>
      <c r="B5201" t="s">
        <v>11795</v>
      </c>
      <c r="C5201" t="s">
        <v>58</v>
      </c>
      <c r="D5201" t="s">
        <v>6073</v>
      </c>
      <c r="E5201" t="s">
        <v>6073</v>
      </c>
      <c r="F5201" t="s">
        <v>49</v>
      </c>
      <c r="G5201" t="s">
        <v>11796</v>
      </c>
      <c r="H5201" t="s">
        <v>11797</v>
      </c>
      <c r="J5201" t="str">
        <f>HYPERLINK("https://www.youtube.com/watch?v=aWoKhpt-mVs","https://www.youtube.com/watch?v=aWoKhpt-mVs")</f>
        <v>https://www.youtube.com/watch?v=aWoKhpt-mVs</v>
      </c>
      <c r="O5201">
        <v>0</v>
      </c>
      <c r="P5201">
        <v>0</v>
      </c>
      <c r="Q5201">
        <v>0</v>
      </c>
      <c r="S5201">
        <v>0</v>
      </c>
      <c r="T5201">
        <v>0</v>
      </c>
      <c r="U5201">
        <v>0</v>
      </c>
      <c r="W5201" t="s">
        <v>106</v>
      </c>
    </row>
    <row r="5202" spans="1:45" x14ac:dyDescent="0.35">
      <c r="A5202" t="s">
        <v>45</v>
      </c>
      <c r="B5202" t="s">
        <v>11795</v>
      </c>
      <c r="C5202" t="s">
        <v>58</v>
      </c>
      <c r="D5202" t="s">
        <v>9726</v>
      </c>
      <c r="E5202" t="s">
        <v>9726</v>
      </c>
      <c r="F5202" t="s">
        <v>49</v>
      </c>
      <c r="G5202" t="s">
        <v>11798</v>
      </c>
      <c r="H5202" t="s">
        <v>11799</v>
      </c>
      <c r="J5202" t="str">
        <f>HYPERLINK("https://www.youtube.com/watch?v=pK3nPviQIRk","https://www.youtube.com/watch?v=pK3nPviQIRk")</f>
        <v>https://www.youtube.com/watch?v=pK3nPviQIRk</v>
      </c>
      <c r="O5202">
        <v>0</v>
      </c>
      <c r="P5202">
        <v>0</v>
      </c>
      <c r="Q5202">
        <v>0</v>
      </c>
      <c r="S5202">
        <v>0</v>
      </c>
      <c r="T5202">
        <v>0</v>
      </c>
      <c r="U5202">
        <v>0</v>
      </c>
      <c r="W5202" t="s">
        <v>106</v>
      </c>
    </row>
    <row r="5203" spans="1:45" x14ac:dyDescent="0.35">
      <c r="A5203" t="s">
        <v>45</v>
      </c>
      <c r="B5203" t="s">
        <v>11795</v>
      </c>
      <c r="C5203" t="s">
        <v>139</v>
      </c>
      <c r="D5203" t="s">
        <v>11800</v>
      </c>
      <c r="E5203" t="s">
        <v>11801</v>
      </c>
      <c r="F5203" t="s">
        <v>76</v>
      </c>
      <c r="G5203" t="s">
        <v>11802</v>
      </c>
      <c r="H5203" t="s">
        <v>11803</v>
      </c>
      <c r="J5203" t="str">
        <f>HYPERLINK("https://twitter.com/luesirette52365/status/1745826215426965739","https://twitter.com/luesirette52365/status/1745826215426965739")</f>
        <v>https://twitter.com/luesirette52365/status/1745826215426965739</v>
      </c>
      <c r="O5203">
        <v>0</v>
      </c>
      <c r="P5203">
        <v>0</v>
      </c>
      <c r="Q5203">
        <v>0</v>
      </c>
      <c r="S5203">
        <v>0</v>
      </c>
      <c r="T5203">
        <v>0</v>
      </c>
      <c r="U5203">
        <v>0</v>
      </c>
      <c r="W5203" t="s">
        <v>146</v>
      </c>
    </row>
    <row r="5204" spans="1:45" x14ac:dyDescent="0.35">
      <c r="A5204" t="s">
        <v>45</v>
      </c>
      <c r="B5204" t="s">
        <v>11795</v>
      </c>
      <c r="C5204" t="s">
        <v>58</v>
      </c>
      <c r="D5204" t="s">
        <v>1142</v>
      </c>
      <c r="E5204" t="s">
        <v>1142</v>
      </c>
      <c r="F5204" t="s">
        <v>49</v>
      </c>
      <c r="G5204" t="s">
        <v>11804</v>
      </c>
      <c r="H5204" t="s">
        <v>11805</v>
      </c>
      <c r="J5204" t="str">
        <f>HYPERLINK("https://www.youtube.com/watch?v=Aiv3ZCgwGtk","https://www.youtube.com/watch?v=Aiv3ZCgwGtk")</f>
        <v>https://www.youtube.com/watch?v=Aiv3ZCgwGtk</v>
      </c>
      <c r="O5204">
        <v>0</v>
      </c>
      <c r="P5204">
        <v>0</v>
      </c>
      <c r="Q5204">
        <v>0</v>
      </c>
      <c r="S5204">
        <v>0</v>
      </c>
      <c r="T5204">
        <v>0</v>
      </c>
      <c r="U5204">
        <v>0</v>
      </c>
      <c r="W5204" t="s">
        <v>106</v>
      </c>
      <c r="AP5204" t="s">
        <v>101</v>
      </c>
    </row>
    <row r="5205" spans="1:45" x14ac:dyDescent="0.35">
      <c r="A5205" t="s">
        <v>45</v>
      </c>
      <c r="B5205" t="s">
        <v>11795</v>
      </c>
      <c r="C5205" t="s">
        <v>58</v>
      </c>
      <c r="D5205" t="s">
        <v>1217</v>
      </c>
      <c r="E5205" t="s">
        <v>1217</v>
      </c>
      <c r="F5205" t="s">
        <v>49</v>
      </c>
      <c r="G5205" t="s">
        <v>11806</v>
      </c>
      <c r="H5205" t="s">
        <v>11807</v>
      </c>
      <c r="J5205" t="str">
        <f>HYPERLINK("https://www.youtube.com/watch?v=ZOAuze9nTjI","https://www.youtube.com/watch?v=ZOAuze9nTjI")</f>
        <v>https://www.youtube.com/watch?v=ZOAuze9nTjI</v>
      </c>
      <c r="O5205">
        <v>0</v>
      </c>
      <c r="P5205">
        <v>0</v>
      </c>
      <c r="Q5205">
        <v>0</v>
      </c>
      <c r="S5205">
        <v>0</v>
      </c>
      <c r="T5205">
        <v>0</v>
      </c>
      <c r="U5205">
        <v>0</v>
      </c>
      <c r="W5205" t="s">
        <v>106</v>
      </c>
      <c r="AP5205" t="s">
        <v>101</v>
      </c>
    </row>
    <row r="5206" spans="1:45" x14ac:dyDescent="0.35">
      <c r="A5206" t="s">
        <v>45</v>
      </c>
      <c r="B5206" t="s">
        <v>11795</v>
      </c>
      <c r="C5206" t="s">
        <v>47</v>
      </c>
      <c r="D5206" t="s">
        <v>4488</v>
      </c>
      <c r="E5206" t="s">
        <v>4488</v>
      </c>
      <c r="F5206" t="s">
        <v>49</v>
      </c>
      <c r="G5206">
        <v>9927836462</v>
      </c>
      <c r="H5206" t="s">
        <v>11808</v>
      </c>
      <c r="J5206" t="str">
        <f>HYPERLINK("https://www.facebook.com/454965103328545/posts/750050217153364?comment_id=3557169517930564","https://www.facebook.com/454965103328545/posts/750050217153364?comment_id=3557169517930564")</f>
        <v>https://www.facebook.com/454965103328545/posts/750050217153364?comment_id=3557169517930564</v>
      </c>
      <c r="O5206">
        <v>0</v>
      </c>
      <c r="P5206">
        <v>0</v>
      </c>
      <c r="Q5206">
        <v>0</v>
      </c>
      <c r="S5206">
        <v>0</v>
      </c>
      <c r="T5206">
        <v>0</v>
      </c>
      <c r="U5206">
        <v>0</v>
      </c>
      <c r="W5206" t="s">
        <v>62</v>
      </c>
      <c r="Y5206" t="s">
        <v>11809</v>
      </c>
      <c r="Z5206" t="s">
        <v>613</v>
      </c>
      <c r="AA5206" t="s">
        <v>614</v>
      </c>
    </row>
    <row r="5207" spans="1:45" x14ac:dyDescent="0.35">
      <c r="A5207" t="s">
        <v>45</v>
      </c>
      <c r="B5207" t="s">
        <v>11795</v>
      </c>
      <c r="C5207" t="s">
        <v>47</v>
      </c>
      <c r="D5207" t="s">
        <v>4488</v>
      </c>
      <c r="E5207" t="s">
        <v>4488</v>
      </c>
      <c r="F5207" t="s">
        <v>49</v>
      </c>
      <c r="G5207" t="s">
        <v>11810</v>
      </c>
      <c r="H5207" t="s">
        <v>11811</v>
      </c>
      <c r="J5207" t="str">
        <f>HYPERLINK("https://www.facebook.com/454965103328545/posts/750050217153364?comment_id=399011645809607","https://www.facebook.com/454965103328545/posts/750050217153364?comment_id=399011645809607")</f>
        <v>https://www.facebook.com/454965103328545/posts/750050217153364?comment_id=399011645809607</v>
      </c>
      <c r="O5207">
        <v>0</v>
      </c>
      <c r="P5207">
        <v>0</v>
      </c>
      <c r="Q5207">
        <v>0</v>
      </c>
      <c r="S5207">
        <v>0</v>
      </c>
      <c r="T5207">
        <v>0</v>
      </c>
      <c r="U5207">
        <v>0</v>
      </c>
      <c r="W5207" t="s">
        <v>62</v>
      </c>
    </row>
    <row r="5208" spans="1:45" x14ac:dyDescent="0.35">
      <c r="A5208" t="s">
        <v>45</v>
      </c>
      <c r="B5208" t="s">
        <v>11795</v>
      </c>
      <c r="C5208" t="s">
        <v>102</v>
      </c>
      <c r="D5208" t="s">
        <v>11812</v>
      </c>
      <c r="E5208" t="s">
        <v>11812</v>
      </c>
      <c r="F5208" t="s">
        <v>49</v>
      </c>
      <c r="G5208" t="s">
        <v>11813</v>
      </c>
      <c r="H5208" t="s">
        <v>11814</v>
      </c>
      <c r="J5208" t="str">
        <f>HYPERLINK("https://www.linkedin.com/feed/update/urn:li:share:7146482801830277120/?commentUrn=urn:li:comment:(urn:li:activity:7146482802480365568,7151582286499454976)","https://www.linkedin.com/feed/update/urn:li:share:7146482801830277120/?commentUrn=urn:li:comment:(urn:li:activity:7146482802480365568,7151582286499454976)")</f>
        <v>https://www.linkedin.com/feed/update/urn:li:share:7146482801830277120/?commentUrn=urn:li:comment:(urn:li:activity:7146482802480365568,7151582286499454976)</v>
      </c>
      <c r="K5208" t="s">
        <v>145</v>
      </c>
      <c r="O5208">
        <v>0</v>
      </c>
      <c r="P5208">
        <v>0</v>
      </c>
      <c r="Q5208">
        <v>0</v>
      </c>
      <c r="S5208">
        <v>0</v>
      </c>
      <c r="T5208">
        <v>0</v>
      </c>
      <c r="U5208">
        <v>0</v>
      </c>
      <c r="W5208" t="s">
        <v>62</v>
      </c>
      <c r="AO5208" t="s">
        <v>119</v>
      </c>
      <c r="AP5208" t="s">
        <v>94</v>
      </c>
    </row>
    <row r="5209" spans="1:45" x14ac:dyDescent="0.35">
      <c r="A5209" t="s">
        <v>45</v>
      </c>
      <c r="B5209" t="s">
        <v>11795</v>
      </c>
      <c r="C5209" t="s">
        <v>47</v>
      </c>
      <c r="D5209" t="s">
        <v>11815</v>
      </c>
      <c r="E5209" t="s">
        <v>11815</v>
      </c>
      <c r="F5209" t="s">
        <v>49</v>
      </c>
      <c r="G5209" t="s">
        <v>56</v>
      </c>
      <c r="H5209" t="s">
        <v>11816</v>
      </c>
      <c r="J5209" t="str">
        <f>HYPERLINK("https://www.facebook.com/357267201017935/inbox/6912527695491820/","https://www.facebook.com/357267201017935/inbox/6912527695491820/")</f>
        <v>https://www.facebook.com/357267201017935/inbox/6912527695491820/</v>
      </c>
      <c r="O5209">
        <v>0</v>
      </c>
      <c r="P5209">
        <v>0</v>
      </c>
      <c r="Q5209">
        <v>0</v>
      </c>
      <c r="S5209">
        <v>0</v>
      </c>
      <c r="T5209">
        <v>0</v>
      </c>
      <c r="U5209">
        <v>0</v>
      </c>
      <c r="W5209" t="s">
        <v>52</v>
      </c>
      <c r="AS5209" t="s">
        <v>375</v>
      </c>
    </row>
    <row r="5210" spans="1:45" x14ac:dyDescent="0.35">
      <c r="A5210" t="s">
        <v>45</v>
      </c>
      <c r="B5210" t="s">
        <v>11795</v>
      </c>
      <c r="C5210" t="s">
        <v>47</v>
      </c>
      <c r="D5210" t="s">
        <v>11817</v>
      </c>
      <c r="E5210" t="s">
        <v>11817</v>
      </c>
      <c r="F5210" t="s">
        <v>49</v>
      </c>
      <c r="G5210" t="s">
        <v>11818</v>
      </c>
      <c r="H5210" t="s">
        <v>11819</v>
      </c>
      <c r="J5210" t="str">
        <f>HYPERLINK("https://www.facebook.com/454965103328545/posts/734812295343823?comment_id=394058109858289","https://www.facebook.com/454965103328545/posts/734812295343823?comment_id=394058109858289")</f>
        <v>https://www.facebook.com/454965103328545/posts/734812295343823?comment_id=394058109858289</v>
      </c>
      <c r="O5210">
        <v>0</v>
      </c>
      <c r="P5210">
        <v>0</v>
      </c>
      <c r="Q5210">
        <v>0</v>
      </c>
      <c r="S5210">
        <v>0</v>
      </c>
      <c r="T5210">
        <v>0</v>
      </c>
      <c r="U5210">
        <v>0</v>
      </c>
      <c r="W5210" t="s">
        <v>62</v>
      </c>
    </row>
    <row r="5211" spans="1:45" x14ac:dyDescent="0.35">
      <c r="A5211" t="s">
        <v>45</v>
      </c>
      <c r="B5211" t="s">
        <v>11795</v>
      </c>
      <c r="C5211" t="s">
        <v>47</v>
      </c>
      <c r="D5211" t="s">
        <v>11817</v>
      </c>
      <c r="E5211" t="s">
        <v>11817</v>
      </c>
      <c r="F5211" t="s">
        <v>49</v>
      </c>
      <c r="G5211" t="s">
        <v>11820</v>
      </c>
      <c r="H5211" t="s">
        <v>11821</v>
      </c>
      <c r="J5211" t="str">
        <f>HYPERLINK("https://www.facebook.com/454965103328545/posts/734812295343823?comment_id=357376717043788","https://www.facebook.com/454965103328545/posts/734812295343823?comment_id=357376717043788")</f>
        <v>https://www.facebook.com/454965103328545/posts/734812295343823?comment_id=357376717043788</v>
      </c>
      <c r="O5211">
        <v>0</v>
      </c>
      <c r="P5211">
        <v>0</v>
      </c>
      <c r="Q5211">
        <v>0</v>
      </c>
      <c r="S5211">
        <v>0</v>
      </c>
      <c r="T5211">
        <v>0</v>
      </c>
      <c r="U5211">
        <v>0</v>
      </c>
      <c r="W5211" t="s">
        <v>62</v>
      </c>
    </row>
    <row r="5212" spans="1:45" x14ac:dyDescent="0.35">
      <c r="A5212" t="s">
        <v>45</v>
      </c>
      <c r="B5212" t="s">
        <v>11795</v>
      </c>
      <c r="C5212" t="s">
        <v>58</v>
      </c>
      <c r="D5212" t="s">
        <v>11822</v>
      </c>
      <c r="E5212" t="s">
        <v>11822</v>
      </c>
      <c r="F5212" t="s">
        <v>49</v>
      </c>
      <c r="G5212" t="s">
        <v>11823</v>
      </c>
      <c r="H5212" t="s">
        <v>11824</v>
      </c>
      <c r="J5212" t="str">
        <f>HYPERLINK("https://www.youtube.com/watch?v=gH5tm5YkuUI","https://www.youtube.com/watch?v=gH5tm5YkuUI")</f>
        <v>https://www.youtube.com/watch?v=gH5tm5YkuUI</v>
      </c>
      <c r="O5212">
        <v>0</v>
      </c>
      <c r="P5212">
        <v>0</v>
      </c>
      <c r="Q5212">
        <v>0</v>
      </c>
      <c r="S5212">
        <v>0</v>
      </c>
      <c r="T5212">
        <v>0</v>
      </c>
      <c r="U5212">
        <v>0</v>
      </c>
      <c r="W5212" t="s">
        <v>106</v>
      </c>
    </row>
    <row r="5213" spans="1:45" x14ac:dyDescent="0.35">
      <c r="A5213" t="s">
        <v>45</v>
      </c>
      <c r="B5213" t="s">
        <v>11795</v>
      </c>
      <c r="C5213" t="s">
        <v>58</v>
      </c>
      <c r="D5213" t="s">
        <v>11825</v>
      </c>
      <c r="E5213" t="s">
        <v>11825</v>
      </c>
      <c r="F5213" t="s">
        <v>49</v>
      </c>
      <c r="G5213" t="s">
        <v>11826</v>
      </c>
      <c r="H5213" t="s">
        <v>11827</v>
      </c>
      <c r="J5213" t="str">
        <f>HYPERLINK("https://www.youtube.com/watch?v=z9fOyDwRI_Q","https://www.youtube.com/watch?v=z9fOyDwRI_Q")</f>
        <v>https://www.youtube.com/watch?v=z9fOyDwRI_Q</v>
      </c>
      <c r="O5213">
        <v>0</v>
      </c>
      <c r="P5213">
        <v>0</v>
      </c>
      <c r="Q5213">
        <v>0</v>
      </c>
      <c r="S5213">
        <v>0</v>
      </c>
      <c r="T5213">
        <v>0</v>
      </c>
      <c r="U5213">
        <v>0</v>
      </c>
      <c r="W5213" t="s">
        <v>106</v>
      </c>
    </row>
    <row r="5214" spans="1:45" x14ac:dyDescent="0.35">
      <c r="A5214" t="s">
        <v>45</v>
      </c>
      <c r="B5214" t="s">
        <v>11795</v>
      </c>
      <c r="C5214" t="s">
        <v>47</v>
      </c>
      <c r="D5214" t="s">
        <v>11828</v>
      </c>
      <c r="E5214" t="s">
        <v>11828</v>
      </c>
      <c r="F5214" t="s">
        <v>49</v>
      </c>
      <c r="G5214" t="s">
        <v>11829</v>
      </c>
      <c r="H5214" t="s">
        <v>11830</v>
      </c>
      <c r="J5214" t="str">
        <f>HYPERLINK("https://www.facebook.com/357267201017935/inbox/6912308485513741/","https://www.facebook.com/357267201017935/inbox/6912308485513741/")</f>
        <v>https://www.facebook.com/357267201017935/inbox/6912308485513741/</v>
      </c>
      <c r="O5214">
        <v>0</v>
      </c>
      <c r="P5214">
        <v>0</v>
      </c>
      <c r="Q5214">
        <v>0</v>
      </c>
      <c r="S5214">
        <v>0</v>
      </c>
      <c r="T5214">
        <v>0</v>
      </c>
      <c r="U5214">
        <v>0</v>
      </c>
      <c r="W5214" t="s">
        <v>52</v>
      </c>
      <c r="AS5214" t="s">
        <v>375</v>
      </c>
    </row>
    <row r="5215" spans="1:45" x14ac:dyDescent="0.35">
      <c r="A5215" t="s">
        <v>45</v>
      </c>
      <c r="B5215" t="s">
        <v>11795</v>
      </c>
      <c r="C5215" t="s">
        <v>58</v>
      </c>
      <c r="D5215" t="s">
        <v>1556</v>
      </c>
      <c r="E5215" t="s">
        <v>1556</v>
      </c>
      <c r="F5215" t="s">
        <v>49</v>
      </c>
      <c r="G5215" t="s">
        <v>11831</v>
      </c>
      <c r="H5215" t="s">
        <v>11832</v>
      </c>
      <c r="J5215" t="str">
        <f>HYPERLINK("https://www.youtube.com/watch?v=iTKb3wDOfFY","https://www.youtube.com/watch?v=iTKb3wDOfFY")</f>
        <v>https://www.youtube.com/watch?v=iTKb3wDOfFY</v>
      </c>
      <c r="O5215">
        <v>0</v>
      </c>
      <c r="P5215">
        <v>0</v>
      </c>
      <c r="Q5215">
        <v>0</v>
      </c>
      <c r="S5215">
        <v>0</v>
      </c>
      <c r="T5215">
        <v>0</v>
      </c>
      <c r="U5215">
        <v>0</v>
      </c>
      <c r="W5215" t="s">
        <v>106</v>
      </c>
      <c r="AO5215" t="s">
        <v>67</v>
      </c>
      <c r="AP5215" t="s">
        <v>101</v>
      </c>
    </row>
    <row r="5216" spans="1:45" x14ac:dyDescent="0.35">
      <c r="A5216" t="s">
        <v>45</v>
      </c>
      <c r="B5216" t="s">
        <v>11795</v>
      </c>
      <c r="C5216" t="s">
        <v>47</v>
      </c>
      <c r="D5216" t="s">
        <v>4488</v>
      </c>
      <c r="E5216" t="s">
        <v>4488</v>
      </c>
      <c r="F5216" t="s">
        <v>49</v>
      </c>
      <c r="G5216" t="s">
        <v>11810</v>
      </c>
      <c r="H5216" t="s">
        <v>11833</v>
      </c>
      <c r="J5216" t="str">
        <f>HYPERLINK("https://www.facebook.com/454965103328545/posts/751345700357149?comment_id=7320925387957846","https://www.facebook.com/454965103328545/posts/751345700357149?comment_id=7320925387957846")</f>
        <v>https://www.facebook.com/454965103328545/posts/751345700357149?comment_id=7320925387957846</v>
      </c>
      <c r="O5216">
        <v>0</v>
      </c>
      <c r="P5216">
        <v>0</v>
      </c>
      <c r="Q5216">
        <v>0</v>
      </c>
      <c r="S5216">
        <v>0</v>
      </c>
      <c r="T5216">
        <v>0</v>
      </c>
      <c r="U5216">
        <v>0</v>
      </c>
      <c r="W5216" t="s">
        <v>62</v>
      </c>
    </row>
    <row r="5217" spans="1:45" x14ac:dyDescent="0.35">
      <c r="A5217" t="s">
        <v>45</v>
      </c>
      <c r="B5217" t="s">
        <v>11795</v>
      </c>
      <c r="C5217" t="s">
        <v>47</v>
      </c>
      <c r="D5217" t="s">
        <v>4488</v>
      </c>
      <c r="E5217" t="s">
        <v>4488</v>
      </c>
      <c r="F5217" t="s">
        <v>49</v>
      </c>
      <c r="G5217" t="s">
        <v>11810</v>
      </c>
      <c r="H5217" t="s">
        <v>11834</v>
      </c>
      <c r="J5217" t="str">
        <f>HYPERLINK("https://www.facebook.com/454965103328545/posts/751213870370332?comment_id=3620291231515588","https://www.facebook.com/454965103328545/posts/751213870370332?comment_id=3620291231515588")</f>
        <v>https://www.facebook.com/454965103328545/posts/751213870370332?comment_id=3620291231515588</v>
      </c>
      <c r="O5217">
        <v>0</v>
      </c>
      <c r="P5217">
        <v>0</v>
      </c>
      <c r="Q5217">
        <v>0</v>
      </c>
      <c r="S5217">
        <v>0</v>
      </c>
      <c r="T5217">
        <v>0</v>
      </c>
      <c r="U5217">
        <v>0</v>
      </c>
      <c r="W5217" t="s">
        <v>62</v>
      </c>
    </row>
    <row r="5218" spans="1:45" x14ac:dyDescent="0.35">
      <c r="A5218" t="s">
        <v>45</v>
      </c>
      <c r="B5218" t="s">
        <v>11795</v>
      </c>
      <c r="C5218" t="s">
        <v>47</v>
      </c>
      <c r="D5218" t="s">
        <v>1779</v>
      </c>
      <c r="E5218" t="s">
        <v>1779</v>
      </c>
      <c r="F5218" t="s">
        <v>49</v>
      </c>
      <c r="G5218" t="s">
        <v>11835</v>
      </c>
      <c r="H5218" t="s">
        <v>11836</v>
      </c>
      <c r="J5218" t="str">
        <f>HYPERLINK("https://www.facebook.com/454965103328545/posts/751345700357149?comment_id=398704175935093","https://www.facebook.com/454965103328545/posts/751345700357149?comment_id=398704175935093")</f>
        <v>https://www.facebook.com/454965103328545/posts/751345700357149?comment_id=398704175935093</v>
      </c>
      <c r="O5218">
        <v>0</v>
      </c>
      <c r="P5218">
        <v>0</v>
      </c>
      <c r="Q5218">
        <v>0</v>
      </c>
      <c r="S5218">
        <v>0</v>
      </c>
      <c r="T5218">
        <v>0</v>
      </c>
      <c r="U5218">
        <v>0</v>
      </c>
      <c r="W5218" t="s">
        <v>62</v>
      </c>
      <c r="AS5218" t="s">
        <v>375</v>
      </c>
    </row>
    <row r="5219" spans="1:45" x14ac:dyDescent="0.35">
      <c r="A5219" t="s">
        <v>45</v>
      </c>
      <c r="B5219" t="s">
        <v>11795</v>
      </c>
      <c r="C5219" t="s">
        <v>139</v>
      </c>
      <c r="D5219" t="s">
        <v>11837</v>
      </c>
      <c r="E5219" t="s">
        <v>11838</v>
      </c>
      <c r="F5219" t="s">
        <v>49</v>
      </c>
      <c r="G5219" t="s">
        <v>11839</v>
      </c>
      <c r="H5219" t="s">
        <v>11840</v>
      </c>
      <c r="J5219" t="str">
        <f>HYPERLINK("https://twitter.com/KrishanKum62314/status/1745762909375087059","https://twitter.com/KrishanKum62314/status/1745762909375087059")</f>
        <v>https://twitter.com/KrishanKum62314/status/1745762909375087059</v>
      </c>
      <c r="K5219" t="s">
        <v>145</v>
      </c>
      <c r="O5219">
        <v>0</v>
      </c>
      <c r="P5219">
        <v>0</v>
      </c>
      <c r="Q5219">
        <v>0</v>
      </c>
      <c r="S5219">
        <v>0</v>
      </c>
      <c r="T5219">
        <v>0</v>
      </c>
      <c r="U5219">
        <v>0</v>
      </c>
      <c r="W5219" t="s">
        <v>146</v>
      </c>
    </row>
    <row r="5220" spans="1:45" x14ac:dyDescent="0.35">
      <c r="A5220" t="s">
        <v>45</v>
      </c>
      <c r="B5220" t="s">
        <v>11795</v>
      </c>
      <c r="C5220" t="s">
        <v>58</v>
      </c>
      <c r="D5220" t="s">
        <v>11841</v>
      </c>
      <c r="E5220" t="s">
        <v>11841</v>
      </c>
      <c r="F5220" t="s">
        <v>49</v>
      </c>
      <c r="G5220" t="s">
        <v>11842</v>
      </c>
      <c r="H5220" t="s">
        <v>11843</v>
      </c>
      <c r="J5220" t="str">
        <f>HYPERLINK("https://www.youtube.com/watch?v=5z5wmRKI6r4","https://www.youtube.com/watch?v=5z5wmRKI6r4")</f>
        <v>https://www.youtube.com/watch?v=5z5wmRKI6r4</v>
      </c>
      <c r="O5220">
        <v>0</v>
      </c>
      <c r="P5220">
        <v>0</v>
      </c>
      <c r="Q5220">
        <v>0</v>
      </c>
      <c r="S5220">
        <v>0</v>
      </c>
      <c r="T5220">
        <v>0</v>
      </c>
      <c r="U5220">
        <v>0</v>
      </c>
      <c r="W5220" t="s">
        <v>106</v>
      </c>
    </row>
    <row r="5221" spans="1:45" x14ac:dyDescent="0.35">
      <c r="A5221" t="s">
        <v>45</v>
      </c>
      <c r="B5221" t="s">
        <v>11795</v>
      </c>
      <c r="C5221" t="s">
        <v>47</v>
      </c>
      <c r="D5221" t="s">
        <v>11844</v>
      </c>
      <c r="E5221" t="s">
        <v>11844</v>
      </c>
      <c r="F5221" t="s">
        <v>142</v>
      </c>
      <c r="G5221" t="s">
        <v>11845</v>
      </c>
      <c r="H5221" t="s">
        <v>11846</v>
      </c>
      <c r="J5221" t="str">
        <f>HYPERLINK("https://www.facebook.com/357267201017935/inbox/6911993955545194/","https://www.facebook.com/357267201017935/inbox/6911993955545194/")</f>
        <v>https://www.facebook.com/357267201017935/inbox/6911993955545194/</v>
      </c>
      <c r="O5221">
        <v>0</v>
      </c>
      <c r="P5221">
        <v>0</v>
      </c>
      <c r="Q5221">
        <v>0</v>
      </c>
      <c r="S5221">
        <v>0</v>
      </c>
      <c r="T5221">
        <v>0</v>
      </c>
      <c r="U5221">
        <v>0</v>
      </c>
      <c r="W5221" t="s">
        <v>52</v>
      </c>
    </row>
    <row r="5222" spans="1:45" x14ac:dyDescent="0.35">
      <c r="A5222" t="s">
        <v>45</v>
      </c>
      <c r="B5222" t="s">
        <v>11795</v>
      </c>
      <c r="C5222" t="s">
        <v>47</v>
      </c>
      <c r="D5222" t="s">
        <v>7785</v>
      </c>
      <c r="E5222" t="s">
        <v>7785</v>
      </c>
      <c r="F5222" t="s">
        <v>142</v>
      </c>
      <c r="G5222" t="s">
        <v>11847</v>
      </c>
      <c r="H5222" t="s">
        <v>11848</v>
      </c>
      <c r="J5222" t="str">
        <f>HYPERLINK("https://www.facebook.com/454965103328545/posts/750050217153364?comment_id=1458395155093149","https://www.facebook.com/454965103328545/posts/750050217153364?comment_id=1458395155093149")</f>
        <v>https://www.facebook.com/454965103328545/posts/750050217153364?comment_id=1458395155093149</v>
      </c>
      <c r="O5222">
        <v>0</v>
      </c>
      <c r="P5222">
        <v>0</v>
      </c>
      <c r="Q5222">
        <v>0</v>
      </c>
      <c r="S5222">
        <v>0</v>
      </c>
      <c r="T5222">
        <v>0</v>
      </c>
      <c r="U5222">
        <v>0</v>
      </c>
      <c r="W5222" t="s">
        <v>62</v>
      </c>
    </row>
    <row r="5223" spans="1:45" x14ac:dyDescent="0.35">
      <c r="A5223" t="s">
        <v>45</v>
      </c>
      <c r="B5223" t="s">
        <v>11795</v>
      </c>
      <c r="C5223" t="s">
        <v>58</v>
      </c>
      <c r="D5223" t="s">
        <v>11849</v>
      </c>
      <c r="E5223" t="s">
        <v>11849</v>
      </c>
      <c r="F5223" t="s">
        <v>49</v>
      </c>
      <c r="G5223" t="s">
        <v>11850</v>
      </c>
      <c r="H5223" t="s">
        <v>11851</v>
      </c>
      <c r="J5223" t="str">
        <f>HYPERLINK("https://www.youtube.com/watch?v=0COqEolQ6C0","https://www.youtube.com/watch?v=0COqEolQ6C0")</f>
        <v>https://www.youtube.com/watch?v=0COqEolQ6C0</v>
      </c>
      <c r="O5223">
        <v>0</v>
      </c>
      <c r="P5223">
        <v>0</v>
      </c>
      <c r="Q5223">
        <v>0</v>
      </c>
      <c r="S5223">
        <v>0</v>
      </c>
      <c r="T5223">
        <v>0</v>
      </c>
      <c r="U5223">
        <v>0</v>
      </c>
      <c r="W5223" t="s">
        <v>106</v>
      </c>
      <c r="AP5223" t="s">
        <v>101</v>
      </c>
    </row>
    <row r="5224" spans="1:45" x14ac:dyDescent="0.35">
      <c r="A5224" t="s">
        <v>45</v>
      </c>
      <c r="B5224" t="s">
        <v>11795</v>
      </c>
      <c r="C5224" t="s">
        <v>47</v>
      </c>
      <c r="D5224" t="s">
        <v>11607</v>
      </c>
      <c r="E5224" t="s">
        <v>11607</v>
      </c>
      <c r="F5224" t="s">
        <v>49</v>
      </c>
      <c r="G5224">
        <v>8521552145</v>
      </c>
      <c r="H5224" t="s">
        <v>11852</v>
      </c>
      <c r="J5224" t="str">
        <f>HYPERLINK("https://www.facebook.com/454965103328545/posts/751345700357149?comment_id=7305031319548501","https://www.facebook.com/454965103328545/posts/751345700357149?comment_id=7305031319548501")</f>
        <v>https://www.facebook.com/454965103328545/posts/751345700357149?comment_id=7305031319548501</v>
      </c>
      <c r="O5224">
        <v>0</v>
      </c>
      <c r="P5224">
        <v>0</v>
      </c>
      <c r="Q5224">
        <v>0</v>
      </c>
      <c r="S5224">
        <v>0</v>
      </c>
      <c r="T5224">
        <v>0</v>
      </c>
      <c r="U5224">
        <v>0</v>
      </c>
      <c r="W5224" t="s">
        <v>62</v>
      </c>
    </row>
    <row r="5225" spans="1:45" x14ac:dyDescent="0.35">
      <c r="A5225" t="s">
        <v>45</v>
      </c>
      <c r="B5225" t="s">
        <v>11795</v>
      </c>
      <c r="C5225" t="s">
        <v>47</v>
      </c>
      <c r="D5225" t="s">
        <v>11853</v>
      </c>
      <c r="E5225" t="s">
        <v>11853</v>
      </c>
      <c r="F5225" t="s">
        <v>49</v>
      </c>
      <c r="G5225" t="s">
        <v>253</v>
      </c>
      <c r="H5225" t="s">
        <v>11854</v>
      </c>
      <c r="J5225" t="str">
        <f>HYPERLINK("https://www.facebook.com/357267201017935/inbox/6911590248918898/","https://www.facebook.com/357267201017935/inbox/6911590248918898/")</f>
        <v>https://www.facebook.com/357267201017935/inbox/6911590248918898/</v>
      </c>
      <c r="O5225">
        <v>0</v>
      </c>
      <c r="P5225">
        <v>0</v>
      </c>
      <c r="Q5225">
        <v>0</v>
      </c>
      <c r="S5225">
        <v>0</v>
      </c>
      <c r="T5225">
        <v>0</v>
      </c>
      <c r="U5225">
        <v>0</v>
      </c>
      <c r="W5225" t="s">
        <v>52</v>
      </c>
    </row>
    <row r="5226" spans="1:45" x14ac:dyDescent="0.35">
      <c r="A5226" t="s">
        <v>45</v>
      </c>
      <c r="B5226" t="s">
        <v>11795</v>
      </c>
      <c r="C5226" t="s">
        <v>47</v>
      </c>
      <c r="D5226" t="s">
        <v>10650</v>
      </c>
      <c r="E5226" t="s">
        <v>10650</v>
      </c>
      <c r="F5226" t="s">
        <v>49</v>
      </c>
      <c r="G5226" t="s">
        <v>253</v>
      </c>
      <c r="H5226" t="s">
        <v>11855</v>
      </c>
      <c r="J5226" t="str">
        <f>HYPERLINK("https://www.facebook.com/357267201017935/inbox/2867371030007527/","https://www.facebook.com/357267201017935/inbox/2867371030007527/")</f>
        <v>https://www.facebook.com/357267201017935/inbox/2867371030007527/</v>
      </c>
      <c r="O5226">
        <v>0</v>
      </c>
      <c r="P5226">
        <v>0</v>
      </c>
      <c r="Q5226">
        <v>0</v>
      </c>
      <c r="S5226">
        <v>0</v>
      </c>
      <c r="T5226">
        <v>0</v>
      </c>
      <c r="U5226">
        <v>0</v>
      </c>
      <c r="W5226" t="s">
        <v>52</v>
      </c>
    </row>
    <row r="5227" spans="1:45" x14ac:dyDescent="0.35">
      <c r="A5227" t="s">
        <v>45</v>
      </c>
      <c r="B5227" t="s">
        <v>11795</v>
      </c>
      <c r="C5227" t="s">
        <v>47</v>
      </c>
      <c r="D5227" t="s">
        <v>10650</v>
      </c>
      <c r="E5227" t="s">
        <v>10650</v>
      </c>
      <c r="F5227" t="s">
        <v>49</v>
      </c>
      <c r="G5227" t="s">
        <v>56</v>
      </c>
      <c r="H5227" t="s">
        <v>11856</v>
      </c>
      <c r="J5227" t="str">
        <f>HYPERLINK("https://www.facebook.com/357267201017935/inbox/2867371030007527/","https://www.facebook.com/357267201017935/inbox/2867371030007527/")</f>
        <v>https://www.facebook.com/357267201017935/inbox/2867371030007527/</v>
      </c>
      <c r="O5227">
        <v>0</v>
      </c>
      <c r="P5227">
        <v>0</v>
      </c>
      <c r="Q5227">
        <v>0</v>
      </c>
      <c r="S5227">
        <v>0</v>
      </c>
      <c r="T5227">
        <v>0</v>
      </c>
      <c r="U5227">
        <v>0</v>
      </c>
      <c r="W5227" t="s">
        <v>52</v>
      </c>
    </row>
    <row r="5228" spans="1:45" x14ac:dyDescent="0.35">
      <c r="A5228" t="s">
        <v>45</v>
      </c>
      <c r="B5228" t="s">
        <v>11795</v>
      </c>
      <c r="C5228" t="s">
        <v>58</v>
      </c>
      <c r="D5228" t="s">
        <v>10878</v>
      </c>
      <c r="E5228" t="s">
        <v>10878</v>
      </c>
      <c r="F5228" t="s">
        <v>142</v>
      </c>
      <c r="G5228" t="s">
        <v>11857</v>
      </c>
      <c r="H5228" t="s">
        <v>11858</v>
      </c>
      <c r="J5228" t="str">
        <f>HYPERLINK("https://www.youtube.com/watch?v=j1uXU2dRQKk","https://www.youtube.com/watch?v=j1uXU2dRQKk")</f>
        <v>https://www.youtube.com/watch?v=j1uXU2dRQKk</v>
      </c>
      <c r="O5228">
        <v>0</v>
      </c>
      <c r="P5228">
        <v>0</v>
      </c>
      <c r="Q5228">
        <v>0</v>
      </c>
      <c r="S5228">
        <v>0</v>
      </c>
      <c r="T5228">
        <v>0</v>
      </c>
      <c r="U5228">
        <v>0</v>
      </c>
      <c r="W5228" t="s">
        <v>106</v>
      </c>
    </row>
    <row r="5229" spans="1:45" x14ac:dyDescent="0.35">
      <c r="A5229" t="s">
        <v>45</v>
      </c>
      <c r="B5229" t="s">
        <v>11795</v>
      </c>
      <c r="C5229" t="s">
        <v>58</v>
      </c>
      <c r="D5229" t="s">
        <v>11859</v>
      </c>
      <c r="E5229" t="s">
        <v>11859</v>
      </c>
      <c r="F5229" t="s">
        <v>49</v>
      </c>
      <c r="G5229" t="s">
        <v>11860</v>
      </c>
      <c r="H5229" t="s">
        <v>11861</v>
      </c>
      <c r="J5229" t="str">
        <f>HYPERLINK("https://www.youtube.com/watch?v=DOGPxKgkG4M","https://www.youtube.com/watch?v=DOGPxKgkG4M")</f>
        <v>https://www.youtube.com/watch?v=DOGPxKgkG4M</v>
      </c>
      <c r="O5229">
        <v>0</v>
      </c>
      <c r="P5229">
        <v>0</v>
      </c>
      <c r="Q5229">
        <v>0</v>
      </c>
      <c r="S5229">
        <v>0</v>
      </c>
      <c r="T5229">
        <v>0</v>
      </c>
      <c r="U5229">
        <v>0</v>
      </c>
      <c r="W5229" t="s">
        <v>106</v>
      </c>
    </row>
    <row r="5230" spans="1:45" x14ac:dyDescent="0.35">
      <c r="A5230" t="s">
        <v>45</v>
      </c>
      <c r="B5230" t="s">
        <v>11795</v>
      </c>
      <c r="C5230" t="s">
        <v>139</v>
      </c>
      <c r="D5230" t="s">
        <v>11862</v>
      </c>
      <c r="E5230" t="s">
        <v>6947</v>
      </c>
      <c r="F5230" t="s">
        <v>49</v>
      </c>
      <c r="G5230" t="s">
        <v>11863</v>
      </c>
      <c r="H5230" t="s">
        <v>11864</v>
      </c>
      <c r="J5230" t="str">
        <f>HYPERLINK("https://twitter.com/Paytm__so/status/1745678405834858768","https://twitter.com/Paytm__so/status/1745678405834858768")</f>
        <v>https://twitter.com/Paytm__so/status/1745678405834858768</v>
      </c>
      <c r="O5230">
        <v>0</v>
      </c>
      <c r="P5230">
        <v>0</v>
      </c>
      <c r="Q5230">
        <v>0</v>
      </c>
      <c r="R5230" t="s">
        <v>11865</v>
      </c>
      <c r="S5230">
        <v>0</v>
      </c>
      <c r="T5230">
        <v>0</v>
      </c>
      <c r="U5230">
        <v>0</v>
      </c>
      <c r="W5230" t="s">
        <v>146</v>
      </c>
    </row>
    <row r="5231" spans="1:45" x14ac:dyDescent="0.35">
      <c r="A5231" t="s">
        <v>45</v>
      </c>
      <c r="B5231" t="s">
        <v>11795</v>
      </c>
      <c r="C5231" t="s">
        <v>139</v>
      </c>
      <c r="D5231" t="s">
        <v>11862</v>
      </c>
      <c r="E5231" t="s">
        <v>6947</v>
      </c>
      <c r="F5231" t="s">
        <v>49</v>
      </c>
      <c r="G5231" t="s">
        <v>11866</v>
      </c>
      <c r="H5231" t="s">
        <v>11867</v>
      </c>
      <c r="J5231" t="str">
        <f>HYPERLINK("https://twitter.com/Paytm__so/status/1745678374377586876","https://twitter.com/Paytm__so/status/1745678374377586876")</f>
        <v>https://twitter.com/Paytm__so/status/1745678374377586876</v>
      </c>
      <c r="O5231">
        <v>0</v>
      </c>
      <c r="P5231">
        <v>0</v>
      </c>
      <c r="Q5231">
        <v>0</v>
      </c>
      <c r="R5231" t="s">
        <v>11865</v>
      </c>
      <c r="S5231">
        <v>0</v>
      </c>
      <c r="T5231">
        <v>0</v>
      </c>
      <c r="U5231">
        <v>0</v>
      </c>
      <c r="W5231" t="s">
        <v>146</v>
      </c>
    </row>
    <row r="5232" spans="1:45" x14ac:dyDescent="0.35">
      <c r="A5232" t="s">
        <v>45</v>
      </c>
      <c r="B5232" t="s">
        <v>11795</v>
      </c>
      <c r="C5232" t="s">
        <v>139</v>
      </c>
      <c r="D5232" t="s">
        <v>11868</v>
      </c>
      <c r="E5232" t="s">
        <v>6773</v>
      </c>
      <c r="F5232" t="s">
        <v>142</v>
      </c>
      <c r="G5232" t="s">
        <v>11869</v>
      </c>
      <c r="H5232" t="s">
        <v>11867</v>
      </c>
      <c r="J5232" t="str">
        <f>HYPERLINK("https://twitter.com/PaytmB18557/status/1745678374528540822","https://twitter.com/PaytmB18557/status/1745678374528540822")</f>
        <v>https://twitter.com/PaytmB18557/status/1745678374528540822</v>
      </c>
      <c r="O5232">
        <v>0</v>
      </c>
      <c r="P5232">
        <v>0</v>
      </c>
      <c r="Q5232">
        <v>0</v>
      </c>
      <c r="S5232">
        <v>0</v>
      </c>
      <c r="T5232">
        <v>0</v>
      </c>
      <c r="U5232">
        <v>0</v>
      </c>
      <c r="W5232" t="s">
        <v>146</v>
      </c>
    </row>
    <row r="5233" spans="1:42" x14ac:dyDescent="0.35">
      <c r="A5233" t="s">
        <v>45</v>
      </c>
      <c r="B5233" t="s">
        <v>11795</v>
      </c>
      <c r="C5233" t="s">
        <v>139</v>
      </c>
      <c r="D5233" t="s">
        <v>4902</v>
      </c>
      <c r="E5233" t="s">
        <v>4903</v>
      </c>
      <c r="F5233" t="s">
        <v>49</v>
      </c>
      <c r="G5233" t="s">
        <v>11870</v>
      </c>
      <c r="H5233" t="s">
        <v>11871</v>
      </c>
      <c r="J5233" t="str">
        <f>HYPERLINK("https://twitter.com/lovepartner_1/status/1745668919421984830","https://twitter.com/lovepartner_1/status/1745668919421984830")</f>
        <v>https://twitter.com/lovepartner_1/status/1745668919421984830</v>
      </c>
      <c r="K5233" t="s">
        <v>145</v>
      </c>
      <c r="O5233">
        <v>0</v>
      </c>
      <c r="P5233">
        <v>0</v>
      </c>
      <c r="Q5233">
        <v>17</v>
      </c>
      <c r="R5233" t="s">
        <v>4587</v>
      </c>
      <c r="S5233">
        <v>0</v>
      </c>
      <c r="T5233">
        <v>0</v>
      </c>
      <c r="U5233">
        <v>0</v>
      </c>
      <c r="W5233" t="s">
        <v>146</v>
      </c>
      <c r="AP5233" t="s">
        <v>94</v>
      </c>
    </row>
    <row r="5234" spans="1:42" x14ac:dyDescent="0.35">
      <c r="A5234" t="s">
        <v>45</v>
      </c>
      <c r="B5234" t="s">
        <v>11795</v>
      </c>
      <c r="C5234" t="s">
        <v>47</v>
      </c>
      <c r="D5234" t="s">
        <v>4488</v>
      </c>
      <c r="E5234" t="s">
        <v>4488</v>
      </c>
      <c r="F5234" t="s">
        <v>49</v>
      </c>
      <c r="G5234" t="s">
        <v>11872</v>
      </c>
      <c r="H5234" t="s">
        <v>11873</v>
      </c>
      <c r="J5234" t="str">
        <f>HYPERLINK("https://www.facebook.com/454965103328545/posts/750037770487942?comment_id=1892999857781897","https://www.facebook.com/454965103328545/posts/750037770487942?comment_id=1892999857781897")</f>
        <v>https://www.facebook.com/454965103328545/posts/750037770487942?comment_id=1892999857781897</v>
      </c>
      <c r="O5234">
        <v>0</v>
      </c>
      <c r="P5234">
        <v>0</v>
      </c>
      <c r="Q5234">
        <v>0</v>
      </c>
      <c r="S5234">
        <v>0</v>
      </c>
      <c r="T5234">
        <v>0</v>
      </c>
      <c r="U5234">
        <v>0</v>
      </c>
      <c r="W5234" t="s">
        <v>62</v>
      </c>
    </row>
    <row r="5235" spans="1:42" x14ac:dyDescent="0.35">
      <c r="A5235" t="s">
        <v>45</v>
      </c>
      <c r="B5235" t="s">
        <v>11795</v>
      </c>
      <c r="C5235" t="s">
        <v>58</v>
      </c>
      <c r="D5235" t="s">
        <v>10597</v>
      </c>
      <c r="E5235" t="s">
        <v>10597</v>
      </c>
      <c r="F5235" t="s">
        <v>49</v>
      </c>
      <c r="G5235" t="s">
        <v>11874</v>
      </c>
      <c r="H5235" t="s">
        <v>11875</v>
      </c>
      <c r="J5235" t="str">
        <f>HYPERLINK("https://www.youtube.com/watch?v=Fut6XdaL7Jc","https://www.youtube.com/watch?v=Fut6XdaL7Jc")</f>
        <v>https://www.youtube.com/watch?v=Fut6XdaL7Jc</v>
      </c>
      <c r="O5235">
        <v>0</v>
      </c>
      <c r="P5235">
        <v>0</v>
      </c>
      <c r="Q5235">
        <v>0</v>
      </c>
      <c r="S5235">
        <v>0</v>
      </c>
      <c r="T5235">
        <v>0</v>
      </c>
      <c r="U5235">
        <v>0</v>
      </c>
      <c r="W5235" t="s">
        <v>106</v>
      </c>
      <c r="AP5235" t="s">
        <v>101</v>
      </c>
    </row>
    <row r="5236" spans="1:42" x14ac:dyDescent="0.35">
      <c r="A5236" t="s">
        <v>45</v>
      </c>
      <c r="B5236" t="s">
        <v>11795</v>
      </c>
      <c r="C5236" t="s">
        <v>47</v>
      </c>
      <c r="D5236" t="s">
        <v>2335</v>
      </c>
      <c r="E5236" t="s">
        <v>2335</v>
      </c>
      <c r="F5236" t="s">
        <v>49</v>
      </c>
      <c r="G5236" t="s">
        <v>11876</v>
      </c>
      <c r="H5236" t="s">
        <v>11877</v>
      </c>
      <c r="J5236" t="str">
        <f>HYPERLINK("https://www.facebook.com/454965103328545/posts/751345700357149?comment_id=257731674003461","https://www.facebook.com/454965103328545/posts/751345700357149?comment_id=257731674003461")</f>
        <v>https://www.facebook.com/454965103328545/posts/751345700357149?comment_id=257731674003461</v>
      </c>
      <c r="O5236">
        <v>0</v>
      </c>
      <c r="P5236">
        <v>0</v>
      </c>
      <c r="Q5236">
        <v>0</v>
      </c>
      <c r="S5236">
        <v>0</v>
      </c>
      <c r="T5236">
        <v>0</v>
      </c>
      <c r="U5236">
        <v>0</v>
      </c>
      <c r="W5236" t="s">
        <v>62</v>
      </c>
    </row>
    <row r="5237" spans="1:42" x14ac:dyDescent="0.35">
      <c r="A5237" t="s">
        <v>45</v>
      </c>
      <c r="B5237" t="s">
        <v>11795</v>
      </c>
      <c r="C5237" t="s">
        <v>58</v>
      </c>
      <c r="D5237" t="s">
        <v>2320</v>
      </c>
      <c r="E5237" t="s">
        <v>2320</v>
      </c>
      <c r="F5237" t="s">
        <v>49</v>
      </c>
      <c r="G5237" t="s">
        <v>11878</v>
      </c>
      <c r="H5237" t="s">
        <v>11879</v>
      </c>
      <c r="J5237" t="str">
        <f>HYPERLINK("https://www.youtube.com/watch?v=chl0z_FJD4s","https://www.youtube.com/watch?v=chl0z_FJD4s")</f>
        <v>https://www.youtube.com/watch?v=chl0z_FJD4s</v>
      </c>
      <c r="O5237">
        <v>0</v>
      </c>
      <c r="P5237">
        <v>0</v>
      </c>
      <c r="Q5237">
        <v>0</v>
      </c>
      <c r="S5237">
        <v>0</v>
      </c>
      <c r="T5237">
        <v>0</v>
      </c>
      <c r="U5237">
        <v>0</v>
      </c>
      <c r="W5237" t="s">
        <v>106</v>
      </c>
      <c r="AO5237" t="s">
        <v>67</v>
      </c>
    </row>
    <row r="5238" spans="1:42" x14ac:dyDescent="0.35">
      <c r="A5238" t="s">
        <v>45</v>
      </c>
      <c r="B5238" t="s">
        <v>11795</v>
      </c>
      <c r="C5238" t="s">
        <v>47</v>
      </c>
      <c r="D5238" t="s">
        <v>45</v>
      </c>
      <c r="E5238" t="s">
        <v>45</v>
      </c>
      <c r="F5238" t="s">
        <v>49</v>
      </c>
      <c r="G5238" t="s">
        <v>11880</v>
      </c>
      <c r="H5238" t="s">
        <v>11881</v>
      </c>
      <c r="J5238" t="str">
        <f>HYPERLINK("https://www.facebook.com/357267201017935_751345700357149","https://www.facebook.com/357267201017935_751345700357149")</f>
        <v>https://www.facebook.com/357267201017935_751345700357149</v>
      </c>
      <c r="O5238">
        <v>0</v>
      </c>
      <c r="P5238">
        <v>0</v>
      </c>
      <c r="Q5238">
        <v>0</v>
      </c>
      <c r="S5238">
        <v>4</v>
      </c>
      <c r="T5238">
        <v>57</v>
      </c>
      <c r="U5238">
        <v>4</v>
      </c>
      <c r="W5238" t="s">
        <v>106</v>
      </c>
    </row>
    <row r="5239" spans="1:42" x14ac:dyDescent="0.35">
      <c r="A5239" t="s">
        <v>45</v>
      </c>
      <c r="B5239" t="s">
        <v>11795</v>
      </c>
      <c r="C5239" t="s">
        <v>139</v>
      </c>
      <c r="D5239" t="s">
        <v>190</v>
      </c>
      <c r="E5239" t="s">
        <v>45</v>
      </c>
      <c r="F5239" t="s">
        <v>49</v>
      </c>
      <c r="G5239" t="s">
        <v>11882</v>
      </c>
      <c r="H5239" t="s">
        <v>11881</v>
      </c>
      <c r="J5239" t="str">
        <f>HYPERLINK("https://twitter.com/FinoPaymntsBank/status/1745634200710267329","https://twitter.com/FinoPaymntsBank/status/1745634200710267329")</f>
        <v>https://twitter.com/FinoPaymntsBank/status/1745634200710267329</v>
      </c>
      <c r="K5239" t="s">
        <v>145</v>
      </c>
      <c r="O5239">
        <v>0</v>
      </c>
      <c r="P5239">
        <v>0</v>
      </c>
      <c r="Q5239">
        <v>8304</v>
      </c>
      <c r="R5239" t="s">
        <v>193</v>
      </c>
      <c r="S5239">
        <v>0</v>
      </c>
      <c r="T5239">
        <v>0</v>
      </c>
      <c r="U5239">
        <v>0</v>
      </c>
      <c r="W5239" t="s">
        <v>146</v>
      </c>
    </row>
    <row r="5240" spans="1:42" x14ac:dyDescent="0.35">
      <c r="A5240" t="s">
        <v>45</v>
      </c>
      <c r="B5240" t="s">
        <v>11795</v>
      </c>
      <c r="C5240" t="s">
        <v>139</v>
      </c>
      <c r="D5240" t="s">
        <v>4153</v>
      </c>
      <c r="E5240" t="s">
        <v>11883</v>
      </c>
      <c r="F5240" t="s">
        <v>76</v>
      </c>
      <c r="G5240" t="s">
        <v>11884</v>
      </c>
      <c r="H5240" t="s">
        <v>11885</v>
      </c>
      <c r="J5240" t="str">
        <f>HYPERLINK("https://twitter.com/Gr8AdvisorIN/status/1745625546308935692","https://twitter.com/Gr8AdvisorIN/status/1745625546308935692")</f>
        <v>https://twitter.com/Gr8AdvisorIN/status/1745625546308935692</v>
      </c>
      <c r="O5240">
        <v>0</v>
      </c>
      <c r="P5240">
        <v>0</v>
      </c>
      <c r="Q5240">
        <v>34</v>
      </c>
      <c r="S5240">
        <v>0</v>
      </c>
      <c r="T5240">
        <v>0</v>
      </c>
      <c r="U5240">
        <v>0</v>
      </c>
      <c r="W5240" t="s">
        <v>146</v>
      </c>
    </row>
    <row r="5241" spans="1:42" x14ac:dyDescent="0.35">
      <c r="A5241" t="s">
        <v>45</v>
      </c>
      <c r="B5241" t="s">
        <v>11795</v>
      </c>
      <c r="C5241" t="s">
        <v>139</v>
      </c>
      <c r="D5241" t="s">
        <v>4153</v>
      </c>
      <c r="E5241" t="s">
        <v>11883</v>
      </c>
      <c r="F5241" t="s">
        <v>76</v>
      </c>
      <c r="G5241" t="s">
        <v>11886</v>
      </c>
      <c r="H5241" t="s">
        <v>11887</v>
      </c>
      <c r="J5241" t="str">
        <f>HYPERLINK("https://twitter.com/Gr8AdvisorIN/status/1745624938268983765","https://twitter.com/Gr8AdvisorIN/status/1745624938268983765")</f>
        <v>https://twitter.com/Gr8AdvisorIN/status/1745624938268983765</v>
      </c>
      <c r="O5241">
        <v>0</v>
      </c>
      <c r="P5241">
        <v>0</v>
      </c>
      <c r="Q5241">
        <v>34</v>
      </c>
      <c r="S5241">
        <v>0</v>
      </c>
      <c r="T5241">
        <v>0</v>
      </c>
      <c r="U5241">
        <v>0</v>
      </c>
      <c r="W5241" t="s">
        <v>146</v>
      </c>
    </row>
    <row r="5242" spans="1:42" x14ac:dyDescent="0.35">
      <c r="A5242" t="s">
        <v>45</v>
      </c>
      <c r="B5242" t="s">
        <v>11795</v>
      </c>
      <c r="C5242" t="s">
        <v>139</v>
      </c>
      <c r="D5242" t="s">
        <v>4153</v>
      </c>
      <c r="E5242" t="s">
        <v>11883</v>
      </c>
      <c r="F5242" t="s">
        <v>76</v>
      </c>
      <c r="G5242" t="s">
        <v>11888</v>
      </c>
      <c r="H5242" t="s">
        <v>11889</v>
      </c>
      <c r="J5242" t="str">
        <f>HYPERLINK("https://twitter.com/Gr8AdvisorIN/status/1745624866294731121","https://twitter.com/Gr8AdvisorIN/status/1745624866294731121")</f>
        <v>https://twitter.com/Gr8AdvisorIN/status/1745624866294731121</v>
      </c>
      <c r="O5242">
        <v>0</v>
      </c>
      <c r="P5242">
        <v>0</v>
      </c>
      <c r="Q5242">
        <v>34</v>
      </c>
      <c r="S5242">
        <v>0</v>
      </c>
      <c r="T5242">
        <v>0</v>
      </c>
      <c r="U5242">
        <v>0</v>
      </c>
      <c r="W5242" t="s">
        <v>146</v>
      </c>
    </row>
    <row r="5243" spans="1:42" x14ac:dyDescent="0.35">
      <c r="A5243" t="s">
        <v>45</v>
      </c>
      <c r="B5243" t="s">
        <v>11795</v>
      </c>
      <c r="C5243" t="s">
        <v>139</v>
      </c>
      <c r="D5243" t="s">
        <v>4153</v>
      </c>
      <c r="E5243" t="s">
        <v>11883</v>
      </c>
      <c r="F5243" t="s">
        <v>76</v>
      </c>
      <c r="G5243" t="s">
        <v>11890</v>
      </c>
      <c r="H5243" t="s">
        <v>11891</v>
      </c>
      <c r="J5243" t="str">
        <f>HYPERLINK("https://twitter.com/Gr8AdvisorIN/status/1745624779346890910","https://twitter.com/Gr8AdvisorIN/status/1745624779346890910")</f>
        <v>https://twitter.com/Gr8AdvisorIN/status/1745624779346890910</v>
      </c>
      <c r="O5243">
        <v>0</v>
      </c>
      <c r="P5243">
        <v>0</v>
      </c>
      <c r="Q5243">
        <v>34</v>
      </c>
      <c r="S5243">
        <v>0</v>
      </c>
      <c r="T5243">
        <v>0</v>
      </c>
      <c r="U5243">
        <v>0</v>
      </c>
      <c r="W5243" t="s">
        <v>146</v>
      </c>
    </row>
    <row r="5244" spans="1:42" x14ac:dyDescent="0.35">
      <c r="A5244" t="s">
        <v>45</v>
      </c>
      <c r="B5244" t="s">
        <v>11795</v>
      </c>
      <c r="C5244" t="s">
        <v>139</v>
      </c>
      <c r="D5244" t="s">
        <v>4153</v>
      </c>
      <c r="E5244" t="s">
        <v>11883</v>
      </c>
      <c r="F5244" t="s">
        <v>76</v>
      </c>
      <c r="G5244" t="s">
        <v>11892</v>
      </c>
      <c r="H5244" t="s">
        <v>11893</v>
      </c>
      <c r="J5244" t="str">
        <f>HYPERLINK("https://twitter.com/Gr8AdvisorIN/status/1745624717870919940","https://twitter.com/Gr8AdvisorIN/status/1745624717870919940")</f>
        <v>https://twitter.com/Gr8AdvisorIN/status/1745624717870919940</v>
      </c>
      <c r="O5244">
        <v>0</v>
      </c>
      <c r="P5244">
        <v>0</v>
      </c>
      <c r="Q5244">
        <v>34</v>
      </c>
      <c r="S5244">
        <v>0</v>
      </c>
      <c r="T5244">
        <v>0</v>
      </c>
      <c r="U5244">
        <v>0</v>
      </c>
      <c r="W5244" t="s">
        <v>146</v>
      </c>
    </row>
    <row r="5245" spans="1:42" x14ac:dyDescent="0.35">
      <c r="A5245" t="s">
        <v>45</v>
      </c>
      <c r="B5245" t="s">
        <v>11795</v>
      </c>
      <c r="C5245" t="s">
        <v>139</v>
      </c>
      <c r="D5245" t="s">
        <v>4153</v>
      </c>
      <c r="E5245" t="s">
        <v>11883</v>
      </c>
      <c r="F5245" t="s">
        <v>76</v>
      </c>
      <c r="G5245" t="s">
        <v>11894</v>
      </c>
      <c r="H5245" t="s">
        <v>11895</v>
      </c>
      <c r="J5245" t="str">
        <f>HYPERLINK("https://twitter.com/Gr8AdvisorIN/status/1745624618822517142","https://twitter.com/Gr8AdvisorIN/status/1745624618822517142")</f>
        <v>https://twitter.com/Gr8AdvisorIN/status/1745624618822517142</v>
      </c>
      <c r="O5245">
        <v>0</v>
      </c>
      <c r="P5245">
        <v>0</v>
      </c>
      <c r="Q5245">
        <v>34</v>
      </c>
      <c r="S5245">
        <v>0</v>
      </c>
      <c r="T5245">
        <v>0</v>
      </c>
      <c r="U5245">
        <v>0</v>
      </c>
      <c r="W5245" t="s">
        <v>146</v>
      </c>
    </row>
    <row r="5246" spans="1:42" x14ac:dyDescent="0.35">
      <c r="A5246" t="s">
        <v>45</v>
      </c>
      <c r="B5246" t="s">
        <v>11795</v>
      </c>
      <c r="C5246" t="s">
        <v>139</v>
      </c>
      <c r="D5246" t="s">
        <v>4153</v>
      </c>
      <c r="E5246" t="s">
        <v>11883</v>
      </c>
      <c r="F5246" t="s">
        <v>76</v>
      </c>
      <c r="G5246" t="s">
        <v>11896</v>
      </c>
      <c r="H5246" t="s">
        <v>11897</v>
      </c>
      <c r="J5246" t="str">
        <f>HYPERLINK("https://twitter.com/Gr8AdvisorIN/status/1745624467601051911","https://twitter.com/Gr8AdvisorIN/status/1745624467601051911")</f>
        <v>https://twitter.com/Gr8AdvisorIN/status/1745624467601051911</v>
      </c>
      <c r="O5246">
        <v>0</v>
      </c>
      <c r="P5246">
        <v>0</v>
      </c>
      <c r="Q5246">
        <v>34</v>
      </c>
      <c r="S5246">
        <v>0</v>
      </c>
      <c r="T5246">
        <v>0</v>
      </c>
      <c r="U5246">
        <v>0</v>
      </c>
      <c r="W5246" t="s">
        <v>146</v>
      </c>
    </row>
    <row r="5247" spans="1:42" x14ac:dyDescent="0.35">
      <c r="A5247" t="s">
        <v>45</v>
      </c>
      <c r="B5247" t="s">
        <v>11795</v>
      </c>
      <c r="C5247" t="s">
        <v>139</v>
      </c>
      <c r="D5247" t="s">
        <v>4153</v>
      </c>
      <c r="E5247" t="s">
        <v>11883</v>
      </c>
      <c r="F5247" t="s">
        <v>76</v>
      </c>
      <c r="G5247" t="s">
        <v>11898</v>
      </c>
      <c r="H5247" t="s">
        <v>11899</v>
      </c>
      <c r="J5247" t="str">
        <f>HYPERLINK("https://twitter.com/Gr8AdvisorIN/status/1745624368447705434","https://twitter.com/Gr8AdvisorIN/status/1745624368447705434")</f>
        <v>https://twitter.com/Gr8AdvisorIN/status/1745624368447705434</v>
      </c>
      <c r="O5247">
        <v>0</v>
      </c>
      <c r="P5247">
        <v>0</v>
      </c>
      <c r="Q5247">
        <v>34</v>
      </c>
      <c r="S5247">
        <v>0</v>
      </c>
      <c r="T5247">
        <v>0</v>
      </c>
      <c r="U5247">
        <v>0</v>
      </c>
      <c r="W5247" t="s">
        <v>146</v>
      </c>
    </row>
    <row r="5248" spans="1:42" x14ac:dyDescent="0.35">
      <c r="A5248" t="s">
        <v>45</v>
      </c>
      <c r="B5248" t="s">
        <v>11795</v>
      </c>
      <c r="C5248" t="s">
        <v>139</v>
      </c>
      <c r="D5248" t="s">
        <v>4153</v>
      </c>
      <c r="E5248" t="s">
        <v>11883</v>
      </c>
      <c r="F5248" t="s">
        <v>76</v>
      </c>
      <c r="G5248" t="s">
        <v>11900</v>
      </c>
      <c r="H5248" t="s">
        <v>11901</v>
      </c>
      <c r="J5248" t="str">
        <f>HYPERLINK("https://twitter.com/Gr8AdvisorIN/status/1745624248587006354","https://twitter.com/Gr8AdvisorIN/status/1745624248587006354")</f>
        <v>https://twitter.com/Gr8AdvisorIN/status/1745624248587006354</v>
      </c>
      <c r="O5248">
        <v>0</v>
      </c>
      <c r="P5248">
        <v>0</v>
      </c>
      <c r="Q5248">
        <v>34</v>
      </c>
      <c r="S5248">
        <v>0</v>
      </c>
      <c r="T5248">
        <v>0</v>
      </c>
      <c r="U5248">
        <v>0</v>
      </c>
      <c r="W5248" t="s">
        <v>146</v>
      </c>
    </row>
    <row r="5249" spans="1:41" x14ac:dyDescent="0.35">
      <c r="A5249" t="s">
        <v>45</v>
      </c>
      <c r="B5249" t="s">
        <v>11795</v>
      </c>
      <c r="C5249" t="s">
        <v>139</v>
      </c>
      <c r="D5249" t="s">
        <v>4153</v>
      </c>
      <c r="E5249" t="s">
        <v>11883</v>
      </c>
      <c r="F5249" t="s">
        <v>76</v>
      </c>
      <c r="G5249" t="s">
        <v>11902</v>
      </c>
      <c r="H5249" t="s">
        <v>11903</v>
      </c>
      <c r="J5249" t="str">
        <f>HYPERLINK("https://twitter.com/Gr8AdvisorIN/status/1745624203976417447","https://twitter.com/Gr8AdvisorIN/status/1745624203976417447")</f>
        <v>https://twitter.com/Gr8AdvisorIN/status/1745624203976417447</v>
      </c>
      <c r="O5249">
        <v>0</v>
      </c>
      <c r="P5249">
        <v>0</v>
      </c>
      <c r="Q5249">
        <v>34</v>
      </c>
      <c r="S5249">
        <v>0</v>
      </c>
      <c r="T5249">
        <v>0</v>
      </c>
      <c r="U5249">
        <v>0</v>
      </c>
      <c r="W5249" t="s">
        <v>146</v>
      </c>
    </row>
    <row r="5250" spans="1:41" x14ac:dyDescent="0.35">
      <c r="A5250" t="s">
        <v>45</v>
      </c>
      <c r="B5250" t="s">
        <v>11795</v>
      </c>
      <c r="C5250" t="s">
        <v>139</v>
      </c>
      <c r="D5250" t="s">
        <v>4153</v>
      </c>
      <c r="E5250" t="s">
        <v>11883</v>
      </c>
      <c r="F5250" t="s">
        <v>76</v>
      </c>
      <c r="G5250" t="s">
        <v>11904</v>
      </c>
      <c r="H5250" t="s">
        <v>11905</v>
      </c>
      <c r="J5250" t="str">
        <f>HYPERLINK("https://twitter.com/Gr8AdvisorIN/status/1745624150541037997","https://twitter.com/Gr8AdvisorIN/status/1745624150541037997")</f>
        <v>https://twitter.com/Gr8AdvisorIN/status/1745624150541037997</v>
      </c>
      <c r="O5250">
        <v>0</v>
      </c>
      <c r="P5250">
        <v>0</v>
      </c>
      <c r="Q5250">
        <v>34</v>
      </c>
      <c r="S5250">
        <v>0</v>
      </c>
      <c r="T5250">
        <v>0</v>
      </c>
      <c r="U5250">
        <v>0</v>
      </c>
      <c r="W5250" t="s">
        <v>146</v>
      </c>
    </row>
    <row r="5251" spans="1:41" x14ac:dyDescent="0.35">
      <c r="A5251" t="s">
        <v>45</v>
      </c>
      <c r="B5251" t="s">
        <v>11795</v>
      </c>
      <c r="C5251" t="s">
        <v>139</v>
      </c>
      <c r="D5251" t="s">
        <v>4153</v>
      </c>
      <c r="E5251" t="s">
        <v>11883</v>
      </c>
      <c r="F5251" t="s">
        <v>76</v>
      </c>
      <c r="G5251" t="s">
        <v>11906</v>
      </c>
      <c r="H5251" t="s">
        <v>11907</v>
      </c>
      <c r="J5251" t="str">
        <f>HYPERLINK("https://twitter.com/Gr8AdvisorIN/status/1745624087769059400","https://twitter.com/Gr8AdvisorIN/status/1745624087769059400")</f>
        <v>https://twitter.com/Gr8AdvisorIN/status/1745624087769059400</v>
      </c>
      <c r="O5251">
        <v>0</v>
      </c>
      <c r="P5251">
        <v>0</v>
      </c>
      <c r="Q5251">
        <v>34</v>
      </c>
      <c r="S5251">
        <v>0</v>
      </c>
      <c r="T5251">
        <v>0</v>
      </c>
      <c r="U5251">
        <v>0</v>
      </c>
      <c r="W5251" t="s">
        <v>146</v>
      </c>
    </row>
    <row r="5252" spans="1:41" x14ac:dyDescent="0.35">
      <c r="A5252" t="s">
        <v>45</v>
      </c>
      <c r="B5252" t="s">
        <v>11795</v>
      </c>
      <c r="C5252" t="s">
        <v>139</v>
      </c>
      <c r="D5252" t="s">
        <v>4153</v>
      </c>
      <c r="E5252" t="s">
        <v>11883</v>
      </c>
      <c r="F5252" t="s">
        <v>76</v>
      </c>
      <c r="G5252" t="s">
        <v>11908</v>
      </c>
      <c r="H5252" t="s">
        <v>11909</v>
      </c>
      <c r="J5252" t="str">
        <f>HYPERLINK("https://twitter.com/Gr8AdvisorIN/status/1745624013810831409","https://twitter.com/Gr8AdvisorIN/status/1745624013810831409")</f>
        <v>https://twitter.com/Gr8AdvisorIN/status/1745624013810831409</v>
      </c>
      <c r="O5252">
        <v>0</v>
      </c>
      <c r="P5252">
        <v>0</v>
      </c>
      <c r="Q5252">
        <v>34</v>
      </c>
      <c r="S5252">
        <v>0</v>
      </c>
      <c r="T5252">
        <v>0</v>
      </c>
      <c r="U5252">
        <v>0</v>
      </c>
      <c r="W5252" t="s">
        <v>146</v>
      </c>
    </row>
    <row r="5253" spans="1:41" x14ac:dyDescent="0.35">
      <c r="A5253" t="s">
        <v>45</v>
      </c>
      <c r="B5253" t="s">
        <v>11795</v>
      </c>
      <c r="C5253" t="s">
        <v>139</v>
      </c>
      <c r="D5253" t="s">
        <v>4153</v>
      </c>
      <c r="E5253" t="s">
        <v>11883</v>
      </c>
      <c r="F5253" t="s">
        <v>76</v>
      </c>
      <c r="G5253" t="s">
        <v>11910</v>
      </c>
      <c r="H5253" t="s">
        <v>11911</v>
      </c>
      <c r="J5253" t="str">
        <f>HYPERLINK("https://twitter.com/Gr8AdvisorIN/status/1745623871686946971","https://twitter.com/Gr8AdvisorIN/status/1745623871686946971")</f>
        <v>https://twitter.com/Gr8AdvisorIN/status/1745623871686946971</v>
      </c>
      <c r="O5253">
        <v>0</v>
      </c>
      <c r="P5253">
        <v>0</v>
      </c>
      <c r="Q5253">
        <v>34</v>
      </c>
      <c r="S5253">
        <v>0</v>
      </c>
      <c r="T5253">
        <v>0</v>
      </c>
      <c r="U5253">
        <v>0</v>
      </c>
      <c r="W5253" t="s">
        <v>146</v>
      </c>
    </row>
    <row r="5254" spans="1:41" x14ac:dyDescent="0.35">
      <c r="A5254" t="s">
        <v>45</v>
      </c>
      <c r="B5254" t="s">
        <v>11795</v>
      </c>
      <c r="C5254" t="s">
        <v>139</v>
      </c>
      <c r="D5254" t="s">
        <v>4153</v>
      </c>
      <c r="E5254" t="s">
        <v>11883</v>
      </c>
      <c r="F5254" t="s">
        <v>76</v>
      </c>
      <c r="G5254" t="s">
        <v>11912</v>
      </c>
      <c r="H5254" t="s">
        <v>11913</v>
      </c>
      <c r="J5254" t="str">
        <f>HYPERLINK("https://twitter.com/Gr8AdvisorIN/status/1745623769601683558","https://twitter.com/Gr8AdvisorIN/status/1745623769601683558")</f>
        <v>https://twitter.com/Gr8AdvisorIN/status/1745623769601683558</v>
      </c>
      <c r="O5254">
        <v>0</v>
      </c>
      <c r="P5254">
        <v>0</v>
      </c>
      <c r="Q5254">
        <v>34</v>
      </c>
      <c r="S5254">
        <v>0</v>
      </c>
      <c r="T5254">
        <v>0</v>
      </c>
      <c r="U5254">
        <v>0</v>
      </c>
      <c r="W5254" t="s">
        <v>146</v>
      </c>
    </row>
    <row r="5255" spans="1:41" x14ac:dyDescent="0.35">
      <c r="A5255" t="s">
        <v>45</v>
      </c>
      <c r="B5255" t="s">
        <v>11795</v>
      </c>
      <c r="C5255" t="s">
        <v>139</v>
      </c>
      <c r="D5255" t="s">
        <v>11914</v>
      </c>
      <c r="E5255" t="s">
        <v>11915</v>
      </c>
      <c r="F5255" t="s">
        <v>76</v>
      </c>
      <c r="G5255" t="s">
        <v>11916</v>
      </c>
      <c r="H5255" t="s">
        <v>11917</v>
      </c>
      <c r="J5255" t="str">
        <f>HYPERLINK("https://twitter.com/westmecald9676/status/1745608973443629516","https://twitter.com/westmecald9676/status/1745608973443629516")</f>
        <v>https://twitter.com/westmecald9676/status/1745608973443629516</v>
      </c>
      <c r="O5255">
        <v>0</v>
      </c>
      <c r="P5255">
        <v>0</v>
      </c>
      <c r="Q5255">
        <v>0</v>
      </c>
      <c r="S5255">
        <v>0</v>
      </c>
      <c r="T5255">
        <v>0</v>
      </c>
      <c r="U5255">
        <v>0</v>
      </c>
      <c r="W5255" t="s">
        <v>146</v>
      </c>
    </row>
    <row r="5256" spans="1:41" x14ac:dyDescent="0.35">
      <c r="A5256" t="s">
        <v>45</v>
      </c>
      <c r="B5256" t="s">
        <v>11795</v>
      </c>
      <c r="C5256" t="s">
        <v>139</v>
      </c>
      <c r="D5256" t="s">
        <v>11918</v>
      </c>
      <c r="E5256" t="s">
        <v>11919</v>
      </c>
      <c r="F5256" t="s">
        <v>49</v>
      </c>
      <c r="G5256" t="s">
        <v>11920</v>
      </c>
      <c r="H5256" t="s">
        <v>11921</v>
      </c>
      <c r="J5256" t="str">
        <f>HYPERLINK("https://twitter.com/SonaliRajmali/status/1745553763598016606","https://twitter.com/SonaliRajmali/status/1745553763598016606")</f>
        <v>https://twitter.com/SonaliRajmali/status/1745553763598016606</v>
      </c>
      <c r="K5256" t="s">
        <v>1769</v>
      </c>
      <c r="O5256">
        <v>0</v>
      </c>
      <c r="P5256">
        <v>0</v>
      </c>
      <c r="Q5256">
        <v>44</v>
      </c>
      <c r="R5256" t="s">
        <v>11922</v>
      </c>
      <c r="S5256">
        <v>0</v>
      </c>
      <c r="T5256">
        <v>0</v>
      </c>
      <c r="U5256">
        <v>0</v>
      </c>
      <c r="W5256" t="s">
        <v>146</v>
      </c>
    </row>
    <row r="5257" spans="1:41" x14ac:dyDescent="0.35">
      <c r="A5257" t="s">
        <v>45</v>
      </c>
      <c r="B5257" t="s">
        <v>11923</v>
      </c>
      <c r="C5257" t="s">
        <v>47</v>
      </c>
      <c r="D5257" t="s">
        <v>11924</v>
      </c>
      <c r="E5257" t="s">
        <v>11924</v>
      </c>
      <c r="F5257" t="s">
        <v>49</v>
      </c>
      <c r="G5257" t="s">
        <v>11925</v>
      </c>
      <c r="H5257" t="s">
        <v>11926</v>
      </c>
      <c r="J5257" t="str">
        <f>HYPERLINK("https://www.facebook.com/454965103328545/posts/751213870370332?comment_id=371929695425271","https://www.facebook.com/454965103328545/posts/751213870370332?comment_id=371929695425271")</f>
        <v>https://www.facebook.com/454965103328545/posts/751213870370332?comment_id=371929695425271</v>
      </c>
      <c r="O5257">
        <v>0</v>
      </c>
      <c r="P5257">
        <v>0</v>
      </c>
      <c r="Q5257">
        <v>0</v>
      </c>
      <c r="S5257">
        <v>0</v>
      </c>
      <c r="T5257">
        <v>0</v>
      </c>
      <c r="U5257">
        <v>0</v>
      </c>
      <c r="W5257" t="s">
        <v>62</v>
      </c>
      <c r="AO5257" t="s">
        <v>67</v>
      </c>
    </row>
    <row r="5258" spans="1:41" x14ac:dyDescent="0.35">
      <c r="A5258" t="s">
        <v>45</v>
      </c>
      <c r="B5258" t="s">
        <v>11923</v>
      </c>
      <c r="C5258" t="s">
        <v>47</v>
      </c>
      <c r="D5258" t="s">
        <v>8680</v>
      </c>
      <c r="E5258" t="s">
        <v>8680</v>
      </c>
      <c r="F5258" t="s">
        <v>49</v>
      </c>
      <c r="G5258" t="s">
        <v>11927</v>
      </c>
      <c r="H5258" t="s">
        <v>11928</v>
      </c>
      <c r="J5258" t="str">
        <f>HYPERLINK("https://www.facebook.com/454965103328545/posts/751213870370332?comment_id=772314401384348","https://www.facebook.com/454965103328545/posts/751213870370332?comment_id=772314401384348")</f>
        <v>https://www.facebook.com/454965103328545/posts/751213870370332?comment_id=772314401384348</v>
      </c>
      <c r="O5258">
        <v>0</v>
      </c>
      <c r="P5258">
        <v>0</v>
      </c>
      <c r="Q5258">
        <v>0</v>
      </c>
      <c r="S5258">
        <v>0</v>
      </c>
      <c r="T5258">
        <v>0</v>
      </c>
      <c r="U5258">
        <v>0</v>
      </c>
      <c r="W5258" t="s">
        <v>62</v>
      </c>
    </row>
    <row r="5259" spans="1:41" x14ac:dyDescent="0.35">
      <c r="A5259" t="s">
        <v>45</v>
      </c>
      <c r="B5259" t="s">
        <v>11923</v>
      </c>
      <c r="C5259" t="s">
        <v>47</v>
      </c>
      <c r="D5259" t="s">
        <v>11929</v>
      </c>
      <c r="E5259" t="s">
        <v>11929</v>
      </c>
      <c r="F5259" t="s">
        <v>49</v>
      </c>
      <c r="G5259" t="s">
        <v>11930</v>
      </c>
      <c r="H5259" t="s">
        <v>11931</v>
      </c>
      <c r="J5259" t="str">
        <f>HYPERLINK("https://www.facebook.com/454965103328545/videos/226396045944468?comment_id=889450862842529","https://www.facebook.com/454965103328545/videos/226396045944468?comment_id=889450862842529")</f>
        <v>https://www.facebook.com/454965103328545/videos/226396045944468?comment_id=889450862842529</v>
      </c>
      <c r="O5259">
        <v>0</v>
      </c>
      <c r="P5259">
        <v>0</v>
      </c>
      <c r="Q5259">
        <v>0</v>
      </c>
      <c r="S5259">
        <v>0</v>
      </c>
      <c r="T5259">
        <v>0</v>
      </c>
      <c r="U5259">
        <v>0</v>
      </c>
      <c r="W5259" t="s">
        <v>62</v>
      </c>
    </row>
    <row r="5260" spans="1:41" x14ac:dyDescent="0.35">
      <c r="A5260" t="s">
        <v>45</v>
      </c>
      <c r="B5260" t="s">
        <v>11923</v>
      </c>
      <c r="C5260" t="s">
        <v>139</v>
      </c>
      <c r="D5260" t="s">
        <v>5888</v>
      </c>
      <c r="E5260" t="s">
        <v>5889</v>
      </c>
      <c r="F5260" t="s">
        <v>142</v>
      </c>
      <c r="G5260" t="s">
        <v>11932</v>
      </c>
      <c r="H5260" t="s">
        <v>11933</v>
      </c>
      <c r="J5260" t="str">
        <f>HYPERLINK("https://twitter.com/Priyankagangati/status/1745478552190177452","https://twitter.com/Priyankagangati/status/1745478552190177452")</f>
        <v>https://twitter.com/Priyankagangati/status/1745478552190177452</v>
      </c>
      <c r="K5260" t="s">
        <v>1769</v>
      </c>
      <c r="O5260">
        <v>0</v>
      </c>
      <c r="P5260">
        <v>0</v>
      </c>
      <c r="Q5260">
        <v>1</v>
      </c>
      <c r="R5260" t="s">
        <v>5892</v>
      </c>
      <c r="S5260">
        <v>0</v>
      </c>
      <c r="T5260">
        <v>0</v>
      </c>
      <c r="U5260">
        <v>0</v>
      </c>
      <c r="W5260" t="s">
        <v>146</v>
      </c>
    </row>
    <row r="5261" spans="1:41" x14ac:dyDescent="0.35">
      <c r="A5261" t="s">
        <v>45</v>
      </c>
      <c r="B5261" t="s">
        <v>11923</v>
      </c>
      <c r="C5261" t="s">
        <v>139</v>
      </c>
      <c r="D5261" t="s">
        <v>5888</v>
      </c>
      <c r="E5261" t="s">
        <v>5889</v>
      </c>
      <c r="F5261" t="s">
        <v>142</v>
      </c>
      <c r="G5261" t="s">
        <v>11934</v>
      </c>
      <c r="H5261" t="s">
        <v>11935</v>
      </c>
      <c r="J5261" t="str">
        <f>HYPERLINK("https://twitter.com/Priyankagangati/status/1745477894330327264","https://twitter.com/Priyankagangati/status/1745477894330327264")</f>
        <v>https://twitter.com/Priyankagangati/status/1745477894330327264</v>
      </c>
      <c r="K5261" t="s">
        <v>1769</v>
      </c>
      <c r="O5261">
        <v>0</v>
      </c>
      <c r="P5261">
        <v>0</v>
      </c>
      <c r="Q5261">
        <v>1</v>
      </c>
      <c r="R5261" t="s">
        <v>5892</v>
      </c>
      <c r="S5261">
        <v>0</v>
      </c>
      <c r="T5261">
        <v>0</v>
      </c>
      <c r="U5261">
        <v>0</v>
      </c>
      <c r="W5261" t="s">
        <v>146</v>
      </c>
    </row>
    <row r="5262" spans="1:41" x14ac:dyDescent="0.35">
      <c r="A5262" t="s">
        <v>45</v>
      </c>
      <c r="B5262" t="s">
        <v>11923</v>
      </c>
      <c r="C5262" t="s">
        <v>139</v>
      </c>
      <c r="D5262" t="s">
        <v>11936</v>
      </c>
      <c r="E5262" t="s">
        <v>11937</v>
      </c>
      <c r="F5262" t="s">
        <v>49</v>
      </c>
      <c r="G5262" t="s">
        <v>11938</v>
      </c>
      <c r="H5262" t="s">
        <v>11939</v>
      </c>
      <c r="J5262" t="str">
        <f>HYPERLINK("https://twitter.com/imamanks/status/1745473057874129394","https://twitter.com/imamanks/status/1745473057874129394")</f>
        <v>https://twitter.com/imamanks/status/1745473057874129394</v>
      </c>
      <c r="K5262" t="s">
        <v>145</v>
      </c>
      <c r="O5262">
        <v>0</v>
      </c>
      <c r="P5262">
        <v>0</v>
      </c>
      <c r="Q5262">
        <v>106</v>
      </c>
      <c r="R5262" t="s">
        <v>11940</v>
      </c>
      <c r="S5262">
        <v>0</v>
      </c>
      <c r="T5262">
        <v>0</v>
      </c>
      <c r="U5262">
        <v>0</v>
      </c>
      <c r="W5262" t="s">
        <v>146</v>
      </c>
    </row>
    <row r="5263" spans="1:41" x14ac:dyDescent="0.35">
      <c r="A5263" t="s">
        <v>45</v>
      </c>
      <c r="B5263" t="s">
        <v>11923</v>
      </c>
      <c r="C5263" t="s">
        <v>47</v>
      </c>
      <c r="D5263" t="s">
        <v>11941</v>
      </c>
      <c r="E5263" t="s">
        <v>11941</v>
      </c>
      <c r="F5263" t="s">
        <v>49</v>
      </c>
      <c r="G5263" t="s">
        <v>50</v>
      </c>
      <c r="H5263" t="s">
        <v>11942</v>
      </c>
      <c r="J5263" t="str">
        <f>HYPERLINK("https://www.facebook.com/357267201017935/inbox/6909013542509902/","https://www.facebook.com/357267201017935/inbox/6909013542509902/")</f>
        <v>https://www.facebook.com/357267201017935/inbox/6909013542509902/</v>
      </c>
      <c r="O5263">
        <v>0</v>
      </c>
      <c r="P5263">
        <v>0</v>
      </c>
      <c r="Q5263">
        <v>0</v>
      </c>
      <c r="S5263">
        <v>0</v>
      </c>
      <c r="T5263">
        <v>0</v>
      </c>
      <c r="U5263">
        <v>0</v>
      </c>
      <c r="W5263" t="s">
        <v>52</v>
      </c>
    </row>
    <row r="5264" spans="1:41" x14ac:dyDescent="0.35">
      <c r="A5264" t="s">
        <v>45</v>
      </c>
      <c r="B5264" t="s">
        <v>11923</v>
      </c>
      <c r="C5264" t="s">
        <v>47</v>
      </c>
      <c r="D5264" t="s">
        <v>11943</v>
      </c>
      <c r="E5264" t="s">
        <v>11943</v>
      </c>
      <c r="F5264" t="s">
        <v>76</v>
      </c>
      <c r="G5264" t="s">
        <v>11944</v>
      </c>
      <c r="H5264" t="s">
        <v>11945</v>
      </c>
      <c r="J5264" t="str">
        <f>HYPERLINK("https://www.facebook.com/357267201017935/inbox/6908518135892776/","https://www.facebook.com/357267201017935/inbox/6908518135892776/")</f>
        <v>https://www.facebook.com/357267201017935/inbox/6908518135892776/</v>
      </c>
      <c r="O5264">
        <v>0</v>
      </c>
      <c r="P5264">
        <v>0</v>
      </c>
      <c r="Q5264">
        <v>0</v>
      </c>
      <c r="S5264">
        <v>0</v>
      </c>
      <c r="T5264">
        <v>0</v>
      </c>
      <c r="U5264">
        <v>0</v>
      </c>
      <c r="W5264" t="s">
        <v>52</v>
      </c>
    </row>
    <row r="5265" spans="1:45" x14ac:dyDescent="0.35">
      <c r="A5265" t="s">
        <v>45</v>
      </c>
      <c r="B5265" t="s">
        <v>11923</v>
      </c>
      <c r="C5265" t="s">
        <v>139</v>
      </c>
      <c r="D5265" t="s">
        <v>190</v>
      </c>
      <c r="E5265" t="s">
        <v>45</v>
      </c>
      <c r="F5265" t="s">
        <v>49</v>
      </c>
      <c r="G5265" t="s">
        <v>11946</v>
      </c>
      <c r="H5265" t="s">
        <v>11947</v>
      </c>
      <c r="J5265" t="str">
        <f>HYPERLINK("https://twitter.com/FinoPaymntsBank/status/1745407710861160931","https://twitter.com/FinoPaymntsBank/status/1745407710861160931")</f>
        <v>https://twitter.com/FinoPaymntsBank/status/1745407710861160931</v>
      </c>
      <c r="K5265" t="s">
        <v>145</v>
      </c>
      <c r="O5265">
        <v>0</v>
      </c>
      <c r="P5265">
        <v>0</v>
      </c>
      <c r="Q5265">
        <v>8303</v>
      </c>
      <c r="R5265" t="s">
        <v>193</v>
      </c>
      <c r="S5265">
        <v>0</v>
      </c>
      <c r="T5265">
        <v>0</v>
      </c>
      <c r="U5265">
        <v>0</v>
      </c>
      <c r="W5265" t="s">
        <v>146</v>
      </c>
    </row>
    <row r="5266" spans="1:45" x14ac:dyDescent="0.35">
      <c r="A5266" t="s">
        <v>45</v>
      </c>
      <c r="B5266" t="s">
        <v>11923</v>
      </c>
      <c r="C5266" t="s">
        <v>47</v>
      </c>
      <c r="D5266" t="s">
        <v>45</v>
      </c>
      <c r="E5266" t="s">
        <v>45</v>
      </c>
      <c r="F5266" t="s">
        <v>49</v>
      </c>
      <c r="G5266" t="s">
        <v>11948</v>
      </c>
      <c r="H5266" t="s">
        <v>11949</v>
      </c>
      <c r="J5266" t="str">
        <f>HYPERLINK("https://www.facebook.com/357267201017935_751213870370332","https://www.facebook.com/357267201017935_751213870370332")</f>
        <v>https://www.facebook.com/357267201017935_751213870370332</v>
      </c>
      <c r="O5266">
        <v>0</v>
      </c>
      <c r="P5266">
        <v>0</v>
      </c>
      <c r="Q5266">
        <v>0</v>
      </c>
      <c r="S5266">
        <v>4</v>
      </c>
      <c r="T5266">
        <v>45</v>
      </c>
      <c r="U5266">
        <v>8</v>
      </c>
      <c r="W5266" t="s">
        <v>106</v>
      </c>
    </row>
    <row r="5267" spans="1:45" x14ac:dyDescent="0.35">
      <c r="A5267" t="s">
        <v>45</v>
      </c>
      <c r="B5267" t="s">
        <v>11923</v>
      </c>
      <c r="C5267" t="s">
        <v>139</v>
      </c>
      <c r="D5267" t="s">
        <v>11742</v>
      </c>
      <c r="E5267" t="s">
        <v>11743</v>
      </c>
      <c r="F5267" t="s">
        <v>142</v>
      </c>
      <c r="G5267" t="s">
        <v>11950</v>
      </c>
      <c r="H5267" t="s">
        <v>11951</v>
      </c>
      <c r="J5267" t="str">
        <f>HYPERLINK("https://twitter.com/HDFCBANKCARES__/status/1745404131290792044","https://twitter.com/HDFCBANKCARES__/status/1745404131290792044")</f>
        <v>https://twitter.com/HDFCBANKCARES__/status/1745404131290792044</v>
      </c>
      <c r="K5267" t="s">
        <v>145</v>
      </c>
      <c r="O5267">
        <v>0</v>
      </c>
      <c r="P5267">
        <v>0</v>
      </c>
      <c r="Q5267">
        <v>0</v>
      </c>
      <c r="S5267">
        <v>0</v>
      </c>
      <c r="T5267">
        <v>0</v>
      </c>
      <c r="U5267">
        <v>0</v>
      </c>
      <c r="W5267" t="s">
        <v>146</v>
      </c>
      <c r="AP5267" t="s">
        <v>147</v>
      </c>
    </row>
    <row r="5268" spans="1:45" x14ac:dyDescent="0.35">
      <c r="A5268" t="s">
        <v>45</v>
      </c>
      <c r="B5268" t="s">
        <v>11923</v>
      </c>
      <c r="C5268" t="s">
        <v>139</v>
      </c>
      <c r="D5268" t="s">
        <v>11952</v>
      </c>
      <c r="E5268" t="s">
        <v>11953</v>
      </c>
      <c r="F5268" t="s">
        <v>49</v>
      </c>
      <c r="G5268" t="s">
        <v>11954</v>
      </c>
      <c r="H5268" t="s">
        <v>11955</v>
      </c>
      <c r="J5268" t="str">
        <f>HYPERLINK("https://twitter.com/HDFC_Vnay/status/1745403604469776866","https://twitter.com/HDFC_Vnay/status/1745403604469776866")</f>
        <v>https://twitter.com/HDFC_Vnay/status/1745403604469776866</v>
      </c>
      <c r="O5268">
        <v>0</v>
      </c>
      <c r="P5268">
        <v>0</v>
      </c>
      <c r="Q5268">
        <v>1</v>
      </c>
      <c r="S5268">
        <v>0</v>
      </c>
      <c r="T5268">
        <v>0</v>
      </c>
      <c r="U5268">
        <v>0</v>
      </c>
      <c r="W5268" t="s">
        <v>146</v>
      </c>
      <c r="AP5268" t="s">
        <v>147</v>
      </c>
    </row>
    <row r="5269" spans="1:45" x14ac:dyDescent="0.35">
      <c r="A5269" t="s">
        <v>45</v>
      </c>
      <c r="B5269" t="s">
        <v>11923</v>
      </c>
      <c r="C5269" t="s">
        <v>139</v>
      </c>
      <c r="D5269" t="s">
        <v>11956</v>
      </c>
      <c r="E5269" t="s">
        <v>11743</v>
      </c>
      <c r="F5269" t="s">
        <v>49</v>
      </c>
      <c r="G5269" t="s">
        <v>11957</v>
      </c>
      <c r="H5269" t="s">
        <v>11958</v>
      </c>
      <c r="J5269" t="str">
        <f>HYPERLINK("https://twitter.com/HDFCBank_Car58/status/1745402623958913228","https://twitter.com/HDFCBank_Car58/status/1745402623958913228")</f>
        <v>https://twitter.com/HDFCBank_Car58/status/1745402623958913228</v>
      </c>
      <c r="K5269" t="s">
        <v>145</v>
      </c>
      <c r="O5269">
        <v>0</v>
      </c>
      <c r="P5269">
        <v>0</v>
      </c>
      <c r="Q5269">
        <v>0</v>
      </c>
      <c r="S5269">
        <v>0</v>
      </c>
      <c r="T5269">
        <v>0</v>
      </c>
      <c r="U5269">
        <v>0</v>
      </c>
      <c r="W5269" t="s">
        <v>146</v>
      </c>
      <c r="AP5269" t="s">
        <v>147</v>
      </c>
    </row>
    <row r="5270" spans="1:45" x14ac:dyDescent="0.35">
      <c r="A5270" t="s">
        <v>45</v>
      </c>
      <c r="B5270" t="s">
        <v>11923</v>
      </c>
      <c r="C5270" t="s">
        <v>139</v>
      </c>
      <c r="D5270" t="s">
        <v>11959</v>
      </c>
      <c r="E5270" t="s">
        <v>11960</v>
      </c>
      <c r="F5270" t="s">
        <v>142</v>
      </c>
      <c r="G5270" t="s">
        <v>11950</v>
      </c>
      <c r="H5270" t="s">
        <v>11958</v>
      </c>
      <c r="J5270" t="str">
        <f>HYPERLINK("https://twitter.com/HDFCHDFCBANK_/status/1745402624533467474","https://twitter.com/HDFCHDFCBANK_/status/1745402624533467474")</f>
        <v>https://twitter.com/HDFCHDFCBANK_/status/1745402624533467474</v>
      </c>
      <c r="K5270" t="s">
        <v>145</v>
      </c>
      <c r="O5270">
        <v>0</v>
      </c>
      <c r="P5270">
        <v>0</v>
      </c>
      <c r="Q5270">
        <v>0</v>
      </c>
      <c r="S5270">
        <v>0</v>
      </c>
      <c r="T5270">
        <v>0</v>
      </c>
      <c r="U5270">
        <v>0</v>
      </c>
      <c r="W5270" t="s">
        <v>146</v>
      </c>
      <c r="AP5270" t="s">
        <v>147</v>
      </c>
    </row>
    <row r="5271" spans="1:45" x14ac:dyDescent="0.35">
      <c r="A5271" t="s">
        <v>45</v>
      </c>
      <c r="B5271" t="s">
        <v>11923</v>
      </c>
      <c r="C5271" t="s">
        <v>139</v>
      </c>
      <c r="D5271" t="s">
        <v>11961</v>
      </c>
      <c r="E5271" t="s">
        <v>11962</v>
      </c>
      <c r="F5271" t="s">
        <v>49</v>
      </c>
      <c r="G5271" t="s">
        <v>11746</v>
      </c>
      <c r="H5271" t="s">
        <v>11963</v>
      </c>
      <c r="J5271" t="str">
        <f>HYPERLINK("https://twitter.com/Sacheti2Sacheti/status/1745402508380623047","https://twitter.com/Sacheti2Sacheti/status/1745402508380623047")</f>
        <v>https://twitter.com/Sacheti2Sacheti/status/1745402508380623047</v>
      </c>
      <c r="K5271" t="s">
        <v>145</v>
      </c>
      <c r="O5271">
        <v>0</v>
      </c>
      <c r="P5271">
        <v>0</v>
      </c>
      <c r="Q5271">
        <v>4</v>
      </c>
      <c r="S5271">
        <v>0</v>
      </c>
      <c r="T5271">
        <v>0</v>
      </c>
      <c r="U5271">
        <v>0</v>
      </c>
      <c r="W5271" t="s">
        <v>146</v>
      </c>
    </row>
    <row r="5272" spans="1:45" x14ac:dyDescent="0.35">
      <c r="A5272" t="s">
        <v>45</v>
      </c>
      <c r="B5272" t="s">
        <v>11923</v>
      </c>
      <c r="C5272" t="s">
        <v>58</v>
      </c>
      <c r="D5272" t="s">
        <v>11964</v>
      </c>
      <c r="E5272" t="s">
        <v>11964</v>
      </c>
      <c r="F5272" t="s">
        <v>142</v>
      </c>
      <c r="G5272" t="s">
        <v>11965</v>
      </c>
      <c r="H5272" t="s">
        <v>11966</v>
      </c>
      <c r="J5272" t="str">
        <f>HYPERLINK("https://www.youtube.com/watch?v=3zLZnyqu9PE&amp;lc=UgyS5ePKlYSAxn9tbmB4AaABAg","https://www.youtube.com/watch?v=3zLZnyqu9PE&amp;lc=UgyS5ePKlYSAxn9tbmB4AaABAg")</f>
        <v>https://www.youtube.com/watch?v=3zLZnyqu9PE&amp;lc=UgyS5ePKlYSAxn9tbmB4AaABAg</v>
      </c>
      <c r="O5272">
        <v>0</v>
      </c>
      <c r="P5272">
        <v>0</v>
      </c>
      <c r="Q5272">
        <v>0</v>
      </c>
      <c r="S5272">
        <v>0</v>
      </c>
      <c r="T5272">
        <v>0</v>
      </c>
      <c r="U5272">
        <v>0</v>
      </c>
      <c r="W5272" t="s">
        <v>62</v>
      </c>
    </row>
    <row r="5273" spans="1:45" x14ac:dyDescent="0.35">
      <c r="A5273" t="s">
        <v>45</v>
      </c>
      <c r="B5273" t="s">
        <v>11923</v>
      </c>
      <c r="C5273" t="s">
        <v>47</v>
      </c>
      <c r="D5273" t="s">
        <v>45</v>
      </c>
      <c r="E5273" t="s">
        <v>45</v>
      </c>
      <c r="F5273" t="s">
        <v>49</v>
      </c>
      <c r="G5273" t="s">
        <v>11967</v>
      </c>
      <c r="H5273" t="s">
        <v>11968</v>
      </c>
      <c r="J5273" t="str">
        <f>HYPERLINK("https://www.facebook.com/357267201017935/inbox/6908162632594993/","https://www.facebook.com/357267201017935/inbox/6908162632594993/")</f>
        <v>https://www.facebook.com/357267201017935/inbox/6908162632594993/</v>
      </c>
      <c r="O5273">
        <v>0</v>
      </c>
      <c r="P5273">
        <v>0</v>
      </c>
      <c r="Q5273">
        <v>0</v>
      </c>
      <c r="S5273">
        <v>0</v>
      </c>
      <c r="T5273">
        <v>0</v>
      </c>
      <c r="U5273">
        <v>0</v>
      </c>
      <c r="W5273" t="s">
        <v>52</v>
      </c>
    </row>
    <row r="5274" spans="1:45" x14ac:dyDescent="0.35">
      <c r="A5274" t="s">
        <v>45</v>
      </c>
      <c r="B5274" t="s">
        <v>11923</v>
      </c>
      <c r="C5274" t="s">
        <v>47</v>
      </c>
      <c r="D5274" t="s">
        <v>11969</v>
      </c>
      <c r="E5274" t="s">
        <v>11969</v>
      </c>
      <c r="F5274" t="s">
        <v>49</v>
      </c>
      <c r="G5274" t="s">
        <v>11970</v>
      </c>
      <c r="H5274" t="s">
        <v>11971</v>
      </c>
      <c r="J5274" t="str">
        <f>HYPERLINK("https://www.facebook.com/357267201017935/inbox/6908162632594993/","https://www.facebook.com/357267201017935/inbox/6908162632594993/")</f>
        <v>https://www.facebook.com/357267201017935/inbox/6908162632594993/</v>
      </c>
      <c r="O5274">
        <v>0</v>
      </c>
      <c r="P5274">
        <v>0</v>
      </c>
      <c r="Q5274">
        <v>0</v>
      </c>
      <c r="S5274">
        <v>0</v>
      </c>
      <c r="T5274">
        <v>0</v>
      </c>
      <c r="U5274">
        <v>0</v>
      </c>
      <c r="W5274" t="s">
        <v>52</v>
      </c>
      <c r="AO5274" t="s">
        <v>67</v>
      </c>
      <c r="AS5274" t="s">
        <v>375</v>
      </c>
    </row>
    <row r="5275" spans="1:45" x14ac:dyDescent="0.35">
      <c r="A5275" t="s">
        <v>45</v>
      </c>
      <c r="B5275" t="s">
        <v>11923</v>
      </c>
      <c r="C5275" t="s">
        <v>58</v>
      </c>
      <c r="D5275" t="s">
        <v>11972</v>
      </c>
      <c r="E5275" t="s">
        <v>11972</v>
      </c>
      <c r="F5275" t="s">
        <v>49</v>
      </c>
      <c r="G5275" t="s">
        <v>11973</v>
      </c>
      <c r="H5275" t="s">
        <v>11974</v>
      </c>
      <c r="J5275" t="str">
        <f>HYPERLINK("https://www.youtube.com/watch?v=YDoMMWKZVN0","https://www.youtube.com/watch?v=YDoMMWKZVN0")</f>
        <v>https://www.youtube.com/watch?v=YDoMMWKZVN0</v>
      </c>
      <c r="O5275">
        <v>0</v>
      </c>
      <c r="P5275">
        <v>0</v>
      </c>
      <c r="Q5275">
        <v>0</v>
      </c>
      <c r="S5275">
        <v>0</v>
      </c>
      <c r="T5275">
        <v>0</v>
      </c>
      <c r="U5275">
        <v>0</v>
      </c>
      <c r="W5275" t="s">
        <v>106</v>
      </c>
    </row>
    <row r="5276" spans="1:45" x14ac:dyDescent="0.35">
      <c r="A5276" t="s">
        <v>45</v>
      </c>
      <c r="B5276" t="s">
        <v>11923</v>
      </c>
      <c r="C5276" t="s">
        <v>47</v>
      </c>
      <c r="D5276" t="s">
        <v>11975</v>
      </c>
      <c r="E5276" t="s">
        <v>11975</v>
      </c>
      <c r="F5276" t="s">
        <v>142</v>
      </c>
      <c r="G5276" t="s">
        <v>11976</v>
      </c>
      <c r="H5276" t="s">
        <v>11977</v>
      </c>
      <c r="J5276" t="str">
        <f>HYPERLINK("https://www.facebook.com/357267201017935/inbox/6907966815947908/","https://www.facebook.com/357267201017935/inbox/6907966815947908/")</f>
        <v>https://www.facebook.com/357267201017935/inbox/6907966815947908/</v>
      </c>
      <c r="O5276">
        <v>0</v>
      </c>
      <c r="P5276">
        <v>0</v>
      </c>
      <c r="Q5276">
        <v>0</v>
      </c>
      <c r="S5276">
        <v>0</v>
      </c>
      <c r="T5276">
        <v>0</v>
      </c>
      <c r="U5276">
        <v>0</v>
      </c>
      <c r="W5276" t="s">
        <v>52</v>
      </c>
      <c r="AP5276" t="s">
        <v>147</v>
      </c>
    </row>
    <row r="5277" spans="1:45" x14ac:dyDescent="0.35">
      <c r="A5277" t="s">
        <v>45</v>
      </c>
      <c r="B5277" t="s">
        <v>11923</v>
      </c>
      <c r="C5277" t="s">
        <v>47</v>
      </c>
      <c r="D5277" t="s">
        <v>2335</v>
      </c>
      <c r="E5277" t="s">
        <v>2335</v>
      </c>
      <c r="F5277" t="s">
        <v>49</v>
      </c>
      <c r="G5277" t="s">
        <v>11978</v>
      </c>
      <c r="H5277" t="s">
        <v>11979</v>
      </c>
      <c r="J5277" t="str">
        <f>HYPERLINK("https://www.facebook.com/454965103328545/posts/750050217153364?comment_id=677098304497394","https://www.facebook.com/454965103328545/posts/750050217153364?comment_id=677098304497394")</f>
        <v>https://www.facebook.com/454965103328545/posts/750050217153364?comment_id=677098304497394</v>
      </c>
      <c r="O5277">
        <v>0</v>
      </c>
      <c r="P5277">
        <v>0</v>
      </c>
      <c r="Q5277">
        <v>0</v>
      </c>
      <c r="S5277">
        <v>0</v>
      </c>
      <c r="T5277">
        <v>0</v>
      </c>
      <c r="U5277">
        <v>0</v>
      </c>
      <c r="W5277" t="s">
        <v>62</v>
      </c>
    </row>
    <row r="5278" spans="1:45" x14ac:dyDescent="0.35">
      <c r="A5278" t="s">
        <v>45</v>
      </c>
      <c r="B5278" t="s">
        <v>11923</v>
      </c>
      <c r="C5278" t="s">
        <v>139</v>
      </c>
      <c r="D5278" t="s">
        <v>11980</v>
      </c>
      <c r="E5278" t="s">
        <v>11980</v>
      </c>
      <c r="F5278" t="s">
        <v>49</v>
      </c>
      <c r="G5278" t="s">
        <v>11981</v>
      </c>
      <c r="H5278" t="s">
        <v>11982</v>
      </c>
      <c r="J5278" t="str">
        <f>HYPERLINK("https://twitter.com/satishjohn/status/1745358931239768168","https://twitter.com/satishjohn/status/1745358931239768168")</f>
        <v>https://twitter.com/satishjohn/status/1745358931239768168</v>
      </c>
      <c r="O5278">
        <v>0</v>
      </c>
      <c r="P5278">
        <v>0</v>
      </c>
      <c r="Q5278">
        <v>2579</v>
      </c>
      <c r="R5278" t="s">
        <v>1868</v>
      </c>
      <c r="S5278">
        <v>0</v>
      </c>
      <c r="T5278">
        <v>0</v>
      </c>
      <c r="U5278">
        <v>0</v>
      </c>
      <c r="W5278" t="s">
        <v>552</v>
      </c>
    </row>
    <row r="5279" spans="1:45" x14ac:dyDescent="0.35">
      <c r="A5279" t="s">
        <v>45</v>
      </c>
      <c r="B5279" t="s">
        <v>11923</v>
      </c>
      <c r="C5279" t="s">
        <v>139</v>
      </c>
      <c r="D5279" t="s">
        <v>11980</v>
      </c>
      <c r="E5279" t="s">
        <v>11980</v>
      </c>
      <c r="F5279" t="s">
        <v>76</v>
      </c>
      <c r="G5279" t="s">
        <v>11983</v>
      </c>
      <c r="H5279" t="s">
        <v>11984</v>
      </c>
      <c r="J5279" t="str">
        <f>HYPERLINK("https://twitter.com/satishjohn/status/1745358819176456261","https://twitter.com/satishjohn/status/1745358819176456261")</f>
        <v>https://twitter.com/satishjohn/status/1745358819176456261</v>
      </c>
      <c r="O5279">
        <v>0</v>
      </c>
      <c r="P5279">
        <v>0</v>
      </c>
      <c r="Q5279">
        <v>2579</v>
      </c>
      <c r="R5279" t="s">
        <v>1868</v>
      </c>
      <c r="S5279">
        <v>0</v>
      </c>
      <c r="T5279">
        <v>0</v>
      </c>
      <c r="U5279">
        <v>0</v>
      </c>
      <c r="W5279" t="s">
        <v>552</v>
      </c>
    </row>
    <row r="5280" spans="1:45" x14ac:dyDescent="0.35">
      <c r="A5280" t="s">
        <v>45</v>
      </c>
      <c r="B5280" t="s">
        <v>11923</v>
      </c>
      <c r="C5280" t="s">
        <v>139</v>
      </c>
      <c r="D5280" t="s">
        <v>11985</v>
      </c>
      <c r="E5280" t="s">
        <v>11986</v>
      </c>
      <c r="F5280" t="s">
        <v>76</v>
      </c>
      <c r="G5280" t="s">
        <v>11983</v>
      </c>
      <c r="H5280" t="s">
        <v>11987</v>
      </c>
      <c r="J5280" t="str">
        <f>HYPERLINK("https://twitter.com/NehalChaliawala/status/1745357499891667292","https://twitter.com/NehalChaliawala/status/1745357499891667292")</f>
        <v>https://twitter.com/NehalChaliawala/status/1745357499891667292</v>
      </c>
      <c r="K5280" t="s">
        <v>145</v>
      </c>
      <c r="O5280">
        <v>0</v>
      </c>
      <c r="P5280">
        <v>0</v>
      </c>
      <c r="Q5280">
        <v>1194</v>
      </c>
      <c r="R5280" t="s">
        <v>1247</v>
      </c>
      <c r="S5280">
        <v>0</v>
      </c>
      <c r="T5280">
        <v>0</v>
      </c>
      <c r="U5280">
        <v>0</v>
      </c>
      <c r="W5280" t="s">
        <v>146</v>
      </c>
    </row>
    <row r="5281" spans="1:45" x14ac:dyDescent="0.35">
      <c r="A5281" t="s">
        <v>45</v>
      </c>
      <c r="B5281" t="s">
        <v>11923</v>
      </c>
      <c r="C5281" t="s">
        <v>47</v>
      </c>
      <c r="D5281" t="s">
        <v>11988</v>
      </c>
      <c r="E5281" t="s">
        <v>11988</v>
      </c>
      <c r="F5281" t="s">
        <v>49</v>
      </c>
      <c r="G5281" t="s">
        <v>11989</v>
      </c>
      <c r="H5281" t="s">
        <v>11990</v>
      </c>
      <c r="J5281" t="str">
        <f>HYPERLINK("https://www.facebook.com/454965103328545/posts/734813295343723?comment_id=383739620838876","https://www.facebook.com/454965103328545/posts/734813295343723?comment_id=383739620838876")</f>
        <v>https://www.facebook.com/454965103328545/posts/734813295343723?comment_id=383739620838876</v>
      </c>
      <c r="O5281">
        <v>0</v>
      </c>
      <c r="P5281">
        <v>0</v>
      </c>
      <c r="Q5281">
        <v>0</v>
      </c>
      <c r="S5281">
        <v>0</v>
      </c>
      <c r="T5281">
        <v>0</v>
      </c>
      <c r="U5281">
        <v>0</v>
      </c>
      <c r="W5281" t="s">
        <v>62</v>
      </c>
    </row>
    <row r="5282" spans="1:45" x14ac:dyDescent="0.35">
      <c r="A5282" t="s">
        <v>45</v>
      </c>
      <c r="B5282" t="s">
        <v>11923</v>
      </c>
      <c r="C5282" t="s">
        <v>139</v>
      </c>
      <c r="D5282" t="s">
        <v>11936</v>
      </c>
      <c r="E5282" t="s">
        <v>11937</v>
      </c>
      <c r="F5282" t="s">
        <v>142</v>
      </c>
      <c r="G5282" t="s">
        <v>11991</v>
      </c>
      <c r="H5282" t="s">
        <v>11992</v>
      </c>
      <c r="J5282" t="str">
        <f>HYPERLINK("https://twitter.com/imamanks/status/1745348019758006554","https://twitter.com/imamanks/status/1745348019758006554")</f>
        <v>https://twitter.com/imamanks/status/1745348019758006554</v>
      </c>
      <c r="K5282" t="s">
        <v>145</v>
      </c>
      <c r="O5282">
        <v>0</v>
      </c>
      <c r="P5282">
        <v>0</v>
      </c>
      <c r="Q5282">
        <v>106</v>
      </c>
      <c r="R5282" t="s">
        <v>11940</v>
      </c>
      <c r="S5282">
        <v>0</v>
      </c>
      <c r="T5282">
        <v>0</v>
      </c>
      <c r="U5282">
        <v>0</v>
      </c>
      <c r="W5282" t="s">
        <v>52</v>
      </c>
      <c r="AP5282" t="s">
        <v>147</v>
      </c>
    </row>
    <row r="5283" spans="1:45" x14ac:dyDescent="0.35">
      <c r="A5283" t="s">
        <v>45</v>
      </c>
      <c r="B5283" t="s">
        <v>11923</v>
      </c>
      <c r="C5283" t="s">
        <v>139</v>
      </c>
      <c r="D5283" t="s">
        <v>11956</v>
      </c>
      <c r="E5283" t="s">
        <v>11743</v>
      </c>
      <c r="F5283" t="s">
        <v>49</v>
      </c>
      <c r="G5283" t="s">
        <v>11993</v>
      </c>
      <c r="H5283" t="s">
        <v>11994</v>
      </c>
      <c r="J5283" t="str">
        <f>HYPERLINK("https://twitter.com/HDFCBank_Car58/status/1745333859716387120","https://twitter.com/HDFCBank_Car58/status/1745333859716387120")</f>
        <v>https://twitter.com/HDFCBank_Car58/status/1745333859716387120</v>
      </c>
      <c r="K5283" t="s">
        <v>145</v>
      </c>
      <c r="O5283">
        <v>0</v>
      </c>
      <c r="P5283">
        <v>0</v>
      </c>
      <c r="Q5283">
        <v>0</v>
      </c>
      <c r="S5283">
        <v>0</v>
      </c>
      <c r="T5283">
        <v>0</v>
      </c>
      <c r="U5283">
        <v>0</v>
      </c>
      <c r="W5283" t="s">
        <v>146</v>
      </c>
      <c r="AP5283" t="s">
        <v>147</v>
      </c>
    </row>
    <row r="5284" spans="1:45" x14ac:dyDescent="0.35">
      <c r="A5284" t="s">
        <v>45</v>
      </c>
      <c r="B5284" t="s">
        <v>11923</v>
      </c>
      <c r="C5284" t="s">
        <v>58</v>
      </c>
      <c r="D5284" t="s">
        <v>11995</v>
      </c>
      <c r="E5284" t="s">
        <v>11995</v>
      </c>
      <c r="F5284" t="s">
        <v>49</v>
      </c>
      <c r="G5284" t="s">
        <v>11996</v>
      </c>
      <c r="H5284" t="s">
        <v>11997</v>
      </c>
      <c r="J5284" t="str">
        <f>HYPERLINK("https://www.youtube.com/watch?v=kwAHj79yXns","https://www.youtube.com/watch?v=kwAHj79yXns")</f>
        <v>https://www.youtube.com/watch?v=kwAHj79yXns</v>
      </c>
      <c r="O5284">
        <v>0</v>
      </c>
      <c r="P5284">
        <v>0</v>
      </c>
      <c r="Q5284">
        <v>0</v>
      </c>
      <c r="S5284">
        <v>0</v>
      </c>
      <c r="T5284">
        <v>0</v>
      </c>
      <c r="U5284">
        <v>0</v>
      </c>
      <c r="W5284" t="s">
        <v>106</v>
      </c>
    </row>
    <row r="5285" spans="1:45" x14ac:dyDescent="0.35">
      <c r="A5285" t="s">
        <v>45</v>
      </c>
      <c r="B5285" t="s">
        <v>11923</v>
      </c>
      <c r="C5285" t="s">
        <v>139</v>
      </c>
      <c r="D5285" t="s">
        <v>11961</v>
      </c>
      <c r="E5285" t="s">
        <v>11962</v>
      </c>
      <c r="F5285" t="s">
        <v>49</v>
      </c>
      <c r="G5285" t="s">
        <v>11998</v>
      </c>
      <c r="H5285" t="s">
        <v>11999</v>
      </c>
      <c r="J5285" t="str">
        <f>HYPERLINK("https://twitter.com/Sacheti2Sacheti/status/1745331936984478091","https://twitter.com/Sacheti2Sacheti/status/1745331936984478091")</f>
        <v>https://twitter.com/Sacheti2Sacheti/status/1745331936984478091</v>
      </c>
      <c r="K5285" t="s">
        <v>145</v>
      </c>
      <c r="O5285">
        <v>0</v>
      </c>
      <c r="P5285">
        <v>0</v>
      </c>
      <c r="Q5285">
        <v>4</v>
      </c>
      <c r="S5285">
        <v>0</v>
      </c>
      <c r="T5285">
        <v>0</v>
      </c>
      <c r="U5285">
        <v>0</v>
      </c>
      <c r="W5285" t="s">
        <v>146</v>
      </c>
    </row>
    <row r="5286" spans="1:45" x14ac:dyDescent="0.35">
      <c r="A5286" t="s">
        <v>45</v>
      </c>
      <c r="B5286" t="s">
        <v>11923</v>
      </c>
      <c r="C5286" t="s">
        <v>139</v>
      </c>
      <c r="D5286" t="s">
        <v>12000</v>
      </c>
      <c r="E5286" t="s">
        <v>12001</v>
      </c>
      <c r="F5286" t="s">
        <v>49</v>
      </c>
      <c r="G5286" t="s">
        <v>12002</v>
      </c>
      <c r="H5286" t="s">
        <v>12003</v>
      </c>
      <c r="J5286" t="str">
        <f>HYPERLINK("https://twitter.com/ajay17474315281/status/1745324081141194826","https://twitter.com/ajay17474315281/status/1745324081141194826")</f>
        <v>https://twitter.com/ajay17474315281/status/1745324081141194826</v>
      </c>
      <c r="K5286" t="s">
        <v>145</v>
      </c>
      <c r="O5286">
        <v>0</v>
      </c>
      <c r="P5286">
        <v>0</v>
      </c>
      <c r="Q5286">
        <v>0</v>
      </c>
      <c r="S5286">
        <v>0</v>
      </c>
      <c r="T5286">
        <v>0</v>
      </c>
      <c r="U5286">
        <v>0</v>
      </c>
      <c r="W5286" t="s">
        <v>146</v>
      </c>
    </row>
    <row r="5287" spans="1:45" x14ac:dyDescent="0.35">
      <c r="A5287" t="s">
        <v>45</v>
      </c>
      <c r="B5287" t="s">
        <v>11923</v>
      </c>
      <c r="C5287" t="s">
        <v>139</v>
      </c>
      <c r="D5287" t="s">
        <v>11936</v>
      </c>
      <c r="E5287" t="s">
        <v>11937</v>
      </c>
      <c r="F5287" t="s">
        <v>49</v>
      </c>
      <c r="G5287" t="s">
        <v>12004</v>
      </c>
      <c r="H5287" t="s">
        <v>12005</v>
      </c>
      <c r="J5287" t="str">
        <f>HYPERLINK("https://twitter.com/imamanks/status/1745319040749634041","https://twitter.com/imamanks/status/1745319040749634041")</f>
        <v>https://twitter.com/imamanks/status/1745319040749634041</v>
      </c>
      <c r="K5287" t="s">
        <v>145</v>
      </c>
      <c r="O5287">
        <v>0</v>
      </c>
      <c r="P5287">
        <v>0</v>
      </c>
      <c r="Q5287">
        <v>106</v>
      </c>
      <c r="R5287" t="s">
        <v>11940</v>
      </c>
      <c r="S5287">
        <v>0</v>
      </c>
      <c r="T5287">
        <v>0</v>
      </c>
      <c r="U5287">
        <v>0</v>
      </c>
      <c r="W5287" t="s">
        <v>146</v>
      </c>
    </row>
    <row r="5288" spans="1:45" x14ac:dyDescent="0.35">
      <c r="A5288" t="s">
        <v>45</v>
      </c>
      <c r="B5288" t="s">
        <v>11923</v>
      </c>
      <c r="C5288" t="s">
        <v>139</v>
      </c>
      <c r="D5288" t="s">
        <v>190</v>
      </c>
      <c r="E5288" t="s">
        <v>45</v>
      </c>
      <c r="F5288" t="s">
        <v>49</v>
      </c>
      <c r="G5288" t="s">
        <v>12006</v>
      </c>
      <c r="H5288" t="s">
        <v>12007</v>
      </c>
      <c r="J5288" t="str">
        <f>HYPERLINK("https://twitter.com/FinoPaymntsBank/status/1745318199711982008","https://twitter.com/FinoPaymntsBank/status/1745318199711982008")</f>
        <v>https://twitter.com/FinoPaymntsBank/status/1745318199711982008</v>
      </c>
      <c r="K5288" t="s">
        <v>145</v>
      </c>
      <c r="O5288">
        <v>0</v>
      </c>
      <c r="P5288">
        <v>0</v>
      </c>
      <c r="Q5288">
        <v>8306</v>
      </c>
      <c r="R5288" t="s">
        <v>193</v>
      </c>
      <c r="S5288">
        <v>0</v>
      </c>
      <c r="T5288">
        <v>0</v>
      </c>
      <c r="U5288">
        <v>0</v>
      </c>
      <c r="W5288" t="s">
        <v>146</v>
      </c>
    </row>
    <row r="5289" spans="1:45" x14ac:dyDescent="0.35">
      <c r="A5289" t="s">
        <v>45</v>
      </c>
      <c r="B5289" t="s">
        <v>11923</v>
      </c>
      <c r="C5289" t="s">
        <v>139</v>
      </c>
      <c r="D5289" t="s">
        <v>12000</v>
      </c>
      <c r="E5289" t="s">
        <v>12001</v>
      </c>
      <c r="F5289" t="s">
        <v>49</v>
      </c>
      <c r="G5289" t="s">
        <v>12008</v>
      </c>
      <c r="H5289" t="s">
        <v>12009</v>
      </c>
      <c r="J5289" t="str">
        <f>HYPERLINK("https://twitter.com/ajay17474315281/status/1745312925819269139","https://twitter.com/ajay17474315281/status/1745312925819269139")</f>
        <v>https://twitter.com/ajay17474315281/status/1745312925819269139</v>
      </c>
      <c r="K5289" t="s">
        <v>145</v>
      </c>
      <c r="O5289">
        <v>0</v>
      </c>
      <c r="P5289">
        <v>0</v>
      </c>
      <c r="Q5289">
        <v>0</v>
      </c>
      <c r="S5289">
        <v>0</v>
      </c>
      <c r="T5289">
        <v>0</v>
      </c>
      <c r="U5289">
        <v>0</v>
      </c>
      <c r="W5289" t="s">
        <v>146</v>
      </c>
      <c r="AS5289" t="s">
        <v>375</v>
      </c>
    </row>
    <row r="5290" spans="1:45" x14ac:dyDescent="0.35">
      <c r="A5290" t="s">
        <v>45</v>
      </c>
      <c r="B5290" t="s">
        <v>11923</v>
      </c>
      <c r="C5290" t="s">
        <v>139</v>
      </c>
      <c r="D5290" t="s">
        <v>12010</v>
      </c>
      <c r="E5290" t="s">
        <v>12011</v>
      </c>
      <c r="F5290" t="s">
        <v>142</v>
      </c>
      <c r="G5290" t="s">
        <v>12012</v>
      </c>
      <c r="H5290" t="s">
        <v>12013</v>
      </c>
      <c r="J5290" t="str">
        <f>HYPERLINK("https://twitter.com/muhabbatsingh/status/1745305273278108048","https://twitter.com/muhabbatsingh/status/1745305273278108048")</f>
        <v>https://twitter.com/muhabbatsingh/status/1745305273278108048</v>
      </c>
      <c r="O5290">
        <v>0</v>
      </c>
      <c r="P5290">
        <v>0</v>
      </c>
      <c r="Q5290">
        <v>4</v>
      </c>
      <c r="R5290" t="s">
        <v>12014</v>
      </c>
      <c r="S5290">
        <v>0</v>
      </c>
      <c r="T5290">
        <v>0</v>
      </c>
      <c r="U5290">
        <v>0</v>
      </c>
      <c r="W5290" t="s">
        <v>146</v>
      </c>
    </row>
    <row r="5291" spans="1:45" x14ac:dyDescent="0.35">
      <c r="A5291" t="s">
        <v>45</v>
      </c>
      <c r="B5291" t="s">
        <v>11923</v>
      </c>
      <c r="C5291" t="s">
        <v>58</v>
      </c>
      <c r="D5291" t="s">
        <v>12015</v>
      </c>
      <c r="E5291" t="s">
        <v>12015</v>
      </c>
      <c r="F5291" t="s">
        <v>49</v>
      </c>
      <c r="G5291" t="s">
        <v>12016</v>
      </c>
      <c r="H5291" t="s">
        <v>12017</v>
      </c>
      <c r="J5291" t="str">
        <f>HYPERLINK("https://www.youtube.com/watch?v=FKS4YVa0aD0","https://www.youtube.com/watch?v=FKS4YVa0aD0")</f>
        <v>https://www.youtube.com/watch?v=FKS4YVa0aD0</v>
      </c>
      <c r="O5291">
        <v>0</v>
      </c>
      <c r="P5291">
        <v>0</v>
      </c>
      <c r="Q5291">
        <v>0</v>
      </c>
      <c r="S5291">
        <v>0</v>
      </c>
      <c r="T5291">
        <v>0</v>
      </c>
      <c r="U5291">
        <v>0</v>
      </c>
      <c r="W5291" t="s">
        <v>106</v>
      </c>
    </row>
    <row r="5292" spans="1:45" x14ac:dyDescent="0.35">
      <c r="A5292" t="s">
        <v>45</v>
      </c>
      <c r="B5292" t="s">
        <v>11923</v>
      </c>
      <c r="C5292" t="s">
        <v>47</v>
      </c>
      <c r="D5292" t="s">
        <v>12018</v>
      </c>
      <c r="E5292" t="s">
        <v>12018</v>
      </c>
      <c r="F5292" t="s">
        <v>49</v>
      </c>
      <c r="G5292" t="s">
        <v>50</v>
      </c>
      <c r="H5292" t="s">
        <v>12019</v>
      </c>
      <c r="J5292" t="str">
        <f>HYPERLINK("https://www.facebook.com/357267201017935/inbox/6907405132670743/","https://www.facebook.com/357267201017935/inbox/6907405132670743/")</f>
        <v>https://www.facebook.com/357267201017935/inbox/6907405132670743/</v>
      </c>
      <c r="O5292">
        <v>0</v>
      </c>
      <c r="P5292">
        <v>0</v>
      </c>
      <c r="Q5292">
        <v>0</v>
      </c>
      <c r="S5292">
        <v>0</v>
      </c>
      <c r="T5292">
        <v>0</v>
      </c>
      <c r="U5292">
        <v>0</v>
      </c>
      <c r="W5292" t="s">
        <v>52</v>
      </c>
    </row>
    <row r="5293" spans="1:45" x14ac:dyDescent="0.35">
      <c r="A5293" t="s">
        <v>45</v>
      </c>
      <c r="B5293" t="s">
        <v>11923</v>
      </c>
      <c r="C5293" t="s">
        <v>139</v>
      </c>
      <c r="D5293" t="s">
        <v>12000</v>
      </c>
      <c r="E5293" t="s">
        <v>12001</v>
      </c>
      <c r="F5293" t="s">
        <v>142</v>
      </c>
      <c r="G5293" t="s">
        <v>12020</v>
      </c>
      <c r="H5293" t="s">
        <v>12021</v>
      </c>
      <c r="J5293" t="str">
        <f>HYPERLINK("https://twitter.com/ajay17474315281/status/1745295733056806935","https://twitter.com/ajay17474315281/status/1745295733056806935")</f>
        <v>https://twitter.com/ajay17474315281/status/1745295733056806935</v>
      </c>
      <c r="K5293" t="s">
        <v>145</v>
      </c>
      <c r="O5293">
        <v>0</v>
      </c>
      <c r="P5293">
        <v>0</v>
      </c>
      <c r="Q5293">
        <v>0</v>
      </c>
      <c r="S5293">
        <v>0</v>
      </c>
      <c r="T5293">
        <v>0</v>
      </c>
      <c r="U5293">
        <v>0</v>
      </c>
      <c r="W5293" t="s">
        <v>146</v>
      </c>
    </row>
    <row r="5294" spans="1:45" x14ac:dyDescent="0.35">
      <c r="A5294" t="s">
        <v>45</v>
      </c>
      <c r="B5294" t="s">
        <v>11923</v>
      </c>
      <c r="C5294" t="s">
        <v>139</v>
      </c>
      <c r="D5294" t="s">
        <v>4153</v>
      </c>
      <c r="E5294" t="s">
        <v>11883</v>
      </c>
      <c r="F5294" t="s">
        <v>76</v>
      </c>
      <c r="G5294" t="s">
        <v>12022</v>
      </c>
      <c r="H5294" t="s">
        <v>12023</v>
      </c>
      <c r="J5294" t="str">
        <f>HYPERLINK("https://twitter.com/Gr8AdvisorIN/status/1745283380567294329","https://twitter.com/Gr8AdvisorIN/status/1745283380567294329")</f>
        <v>https://twitter.com/Gr8AdvisorIN/status/1745283380567294329</v>
      </c>
      <c r="O5294">
        <v>0</v>
      </c>
      <c r="P5294">
        <v>0</v>
      </c>
      <c r="Q5294">
        <v>32</v>
      </c>
      <c r="S5294">
        <v>0</v>
      </c>
      <c r="T5294">
        <v>0</v>
      </c>
      <c r="U5294">
        <v>0</v>
      </c>
      <c r="W5294" t="s">
        <v>146</v>
      </c>
    </row>
    <row r="5295" spans="1:45" x14ac:dyDescent="0.35">
      <c r="A5295" t="s">
        <v>45</v>
      </c>
      <c r="B5295" t="s">
        <v>11923</v>
      </c>
      <c r="C5295" t="s">
        <v>58</v>
      </c>
      <c r="D5295" t="s">
        <v>3237</v>
      </c>
      <c r="E5295" t="s">
        <v>3237</v>
      </c>
      <c r="F5295" t="s">
        <v>49</v>
      </c>
      <c r="G5295" t="s">
        <v>12024</v>
      </c>
      <c r="H5295" t="s">
        <v>12025</v>
      </c>
      <c r="J5295" t="str">
        <f>HYPERLINK("https://www.youtube.com/watch?v=8-mDzLsqJHI","https://www.youtube.com/watch?v=8-mDzLsqJHI")</f>
        <v>https://www.youtube.com/watch?v=8-mDzLsqJHI</v>
      </c>
      <c r="O5295">
        <v>0</v>
      </c>
      <c r="P5295">
        <v>0</v>
      </c>
      <c r="Q5295">
        <v>0</v>
      </c>
      <c r="S5295">
        <v>0</v>
      </c>
      <c r="T5295">
        <v>0</v>
      </c>
      <c r="U5295">
        <v>0</v>
      </c>
      <c r="W5295" t="s">
        <v>106</v>
      </c>
    </row>
    <row r="5296" spans="1:45" x14ac:dyDescent="0.35">
      <c r="A5296" t="s">
        <v>45</v>
      </c>
      <c r="B5296" t="s">
        <v>11923</v>
      </c>
      <c r="C5296" t="s">
        <v>47</v>
      </c>
      <c r="D5296" t="s">
        <v>12026</v>
      </c>
      <c r="E5296" t="s">
        <v>12026</v>
      </c>
      <c r="F5296" t="s">
        <v>49</v>
      </c>
      <c r="G5296" t="s">
        <v>128</v>
      </c>
      <c r="H5296" t="s">
        <v>12027</v>
      </c>
      <c r="J5296" t="str">
        <f>HYPERLINK("https://www.facebook.com/454965103328545/posts/750017770489942?comment_id=1156396335326939","https://www.facebook.com/454965103328545/posts/750017770489942?comment_id=1156396335326939")</f>
        <v>https://www.facebook.com/454965103328545/posts/750017770489942?comment_id=1156396335326939</v>
      </c>
      <c r="O5296">
        <v>0</v>
      </c>
      <c r="P5296">
        <v>0</v>
      </c>
      <c r="Q5296">
        <v>0</v>
      </c>
      <c r="S5296">
        <v>0</v>
      </c>
      <c r="T5296">
        <v>0</v>
      </c>
      <c r="U5296">
        <v>0</v>
      </c>
      <c r="W5296" t="s">
        <v>62</v>
      </c>
    </row>
    <row r="5297" spans="1:42" x14ac:dyDescent="0.35">
      <c r="A5297" t="s">
        <v>45</v>
      </c>
      <c r="B5297" t="s">
        <v>11923</v>
      </c>
      <c r="C5297" t="s">
        <v>139</v>
      </c>
      <c r="D5297" t="s">
        <v>12028</v>
      </c>
      <c r="E5297" t="s">
        <v>12029</v>
      </c>
      <c r="F5297" t="s">
        <v>76</v>
      </c>
      <c r="G5297" t="s">
        <v>12030</v>
      </c>
      <c r="H5297" t="s">
        <v>12031</v>
      </c>
      <c r="J5297" t="str">
        <f>HYPERLINK("https://twitter.com/indiariroo43151/status/1745241647623844288","https://twitter.com/indiariroo43151/status/1745241647623844288")</f>
        <v>https://twitter.com/indiariroo43151/status/1745241647623844288</v>
      </c>
      <c r="O5297">
        <v>0</v>
      </c>
      <c r="P5297">
        <v>0</v>
      </c>
      <c r="Q5297">
        <v>0</v>
      </c>
      <c r="S5297">
        <v>0</v>
      </c>
      <c r="T5297">
        <v>0</v>
      </c>
      <c r="U5297">
        <v>0</v>
      </c>
      <c r="W5297" t="s">
        <v>146</v>
      </c>
    </row>
    <row r="5298" spans="1:42" x14ac:dyDescent="0.35">
      <c r="A5298" t="s">
        <v>45</v>
      </c>
      <c r="B5298" t="s">
        <v>11923</v>
      </c>
      <c r="C5298" t="s">
        <v>139</v>
      </c>
      <c r="D5298" t="s">
        <v>12032</v>
      </c>
      <c r="E5298" t="s">
        <v>12033</v>
      </c>
      <c r="F5298" t="s">
        <v>49</v>
      </c>
      <c r="G5298" t="s">
        <v>12034</v>
      </c>
      <c r="H5298" t="s">
        <v>12035</v>
      </c>
      <c r="J5298" t="str">
        <f>HYPERLINK("https://twitter.com/NavjeevanExp/status/1745157636373512264","https://twitter.com/NavjeevanExp/status/1745157636373512264")</f>
        <v>https://twitter.com/NavjeevanExp/status/1745157636373512264</v>
      </c>
      <c r="K5298" t="s">
        <v>145</v>
      </c>
      <c r="O5298">
        <v>0</v>
      </c>
      <c r="P5298">
        <v>0</v>
      </c>
      <c r="Q5298">
        <v>219</v>
      </c>
      <c r="S5298">
        <v>0</v>
      </c>
      <c r="T5298">
        <v>0</v>
      </c>
      <c r="U5298">
        <v>0</v>
      </c>
      <c r="W5298" t="s">
        <v>146</v>
      </c>
    </row>
    <row r="5299" spans="1:42" x14ac:dyDescent="0.35">
      <c r="A5299" t="s">
        <v>45</v>
      </c>
      <c r="B5299" t="s">
        <v>12036</v>
      </c>
      <c r="C5299" t="s">
        <v>58</v>
      </c>
      <c r="D5299" t="s">
        <v>540</v>
      </c>
      <c r="E5299" t="s">
        <v>540</v>
      </c>
      <c r="F5299" t="s">
        <v>49</v>
      </c>
      <c r="G5299" t="s">
        <v>12037</v>
      </c>
      <c r="H5299" t="s">
        <v>12038</v>
      </c>
      <c r="J5299" t="str">
        <f>HYPERLINK("https://www.youtube.com/watch?v=hgFJrRT6To4","https://www.youtube.com/watch?v=hgFJrRT6To4")</f>
        <v>https://www.youtube.com/watch?v=hgFJrRT6To4</v>
      </c>
      <c r="O5299">
        <v>0</v>
      </c>
      <c r="P5299">
        <v>0</v>
      </c>
      <c r="Q5299">
        <v>0</v>
      </c>
      <c r="S5299">
        <v>0</v>
      </c>
      <c r="T5299">
        <v>0</v>
      </c>
      <c r="U5299">
        <v>0</v>
      </c>
      <c r="W5299" t="s">
        <v>106</v>
      </c>
    </row>
    <row r="5300" spans="1:42" x14ac:dyDescent="0.35">
      <c r="A5300" t="s">
        <v>45</v>
      </c>
      <c r="B5300" t="s">
        <v>12036</v>
      </c>
      <c r="C5300" t="s">
        <v>58</v>
      </c>
      <c r="D5300" t="s">
        <v>540</v>
      </c>
      <c r="E5300" t="s">
        <v>540</v>
      </c>
      <c r="F5300" t="s">
        <v>49</v>
      </c>
      <c r="G5300" t="s">
        <v>12037</v>
      </c>
      <c r="H5300" t="s">
        <v>12039</v>
      </c>
      <c r="J5300" t="str">
        <f>HYPERLINK("https://www.youtube.com/watch?v=ZKWeGfcJRWk","https://www.youtube.com/watch?v=ZKWeGfcJRWk")</f>
        <v>https://www.youtube.com/watch?v=ZKWeGfcJRWk</v>
      </c>
      <c r="O5300">
        <v>0</v>
      </c>
      <c r="P5300">
        <v>0</v>
      </c>
      <c r="Q5300">
        <v>0</v>
      </c>
      <c r="S5300">
        <v>0</v>
      </c>
      <c r="T5300">
        <v>0</v>
      </c>
      <c r="U5300">
        <v>0</v>
      </c>
      <c r="W5300" t="s">
        <v>106</v>
      </c>
    </row>
    <row r="5301" spans="1:42" x14ac:dyDescent="0.35">
      <c r="A5301" t="s">
        <v>45</v>
      </c>
      <c r="B5301" t="s">
        <v>12036</v>
      </c>
      <c r="C5301" t="s">
        <v>58</v>
      </c>
      <c r="D5301" t="s">
        <v>12040</v>
      </c>
      <c r="E5301" t="s">
        <v>12040</v>
      </c>
      <c r="F5301" t="s">
        <v>49</v>
      </c>
      <c r="G5301" t="s">
        <v>12041</v>
      </c>
      <c r="H5301" t="s">
        <v>12042</v>
      </c>
      <c r="J5301" t="str">
        <f>HYPERLINK("https://www.youtube.com/watch?v=7sUambYwZXs","https://www.youtube.com/watch?v=7sUambYwZXs")</f>
        <v>https://www.youtube.com/watch?v=7sUambYwZXs</v>
      </c>
      <c r="O5301">
        <v>0</v>
      </c>
      <c r="P5301">
        <v>0</v>
      </c>
      <c r="Q5301">
        <v>0</v>
      </c>
      <c r="S5301">
        <v>0</v>
      </c>
      <c r="T5301">
        <v>0</v>
      </c>
      <c r="U5301">
        <v>0</v>
      </c>
      <c r="W5301" t="s">
        <v>106</v>
      </c>
    </row>
    <row r="5302" spans="1:42" x14ac:dyDescent="0.35">
      <c r="A5302" t="s">
        <v>45</v>
      </c>
      <c r="B5302" t="s">
        <v>12036</v>
      </c>
      <c r="C5302" t="s">
        <v>58</v>
      </c>
      <c r="D5302" t="s">
        <v>12043</v>
      </c>
      <c r="E5302" t="s">
        <v>12043</v>
      </c>
      <c r="F5302" t="s">
        <v>49</v>
      </c>
      <c r="G5302" t="s">
        <v>12044</v>
      </c>
      <c r="H5302" t="s">
        <v>12045</v>
      </c>
      <c r="J5302" t="str">
        <f>HYPERLINK("https://www.youtube.com/watch?v=yNBkqr8f8uU&amp;lc=UgxcXYfyMC7uXXO_zYJ4AaABAg","https://www.youtube.com/watch?v=yNBkqr8f8uU&amp;lc=UgxcXYfyMC7uXXO_zYJ4AaABAg")</f>
        <v>https://www.youtube.com/watch?v=yNBkqr8f8uU&amp;lc=UgxcXYfyMC7uXXO_zYJ4AaABAg</v>
      </c>
      <c r="O5302">
        <v>0</v>
      </c>
      <c r="P5302">
        <v>0</v>
      </c>
      <c r="Q5302">
        <v>0</v>
      </c>
      <c r="S5302">
        <v>0</v>
      </c>
      <c r="T5302">
        <v>0</v>
      </c>
      <c r="U5302">
        <v>0</v>
      </c>
      <c r="W5302" t="s">
        <v>62</v>
      </c>
      <c r="AP5302" t="s">
        <v>101</v>
      </c>
    </row>
    <row r="5303" spans="1:42" x14ac:dyDescent="0.35">
      <c r="A5303" t="s">
        <v>45</v>
      </c>
      <c r="B5303" t="s">
        <v>12036</v>
      </c>
      <c r="C5303" t="s">
        <v>58</v>
      </c>
      <c r="D5303" t="s">
        <v>12043</v>
      </c>
      <c r="E5303" t="s">
        <v>12043</v>
      </c>
      <c r="F5303" t="s">
        <v>49</v>
      </c>
      <c r="G5303" t="s">
        <v>2648</v>
      </c>
      <c r="H5303" t="s">
        <v>12046</v>
      </c>
      <c r="J5303" t="str">
        <f>HYPERLINK("https://www.youtube.com/watch?v=yNBkqr8f8uU&amp;lc=Ugy68tfSjf_C9biPxB14AaABAg","https://www.youtube.com/watch?v=yNBkqr8f8uU&amp;lc=Ugy68tfSjf_C9biPxB14AaABAg")</f>
        <v>https://www.youtube.com/watch?v=yNBkqr8f8uU&amp;lc=Ugy68tfSjf_C9biPxB14AaABAg</v>
      </c>
      <c r="O5303">
        <v>0</v>
      </c>
      <c r="P5303">
        <v>0</v>
      </c>
      <c r="Q5303">
        <v>0</v>
      </c>
      <c r="S5303">
        <v>0</v>
      </c>
      <c r="T5303">
        <v>0</v>
      </c>
      <c r="U5303">
        <v>0</v>
      </c>
      <c r="W5303" t="s">
        <v>62</v>
      </c>
    </row>
    <row r="5304" spans="1:42" x14ac:dyDescent="0.35">
      <c r="A5304" t="s">
        <v>45</v>
      </c>
      <c r="B5304" t="s">
        <v>12036</v>
      </c>
      <c r="C5304" t="s">
        <v>139</v>
      </c>
      <c r="D5304" t="s">
        <v>12047</v>
      </c>
      <c r="E5304" t="s">
        <v>12048</v>
      </c>
      <c r="F5304" t="s">
        <v>142</v>
      </c>
      <c r="G5304" t="s">
        <v>12049</v>
      </c>
      <c r="H5304" t="s">
        <v>12050</v>
      </c>
      <c r="J5304" t="str">
        <f>HYPERLINK("https://twitter.com/MdShamsad7860/status/1745128460874571777","https://twitter.com/MdShamsad7860/status/1745128460874571777")</f>
        <v>https://twitter.com/MdShamsad7860/status/1745128460874571777</v>
      </c>
      <c r="K5304" t="s">
        <v>145</v>
      </c>
      <c r="O5304">
        <v>0</v>
      </c>
      <c r="P5304">
        <v>0</v>
      </c>
      <c r="Q5304">
        <v>0</v>
      </c>
      <c r="S5304">
        <v>0</v>
      </c>
      <c r="T5304">
        <v>0</v>
      </c>
      <c r="U5304">
        <v>0</v>
      </c>
      <c r="W5304" t="s">
        <v>146</v>
      </c>
    </row>
    <row r="5305" spans="1:42" x14ac:dyDescent="0.35">
      <c r="A5305" t="s">
        <v>45</v>
      </c>
      <c r="B5305" t="s">
        <v>12036</v>
      </c>
      <c r="C5305" t="s">
        <v>47</v>
      </c>
      <c r="D5305" t="s">
        <v>1512</v>
      </c>
      <c r="E5305" t="s">
        <v>1512</v>
      </c>
      <c r="F5305" t="s">
        <v>49</v>
      </c>
      <c r="G5305" t="s">
        <v>1513</v>
      </c>
      <c r="H5305" t="s">
        <v>12051</v>
      </c>
      <c r="J5305" t="str">
        <f>HYPERLINK("https://www.facebook.com/454965103328545/posts/750037770487942?comment_id=749491013318069","https://www.facebook.com/454965103328545/posts/750037770487942?comment_id=749491013318069")</f>
        <v>https://www.facebook.com/454965103328545/posts/750037770487942?comment_id=749491013318069</v>
      </c>
      <c r="O5305">
        <v>0</v>
      </c>
      <c r="P5305">
        <v>0</v>
      </c>
      <c r="Q5305">
        <v>0</v>
      </c>
      <c r="S5305">
        <v>0</v>
      </c>
      <c r="T5305">
        <v>0</v>
      </c>
      <c r="U5305">
        <v>0</v>
      </c>
      <c r="W5305" t="s">
        <v>62</v>
      </c>
    </row>
    <row r="5306" spans="1:42" x14ac:dyDescent="0.35">
      <c r="A5306" t="s">
        <v>45</v>
      </c>
      <c r="B5306" t="s">
        <v>12036</v>
      </c>
      <c r="C5306" t="s">
        <v>139</v>
      </c>
      <c r="D5306" t="s">
        <v>12047</v>
      </c>
      <c r="E5306" t="s">
        <v>12048</v>
      </c>
      <c r="F5306" t="s">
        <v>142</v>
      </c>
      <c r="G5306" t="s">
        <v>12052</v>
      </c>
      <c r="H5306" t="s">
        <v>12053</v>
      </c>
      <c r="J5306" t="str">
        <f>HYPERLINK("https://twitter.com/MdShamsad7860/status/1745125144488820931","https://twitter.com/MdShamsad7860/status/1745125144488820931")</f>
        <v>https://twitter.com/MdShamsad7860/status/1745125144488820931</v>
      </c>
      <c r="K5306" t="s">
        <v>145</v>
      </c>
      <c r="O5306">
        <v>0</v>
      </c>
      <c r="P5306">
        <v>0</v>
      </c>
      <c r="Q5306">
        <v>0</v>
      </c>
      <c r="S5306">
        <v>0</v>
      </c>
      <c r="T5306">
        <v>0</v>
      </c>
      <c r="U5306">
        <v>0</v>
      </c>
      <c r="W5306" t="s">
        <v>146</v>
      </c>
    </row>
    <row r="5307" spans="1:42" x14ac:dyDescent="0.35">
      <c r="A5307" t="s">
        <v>45</v>
      </c>
      <c r="B5307" t="s">
        <v>12036</v>
      </c>
      <c r="C5307" t="s">
        <v>139</v>
      </c>
      <c r="D5307" t="s">
        <v>12054</v>
      </c>
      <c r="E5307" t="s">
        <v>12055</v>
      </c>
      <c r="F5307" t="s">
        <v>142</v>
      </c>
      <c r="G5307" t="s">
        <v>12056</v>
      </c>
      <c r="H5307" t="s">
        <v>12057</v>
      </c>
      <c r="J5307" t="str">
        <f>HYPERLINK("https://twitter.com/ShabinaSha92231/status/1745121585743470763","https://twitter.com/ShabinaSha92231/status/1745121585743470763")</f>
        <v>https://twitter.com/ShabinaSha92231/status/1745121585743470763</v>
      </c>
      <c r="K5307" t="s">
        <v>1769</v>
      </c>
      <c r="O5307">
        <v>0</v>
      </c>
      <c r="P5307">
        <v>0</v>
      </c>
      <c r="Q5307">
        <v>0</v>
      </c>
      <c r="S5307">
        <v>0</v>
      </c>
      <c r="T5307">
        <v>0</v>
      </c>
      <c r="U5307">
        <v>0</v>
      </c>
      <c r="W5307" t="s">
        <v>146</v>
      </c>
      <c r="AP5307" t="s">
        <v>147</v>
      </c>
    </row>
    <row r="5308" spans="1:42" x14ac:dyDescent="0.35">
      <c r="A5308" t="s">
        <v>45</v>
      </c>
      <c r="B5308" t="s">
        <v>12036</v>
      </c>
      <c r="C5308" t="s">
        <v>47</v>
      </c>
      <c r="D5308" t="s">
        <v>12058</v>
      </c>
      <c r="E5308" t="s">
        <v>12058</v>
      </c>
      <c r="F5308" t="s">
        <v>49</v>
      </c>
      <c r="G5308" t="s">
        <v>12059</v>
      </c>
      <c r="H5308" t="s">
        <v>12060</v>
      </c>
      <c r="J5308" t="str">
        <f>HYPERLINK("https://www.facebook.com/357267201017935/posts/3472879966123294/?comment_id=1104311170586390&amp;reply_comment_id=1541580066639339","https://www.facebook.com/357267201017935/posts/3472879966123294/?comment_id=1104311170586390&amp;reply_comment_id=1541580066639339")</f>
        <v>https://www.facebook.com/357267201017935/posts/3472879966123294/?comment_id=1104311170586390&amp;reply_comment_id=1541580066639339</v>
      </c>
      <c r="O5308">
        <v>0</v>
      </c>
      <c r="P5308">
        <v>0</v>
      </c>
      <c r="Q5308">
        <v>0</v>
      </c>
      <c r="S5308">
        <v>0</v>
      </c>
      <c r="T5308">
        <v>0</v>
      </c>
      <c r="U5308">
        <v>0</v>
      </c>
      <c r="W5308" t="s">
        <v>62</v>
      </c>
      <c r="AP5308" t="s">
        <v>94</v>
      </c>
    </row>
    <row r="5309" spans="1:42" x14ac:dyDescent="0.35">
      <c r="A5309" t="s">
        <v>45</v>
      </c>
      <c r="B5309" t="s">
        <v>12036</v>
      </c>
      <c r="C5309" t="s">
        <v>139</v>
      </c>
      <c r="D5309" t="s">
        <v>12061</v>
      </c>
      <c r="E5309" t="s">
        <v>12062</v>
      </c>
      <c r="F5309" t="s">
        <v>49</v>
      </c>
      <c r="G5309" t="s">
        <v>12063</v>
      </c>
      <c r="H5309" t="s">
        <v>12064</v>
      </c>
      <c r="J5309" t="str">
        <f>HYPERLINK("https://twitter.com/shivesh8190/status/1745113051014316203","https://twitter.com/shivesh8190/status/1745113051014316203")</f>
        <v>https://twitter.com/shivesh8190/status/1745113051014316203</v>
      </c>
      <c r="K5309" t="s">
        <v>145</v>
      </c>
      <c r="O5309">
        <v>0</v>
      </c>
      <c r="P5309">
        <v>0</v>
      </c>
      <c r="Q5309">
        <v>232</v>
      </c>
      <c r="R5309" t="s">
        <v>1810</v>
      </c>
      <c r="S5309">
        <v>0</v>
      </c>
      <c r="T5309">
        <v>0</v>
      </c>
      <c r="U5309">
        <v>0</v>
      </c>
      <c r="W5309" t="s">
        <v>146</v>
      </c>
      <c r="AP5309" t="s">
        <v>147</v>
      </c>
    </row>
    <row r="5310" spans="1:42" x14ac:dyDescent="0.35">
      <c r="A5310" t="s">
        <v>45</v>
      </c>
      <c r="B5310" t="s">
        <v>12036</v>
      </c>
      <c r="C5310" t="s">
        <v>139</v>
      </c>
      <c r="D5310" t="s">
        <v>12065</v>
      </c>
      <c r="E5310" t="s">
        <v>12066</v>
      </c>
      <c r="F5310" t="s">
        <v>142</v>
      </c>
      <c r="G5310" t="s">
        <v>12067</v>
      </c>
      <c r="H5310" t="s">
        <v>12068</v>
      </c>
      <c r="J5310" t="str">
        <f>HYPERLINK("https://twitter.com/nitishlucky133/status/1745082298020573383","https://twitter.com/nitishlucky133/status/1745082298020573383")</f>
        <v>https://twitter.com/nitishlucky133/status/1745082298020573383</v>
      </c>
      <c r="O5310">
        <v>0</v>
      </c>
      <c r="P5310">
        <v>0</v>
      </c>
      <c r="Q5310">
        <v>1</v>
      </c>
      <c r="S5310">
        <v>0</v>
      </c>
      <c r="T5310">
        <v>0</v>
      </c>
      <c r="U5310">
        <v>0</v>
      </c>
      <c r="W5310" t="s">
        <v>146</v>
      </c>
      <c r="AP5310" t="s">
        <v>147</v>
      </c>
    </row>
    <row r="5311" spans="1:42" x14ac:dyDescent="0.35">
      <c r="A5311" t="s">
        <v>45</v>
      </c>
      <c r="B5311" t="s">
        <v>12036</v>
      </c>
      <c r="C5311" t="s">
        <v>139</v>
      </c>
      <c r="D5311" t="s">
        <v>12069</v>
      </c>
      <c r="E5311" t="s">
        <v>12070</v>
      </c>
      <c r="F5311" t="s">
        <v>49</v>
      </c>
      <c r="G5311" t="s">
        <v>12071</v>
      </c>
      <c r="H5311" t="s">
        <v>12072</v>
      </c>
      <c r="J5311" t="str">
        <f>HYPERLINK("https://twitter.com/dinDeth274112/status/1745082263589523864","https://twitter.com/dinDeth274112/status/1745082263589523864")</f>
        <v>https://twitter.com/dinDeth274112/status/1745082263589523864</v>
      </c>
      <c r="O5311">
        <v>0</v>
      </c>
      <c r="P5311">
        <v>0</v>
      </c>
      <c r="Q5311">
        <v>0</v>
      </c>
      <c r="R5311" t="s">
        <v>12073</v>
      </c>
      <c r="S5311">
        <v>0</v>
      </c>
      <c r="T5311">
        <v>0</v>
      </c>
      <c r="U5311">
        <v>0</v>
      </c>
      <c r="W5311" t="s">
        <v>146</v>
      </c>
    </row>
    <row r="5312" spans="1:42" x14ac:dyDescent="0.35">
      <c r="A5312" t="s">
        <v>45</v>
      </c>
      <c r="B5312" t="s">
        <v>12036</v>
      </c>
      <c r="C5312" t="s">
        <v>139</v>
      </c>
      <c r="D5312" t="s">
        <v>12065</v>
      </c>
      <c r="E5312" t="s">
        <v>12066</v>
      </c>
      <c r="F5312" t="s">
        <v>76</v>
      </c>
      <c r="G5312" t="s">
        <v>12074</v>
      </c>
      <c r="H5312" t="s">
        <v>12075</v>
      </c>
      <c r="J5312" t="str">
        <f>HYPERLINK("https://twitter.com/nitishlucky133/status/1745082234766287202","https://twitter.com/nitishlucky133/status/1745082234766287202")</f>
        <v>https://twitter.com/nitishlucky133/status/1745082234766287202</v>
      </c>
      <c r="O5312">
        <v>0</v>
      </c>
      <c r="P5312">
        <v>0</v>
      </c>
      <c r="Q5312">
        <v>1</v>
      </c>
      <c r="S5312">
        <v>0</v>
      </c>
      <c r="T5312">
        <v>0</v>
      </c>
      <c r="U5312">
        <v>0</v>
      </c>
      <c r="W5312" t="s">
        <v>146</v>
      </c>
      <c r="AP5312" t="s">
        <v>101</v>
      </c>
    </row>
    <row r="5313" spans="1:42" x14ac:dyDescent="0.35">
      <c r="A5313" t="s">
        <v>45</v>
      </c>
      <c r="B5313" t="s">
        <v>12036</v>
      </c>
      <c r="C5313" t="s">
        <v>139</v>
      </c>
      <c r="D5313" t="s">
        <v>12076</v>
      </c>
      <c r="E5313" t="s">
        <v>12077</v>
      </c>
      <c r="F5313" t="s">
        <v>49</v>
      </c>
      <c r="G5313" t="s">
        <v>12078</v>
      </c>
      <c r="H5313" t="s">
        <v>12079</v>
      </c>
      <c r="J5313" t="str">
        <f>HYPERLINK("https://twitter.com/chennaipresnews/status/1745075529546416194","https://twitter.com/chennaipresnews/status/1745075529546416194")</f>
        <v>https://twitter.com/chennaipresnews/status/1745075529546416194</v>
      </c>
      <c r="O5313">
        <v>0</v>
      </c>
      <c r="P5313">
        <v>0</v>
      </c>
      <c r="Q5313">
        <v>574</v>
      </c>
      <c r="R5313" t="s">
        <v>2766</v>
      </c>
      <c r="S5313">
        <v>0</v>
      </c>
      <c r="T5313">
        <v>0</v>
      </c>
      <c r="U5313">
        <v>0</v>
      </c>
      <c r="W5313" t="s">
        <v>146</v>
      </c>
    </row>
    <row r="5314" spans="1:42" x14ac:dyDescent="0.35">
      <c r="A5314" t="s">
        <v>45</v>
      </c>
      <c r="B5314" t="s">
        <v>12036</v>
      </c>
      <c r="C5314" t="s">
        <v>58</v>
      </c>
      <c r="D5314" t="s">
        <v>12080</v>
      </c>
      <c r="E5314" t="s">
        <v>12080</v>
      </c>
      <c r="F5314" t="s">
        <v>49</v>
      </c>
      <c r="G5314" t="s">
        <v>12081</v>
      </c>
      <c r="H5314" t="s">
        <v>12082</v>
      </c>
      <c r="J5314" t="str">
        <f>HYPERLINK("https://www.youtube.com/watch?v=cmFUaJ5pYEs","https://www.youtube.com/watch?v=cmFUaJ5pYEs")</f>
        <v>https://www.youtube.com/watch?v=cmFUaJ5pYEs</v>
      </c>
      <c r="O5314">
        <v>0</v>
      </c>
      <c r="P5314">
        <v>0</v>
      </c>
      <c r="Q5314">
        <v>0</v>
      </c>
      <c r="S5314">
        <v>0</v>
      </c>
      <c r="T5314">
        <v>0</v>
      </c>
      <c r="U5314">
        <v>0</v>
      </c>
      <c r="W5314" t="s">
        <v>106</v>
      </c>
    </row>
    <row r="5315" spans="1:42" x14ac:dyDescent="0.35">
      <c r="A5315" t="s">
        <v>45</v>
      </c>
      <c r="B5315" t="s">
        <v>12036</v>
      </c>
      <c r="C5315" t="s">
        <v>58</v>
      </c>
      <c r="D5315" t="s">
        <v>2448</v>
      </c>
      <c r="E5315" t="s">
        <v>2448</v>
      </c>
      <c r="F5315" t="s">
        <v>49</v>
      </c>
      <c r="G5315" t="s">
        <v>2449</v>
      </c>
      <c r="H5315" t="s">
        <v>12083</v>
      </c>
      <c r="J5315" t="str">
        <f>HYPERLINK("https://www.youtube.com/watch?v=9u1ePuCwGpA","https://www.youtube.com/watch?v=9u1ePuCwGpA")</f>
        <v>https://www.youtube.com/watch?v=9u1ePuCwGpA</v>
      </c>
      <c r="O5315">
        <v>0</v>
      </c>
      <c r="P5315">
        <v>0</v>
      </c>
      <c r="Q5315">
        <v>0</v>
      </c>
      <c r="S5315">
        <v>0</v>
      </c>
      <c r="T5315">
        <v>0</v>
      </c>
      <c r="U5315">
        <v>0</v>
      </c>
      <c r="W5315" t="s">
        <v>106</v>
      </c>
    </row>
    <row r="5316" spans="1:42" x14ac:dyDescent="0.35">
      <c r="A5316" t="s">
        <v>45</v>
      </c>
      <c r="B5316" t="s">
        <v>12036</v>
      </c>
      <c r="C5316" t="s">
        <v>139</v>
      </c>
      <c r="D5316" t="s">
        <v>11267</v>
      </c>
      <c r="E5316" t="s">
        <v>11268</v>
      </c>
      <c r="F5316" t="s">
        <v>49</v>
      </c>
      <c r="G5316" t="s">
        <v>12084</v>
      </c>
      <c r="H5316" t="s">
        <v>12085</v>
      </c>
      <c r="J5316" t="str">
        <f>HYPERLINK("https://twitter.com/autodidact_arya/status/1745047206661689821","https://twitter.com/autodidact_arya/status/1745047206661689821")</f>
        <v>https://twitter.com/autodidact_arya/status/1745047206661689821</v>
      </c>
      <c r="O5316">
        <v>0</v>
      </c>
      <c r="P5316">
        <v>0</v>
      </c>
      <c r="Q5316">
        <v>110</v>
      </c>
      <c r="R5316" t="s">
        <v>11748</v>
      </c>
      <c r="S5316">
        <v>0</v>
      </c>
      <c r="T5316">
        <v>0</v>
      </c>
      <c r="U5316">
        <v>0</v>
      </c>
      <c r="W5316" t="s">
        <v>552</v>
      </c>
    </row>
    <row r="5317" spans="1:42" x14ac:dyDescent="0.35">
      <c r="A5317" t="s">
        <v>45</v>
      </c>
      <c r="B5317" t="s">
        <v>12036</v>
      </c>
      <c r="C5317" t="s">
        <v>47</v>
      </c>
      <c r="D5317" t="s">
        <v>45</v>
      </c>
      <c r="E5317" t="s">
        <v>45</v>
      </c>
      <c r="F5317" t="s">
        <v>49</v>
      </c>
      <c r="G5317" t="s">
        <v>12058</v>
      </c>
      <c r="H5317" t="s">
        <v>12086</v>
      </c>
      <c r="J5317" t="str">
        <f>HYPERLINK("https://www.facebook.com/357267201017935/posts/3472879966123294/?comment_id=1104311170586390&amp;reply_comment_id=386447230444141","https://www.facebook.com/357267201017935/posts/3472879966123294/?comment_id=1104311170586390&amp;reply_comment_id=386447230444141")</f>
        <v>https://www.facebook.com/357267201017935/posts/3472879966123294/?comment_id=1104311170586390&amp;reply_comment_id=386447230444141</v>
      </c>
      <c r="O5317">
        <v>0</v>
      </c>
      <c r="P5317">
        <v>0</v>
      </c>
      <c r="Q5317">
        <v>0</v>
      </c>
      <c r="S5317">
        <v>0</v>
      </c>
      <c r="T5317">
        <v>0</v>
      </c>
      <c r="U5317">
        <v>0</v>
      </c>
      <c r="W5317" t="s">
        <v>62</v>
      </c>
    </row>
    <row r="5318" spans="1:42" x14ac:dyDescent="0.35">
      <c r="A5318" t="s">
        <v>45</v>
      </c>
      <c r="B5318" t="s">
        <v>12036</v>
      </c>
      <c r="C5318" t="s">
        <v>47</v>
      </c>
      <c r="D5318" t="s">
        <v>45</v>
      </c>
      <c r="E5318" t="s">
        <v>45</v>
      </c>
      <c r="F5318" t="s">
        <v>49</v>
      </c>
      <c r="G5318" t="s">
        <v>12087</v>
      </c>
      <c r="H5318" t="s">
        <v>12088</v>
      </c>
      <c r="J5318" t="str">
        <f>HYPERLINK("https://www.facebook.com/357267201017935/posts/3472879966123294/?comment_id=1080378493114167&amp;reply_comment_id=1415678202363882","https://www.facebook.com/357267201017935/posts/3472879966123294/?comment_id=1080378493114167&amp;reply_comment_id=1415678202363882")</f>
        <v>https://www.facebook.com/357267201017935/posts/3472879966123294/?comment_id=1080378493114167&amp;reply_comment_id=1415678202363882</v>
      </c>
      <c r="O5318">
        <v>0</v>
      </c>
      <c r="P5318">
        <v>0</v>
      </c>
      <c r="Q5318">
        <v>0</v>
      </c>
      <c r="S5318">
        <v>0</v>
      </c>
      <c r="T5318">
        <v>0</v>
      </c>
      <c r="U5318">
        <v>0</v>
      </c>
      <c r="W5318" t="s">
        <v>62</v>
      </c>
    </row>
    <row r="5319" spans="1:42" x14ac:dyDescent="0.35">
      <c r="A5319" t="s">
        <v>45</v>
      </c>
      <c r="B5319" t="s">
        <v>12036</v>
      </c>
      <c r="C5319" t="s">
        <v>47</v>
      </c>
      <c r="D5319" t="s">
        <v>45</v>
      </c>
      <c r="E5319" t="s">
        <v>45</v>
      </c>
      <c r="F5319" t="s">
        <v>49</v>
      </c>
      <c r="G5319" t="s">
        <v>12089</v>
      </c>
      <c r="H5319" t="s">
        <v>12090</v>
      </c>
      <c r="J5319" t="str">
        <f>HYPERLINK("https://www.facebook.com/454965103328545/posts/750037770487942?comment_id=1549573939197167&amp;reply_comment_id=1099390091247187","https://www.facebook.com/454965103328545/posts/750037770487942?comment_id=1549573939197167&amp;reply_comment_id=1099390091247187")</f>
        <v>https://www.facebook.com/454965103328545/posts/750037770487942?comment_id=1549573939197167&amp;reply_comment_id=1099390091247187</v>
      </c>
      <c r="O5319">
        <v>0</v>
      </c>
      <c r="P5319">
        <v>0</v>
      </c>
      <c r="Q5319">
        <v>0</v>
      </c>
      <c r="S5319">
        <v>0</v>
      </c>
      <c r="T5319">
        <v>0</v>
      </c>
      <c r="U5319">
        <v>0</v>
      </c>
      <c r="W5319" t="s">
        <v>62</v>
      </c>
    </row>
    <row r="5320" spans="1:42" x14ac:dyDescent="0.35">
      <c r="A5320" t="s">
        <v>45</v>
      </c>
      <c r="B5320" t="s">
        <v>12036</v>
      </c>
      <c r="C5320" t="s">
        <v>47</v>
      </c>
      <c r="D5320" t="s">
        <v>45</v>
      </c>
      <c r="E5320" t="s">
        <v>45</v>
      </c>
      <c r="F5320" t="s">
        <v>49</v>
      </c>
      <c r="G5320" t="s">
        <v>12091</v>
      </c>
      <c r="H5320" t="s">
        <v>12092</v>
      </c>
      <c r="J5320" t="str">
        <f>HYPERLINK("https://www.facebook.com/357267201017935/inbox/6901470986597491/","https://www.facebook.com/357267201017935/inbox/6901470986597491/")</f>
        <v>https://www.facebook.com/357267201017935/inbox/6901470986597491/</v>
      </c>
      <c r="O5320">
        <v>0</v>
      </c>
      <c r="P5320">
        <v>0</v>
      </c>
      <c r="Q5320">
        <v>0</v>
      </c>
      <c r="S5320">
        <v>0</v>
      </c>
      <c r="T5320">
        <v>0</v>
      </c>
      <c r="U5320">
        <v>0</v>
      </c>
      <c r="W5320" t="s">
        <v>52</v>
      </c>
    </row>
    <row r="5321" spans="1:42" x14ac:dyDescent="0.35">
      <c r="A5321" t="s">
        <v>45</v>
      </c>
      <c r="B5321" t="s">
        <v>12036</v>
      </c>
      <c r="C5321" t="s">
        <v>47</v>
      </c>
      <c r="D5321" t="s">
        <v>45</v>
      </c>
      <c r="E5321" t="s">
        <v>45</v>
      </c>
      <c r="F5321" t="s">
        <v>49</v>
      </c>
      <c r="G5321" t="s">
        <v>12093</v>
      </c>
      <c r="H5321" t="s">
        <v>12094</v>
      </c>
      <c r="J5321" t="str">
        <f>HYPERLINK("https://www.facebook.com/357267201017935/inbox/6903802413031015/","https://www.facebook.com/357267201017935/inbox/6903802413031015/")</f>
        <v>https://www.facebook.com/357267201017935/inbox/6903802413031015/</v>
      </c>
      <c r="O5321">
        <v>0</v>
      </c>
      <c r="P5321">
        <v>0</v>
      </c>
      <c r="Q5321">
        <v>0</v>
      </c>
      <c r="S5321">
        <v>0</v>
      </c>
      <c r="T5321">
        <v>0</v>
      </c>
      <c r="U5321">
        <v>0</v>
      </c>
      <c r="W5321" t="s">
        <v>52</v>
      </c>
    </row>
    <row r="5322" spans="1:42" x14ac:dyDescent="0.35">
      <c r="A5322" t="s">
        <v>45</v>
      </c>
      <c r="B5322" t="s">
        <v>12036</v>
      </c>
      <c r="C5322" t="s">
        <v>139</v>
      </c>
      <c r="D5322" t="s">
        <v>12000</v>
      </c>
      <c r="E5322" t="s">
        <v>12001</v>
      </c>
      <c r="F5322" t="s">
        <v>142</v>
      </c>
      <c r="G5322" t="s">
        <v>12095</v>
      </c>
      <c r="H5322" t="s">
        <v>12096</v>
      </c>
      <c r="J5322" t="str">
        <f>HYPERLINK("https://twitter.com/ajay17474315281/status/1745044160523223312","https://twitter.com/ajay17474315281/status/1745044160523223312")</f>
        <v>https://twitter.com/ajay17474315281/status/1745044160523223312</v>
      </c>
      <c r="K5322" t="s">
        <v>145</v>
      </c>
      <c r="O5322">
        <v>0</v>
      </c>
      <c r="P5322">
        <v>0</v>
      </c>
      <c r="Q5322">
        <v>0</v>
      </c>
      <c r="S5322">
        <v>0</v>
      </c>
      <c r="T5322">
        <v>0</v>
      </c>
      <c r="U5322">
        <v>0</v>
      </c>
      <c r="W5322" t="s">
        <v>146</v>
      </c>
    </row>
    <row r="5323" spans="1:42" x14ac:dyDescent="0.35">
      <c r="A5323" t="s">
        <v>45</v>
      </c>
      <c r="B5323" t="s">
        <v>12036</v>
      </c>
      <c r="C5323" t="s">
        <v>47</v>
      </c>
      <c r="D5323" t="s">
        <v>45</v>
      </c>
      <c r="E5323" t="s">
        <v>45</v>
      </c>
      <c r="F5323" t="s">
        <v>49</v>
      </c>
      <c r="G5323" t="s">
        <v>12097</v>
      </c>
      <c r="H5323" t="s">
        <v>12098</v>
      </c>
      <c r="J5323" t="str">
        <f>HYPERLINK("https://www.facebook.com/357267201017935/inbox/6748241948587063/","https://www.facebook.com/357267201017935/inbox/6748241948587063/")</f>
        <v>https://www.facebook.com/357267201017935/inbox/6748241948587063/</v>
      </c>
      <c r="O5323">
        <v>0</v>
      </c>
      <c r="P5323">
        <v>0</v>
      </c>
      <c r="Q5323">
        <v>0</v>
      </c>
      <c r="S5323">
        <v>0</v>
      </c>
      <c r="T5323">
        <v>0</v>
      </c>
      <c r="U5323">
        <v>0</v>
      </c>
      <c r="W5323" t="s">
        <v>52</v>
      </c>
      <c r="AP5323" t="s">
        <v>101</v>
      </c>
    </row>
    <row r="5324" spans="1:42" x14ac:dyDescent="0.35">
      <c r="A5324" t="s">
        <v>45</v>
      </c>
      <c r="B5324" t="s">
        <v>12036</v>
      </c>
      <c r="C5324" t="s">
        <v>58</v>
      </c>
      <c r="D5324" t="s">
        <v>1240</v>
      </c>
      <c r="E5324" t="s">
        <v>1240</v>
      </c>
      <c r="F5324" t="s">
        <v>49</v>
      </c>
      <c r="G5324" t="s">
        <v>12099</v>
      </c>
      <c r="H5324" t="s">
        <v>12100</v>
      </c>
      <c r="J5324" t="str">
        <f>HYPERLINK("https://www.youtube.com/watch?v=CH8iC0ZX6qI","https://www.youtube.com/watch?v=CH8iC0ZX6qI")</f>
        <v>https://www.youtube.com/watch?v=CH8iC0ZX6qI</v>
      </c>
      <c r="O5324">
        <v>0</v>
      </c>
      <c r="P5324">
        <v>0</v>
      </c>
      <c r="Q5324">
        <v>0</v>
      </c>
      <c r="S5324">
        <v>0</v>
      </c>
      <c r="T5324">
        <v>0</v>
      </c>
      <c r="U5324">
        <v>0</v>
      </c>
      <c r="W5324" t="s">
        <v>106</v>
      </c>
      <c r="AP5324" t="s">
        <v>101</v>
      </c>
    </row>
    <row r="5325" spans="1:42" x14ac:dyDescent="0.35">
      <c r="A5325" t="s">
        <v>45</v>
      </c>
      <c r="B5325" t="s">
        <v>12036</v>
      </c>
      <c r="C5325" t="s">
        <v>139</v>
      </c>
      <c r="D5325" t="s">
        <v>11742</v>
      </c>
      <c r="E5325" t="s">
        <v>11743</v>
      </c>
      <c r="F5325" t="s">
        <v>142</v>
      </c>
      <c r="G5325" t="s">
        <v>12101</v>
      </c>
      <c r="H5325" t="s">
        <v>12102</v>
      </c>
      <c r="J5325" t="str">
        <f>HYPERLINK("https://twitter.com/HDFCBANKCARES__/status/1745020969905975493","https://twitter.com/HDFCBANKCARES__/status/1745020969905975493")</f>
        <v>https://twitter.com/HDFCBANKCARES__/status/1745020969905975493</v>
      </c>
      <c r="K5325" t="s">
        <v>145</v>
      </c>
      <c r="O5325">
        <v>0</v>
      </c>
      <c r="P5325">
        <v>0</v>
      </c>
      <c r="Q5325">
        <v>0</v>
      </c>
      <c r="S5325">
        <v>0</v>
      </c>
      <c r="T5325">
        <v>0</v>
      </c>
      <c r="U5325">
        <v>0</v>
      </c>
      <c r="W5325" t="s">
        <v>146</v>
      </c>
      <c r="AP5325" t="s">
        <v>147</v>
      </c>
    </row>
    <row r="5326" spans="1:42" x14ac:dyDescent="0.35">
      <c r="A5326" t="s">
        <v>45</v>
      </c>
      <c r="B5326" t="s">
        <v>12036</v>
      </c>
      <c r="C5326" t="s">
        <v>139</v>
      </c>
      <c r="D5326" t="s">
        <v>11961</v>
      </c>
      <c r="E5326" t="s">
        <v>11962</v>
      </c>
      <c r="F5326" t="s">
        <v>49</v>
      </c>
      <c r="G5326" t="s">
        <v>12103</v>
      </c>
      <c r="H5326" t="s">
        <v>12104</v>
      </c>
      <c r="J5326" t="str">
        <f>HYPERLINK("https://twitter.com/Sacheti2Sacheti/status/1745020771356074017","https://twitter.com/Sacheti2Sacheti/status/1745020771356074017")</f>
        <v>https://twitter.com/Sacheti2Sacheti/status/1745020771356074017</v>
      </c>
      <c r="K5326" t="s">
        <v>145</v>
      </c>
      <c r="O5326">
        <v>0</v>
      </c>
      <c r="P5326">
        <v>0</v>
      </c>
      <c r="Q5326">
        <v>4</v>
      </c>
      <c r="S5326">
        <v>0</v>
      </c>
      <c r="T5326">
        <v>0</v>
      </c>
      <c r="U5326">
        <v>0</v>
      </c>
      <c r="W5326" t="s">
        <v>146</v>
      </c>
    </row>
    <row r="5327" spans="1:42" x14ac:dyDescent="0.35">
      <c r="A5327" t="s">
        <v>45</v>
      </c>
      <c r="B5327" t="s">
        <v>12036</v>
      </c>
      <c r="C5327" t="s">
        <v>58</v>
      </c>
      <c r="D5327" t="s">
        <v>1569</v>
      </c>
      <c r="E5327" t="s">
        <v>1569</v>
      </c>
      <c r="F5327" t="s">
        <v>49</v>
      </c>
      <c r="G5327" t="s">
        <v>12105</v>
      </c>
      <c r="H5327" t="s">
        <v>12106</v>
      </c>
      <c r="J5327" t="str">
        <f>HYPERLINK("https://www.youtube.com/watch?v=PATGehVngEA","https://www.youtube.com/watch?v=PATGehVngEA")</f>
        <v>https://www.youtube.com/watch?v=PATGehVngEA</v>
      </c>
      <c r="O5327">
        <v>0</v>
      </c>
      <c r="P5327">
        <v>0</v>
      </c>
      <c r="Q5327">
        <v>0</v>
      </c>
      <c r="S5327">
        <v>0</v>
      </c>
      <c r="T5327">
        <v>0</v>
      </c>
      <c r="U5327">
        <v>0</v>
      </c>
      <c r="W5327" t="s">
        <v>106</v>
      </c>
    </row>
    <row r="5328" spans="1:42" x14ac:dyDescent="0.35">
      <c r="A5328" t="s">
        <v>45</v>
      </c>
      <c r="B5328" t="s">
        <v>12036</v>
      </c>
      <c r="C5328" t="s">
        <v>47</v>
      </c>
      <c r="D5328" t="s">
        <v>12107</v>
      </c>
      <c r="E5328" t="s">
        <v>12107</v>
      </c>
      <c r="F5328" t="s">
        <v>49</v>
      </c>
      <c r="G5328" t="s">
        <v>131</v>
      </c>
      <c r="H5328" t="s">
        <v>12108</v>
      </c>
      <c r="J5328" t="str">
        <f>HYPERLINK("https://www.facebook.com/454965103328545/posts/734813295343723?comment_id=1420760111858398","https://www.facebook.com/454965103328545/posts/734813295343723?comment_id=1420760111858398")</f>
        <v>https://www.facebook.com/454965103328545/posts/734813295343723?comment_id=1420760111858398</v>
      </c>
      <c r="O5328">
        <v>0</v>
      </c>
      <c r="P5328">
        <v>0</v>
      </c>
      <c r="Q5328">
        <v>0</v>
      </c>
      <c r="S5328">
        <v>0</v>
      </c>
      <c r="T5328">
        <v>0</v>
      </c>
      <c r="U5328">
        <v>0</v>
      </c>
      <c r="W5328" t="s">
        <v>62</v>
      </c>
    </row>
    <row r="5329" spans="1:45" x14ac:dyDescent="0.35">
      <c r="A5329" t="s">
        <v>45</v>
      </c>
      <c r="B5329" t="s">
        <v>12036</v>
      </c>
      <c r="C5329" t="s">
        <v>139</v>
      </c>
      <c r="D5329" t="s">
        <v>4902</v>
      </c>
      <c r="E5329" t="s">
        <v>4903</v>
      </c>
      <c r="F5329" t="s">
        <v>49</v>
      </c>
      <c r="G5329" t="s">
        <v>12109</v>
      </c>
      <c r="H5329" t="s">
        <v>12110</v>
      </c>
      <c r="J5329" t="str">
        <f>HYPERLINK("https://twitter.com/lovepartner_1/status/1745011547447976076","https://twitter.com/lovepartner_1/status/1745011547447976076")</f>
        <v>https://twitter.com/lovepartner_1/status/1745011547447976076</v>
      </c>
      <c r="K5329" t="s">
        <v>145</v>
      </c>
      <c r="O5329">
        <v>0</v>
      </c>
      <c r="P5329">
        <v>0</v>
      </c>
      <c r="Q5329">
        <v>17</v>
      </c>
      <c r="R5329" t="s">
        <v>4587</v>
      </c>
      <c r="S5329">
        <v>0</v>
      </c>
      <c r="T5329">
        <v>0</v>
      </c>
      <c r="U5329">
        <v>0</v>
      </c>
      <c r="W5329" t="s">
        <v>146</v>
      </c>
    </row>
    <row r="5330" spans="1:45" x14ac:dyDescent="0.35">
      <c r="A5330" t="s">
        <v>45</v>
      </c>
      <c r="B5330" t="s">
        <v>12036</v>
      </c>
      <c r="C5330" t="s">
        <v>139</v>
      </c>
      <c r="D5330" t="s">
        <v>4902</v>
      </c>
      <c r="E5330" t="s">
        <v>4903</v>
      </c>
      <c r="F5330" t="s">
        <v>49</v>
      </c>
      <c r="G5330" t="s">
        <v>12111</v>
      </c>
      <c r="H5330" t="s">
        <v>12112</v>
      </c>
      <c r="J5330" t="str">
        <f>HYPERLINK("https://twitter.com/lovepartner_1/status/1745011446495264808","https://twitter.com/lovepartner_1/status/1745011446495264808")</f>
        <v>https://twitter.com/lovepartner_1/status/1745011446495264808</v>
      </c>
      <c r="K5330" t="s">
        <v>145</v>
      </c>
      <c r="O5330">
        <v>0</v>
      </c>
      <c r="P5330">
        <v>0</v>
      </c>
      <c r="Q5330">
        <v>17</v>
      </c>
      <c r="R5330" t="s">
        <v>4587</v>
      </c>
      <c r="S5330">
        <v>0</v>
      </c>
      <c r="T5330">
        <v>0</v>
      </c>
      <c r="U5330">
        <v>0</v>
      </c>
      <c r="W5330" t="s">
        <v>146</v>
      </c>
    </row>
    <row r="5331" spans="1:45" x14ac:dyDescent="0.35">
      <c r="A5331" t="s">
        <v>45</v>
      </c>
      <c r="B5331" t="s">
        <v>12036</v>
      </c>
      <c r="C5331" t="s">
        <v>139</v>
      </c>
      <c r="D5331" t="s">
        <v>4902</v>
      </c>
      <c r="E5331" t="s">
        <v>4903</v>
      </c>
      <c r="F5331" t="s">
        <v>49</v>
      </c>
      <c r="G5331" t="s">
        <v>12113</v>
      </c>
      <c r="H5331" t="s">
        <v>12114</v>
      </c>
      <c r="J5331" t="str">
        <f>HYPERLINK("https://twitter.com/lovepartner_1/status/1745011403801382928","https://twitter.com/lovepartner_1/status/1745011403801382928")</f>
        <v>https://twitter.com/lovepartner_1/status/1745011403801382928</v>
      </c>
      <c r="K5331" t="s">
        <v>145</v>
      </c>
      <c r="O5331">
        <v>0</v>
      </c>
      <c r="P5331">
        <v>0</v>
      </c>
      <c r="Q5331">
        <v>17</v>
      </c>
      <c r="R5331" t="s">
        <v>4587</v>
      </c>
      <c r="S5331">
        <v>0</v>
      </c>
      <c r="T5331">
        <v>0</v>
      </c>
      <c r="U5331">
        <v>0</v>
      </c>
      <c r="W5331" t="s">
        <v>146</v>
      </c>
    </row>
    <row r="5332" spans="1:45" x14ac:dyDescent="0.35">
      <c r="A5332" t="s">
        <v>45</v>
      </c>
      <c r="B5332" t="s">
        <v>12036</v>
      </c>
      <c r="C5332" t="s">
        <v>47</v>
      </c>
      <c r="D5332" t="s">
        <v>4372</v>
      </c>
      <c r="E5332" t="s">
        <v>4372</v>
      </c>
      <c r="F5332" t="s">
        <v>76</v>
      </c>
      <c r="G5332" t="s">
        <v>12115</v>
      </c>
      <c r="H5332" t="s">
        <v>12116</v>
      </c>
      <c r="J5332" t="str">
        <f>HYPERLINK("https://www.facebook.com/794745002665488/posts/809132684560053","https://www.facebook.com/794745002665488/posts/809132684560053")</f>
        <v>https://www.facebook.com/794745002665488/posts/809132684560053</v>
      </c>
      <c r="O5332">
        <v>0</v>
      </c>
      <c r="P5332">
        <v>0</v>
      </c>
      <c r="Q5332">
        <v>0</v>
      </c>
      <c r="S5332">
        <v>0</v>
      </c>
      <c r="T5332">
        <v>0</v>
      </c>
      <c r="U5332">
        <v>0</v>
      </c>
      <c r="W5332" t="s">
        <v>106</v>
      </c>
    </row>
    <row r="5333" spans="1:45" x14ac:dyDescent="0.35">
      <c r="A5333" t="s">
        <v>45</v>
      </c>
      <c r="B5333" t="s">
        <v>12036</v>
      </c>
      <c r="C5333" t="s">
        <v>139</v>
      </c>
      <c r="D5333" t="s">
        <v>4902</v>
      </c>
      <c r="E5333" t="s">
        <v>4903</v>
      </c>
      <c r="F5333" t="s">
        <v>49</v>
      </c>
      <c r="G5333" t="s">
        <v>12117</v>
      </c>
      <c r="H5333" t="s">
        <v>12118</v>
      </c>
      <c r="J5333" t="str">
        <f>HYPERLINK("https://twitter.com/lovepartner_1/status/1744991411882053838","https://twitter.com/lovepartner_1/status/1744991411882053838")</f>
        <v>https://twitter.com/lovepartner_1/status/1744991411882053838</v>
      </c>
      <c r="K5333" t="s">
        <v>145</v>
      </c>
      <c r="O5333">
        <v>0</v>
      </c>
      <c r="P5333">
        <v>0</v>
      </c>
      <c r="Q5333">
        <v>17</v>
      </c>
      <c r="R5333" t="s">
        <v>4587</v>
      </c>
      <c r="S5333">
        <v>0</v>
      </c>
      <c r="T5333">
        <v>0</v>
      </c>
      <c r="U5333">
        <v>0</v>
      </c>
      <c r="W5333" t="s">
        <v>146</v>
      </c>
    </row>
    <row r="5334" spans="1:45" x14ac:dyDescent="0.35">
      <c r="A5334" t="s">
        <v>45</v>
      </c>
      <c r="B5334" t="s">
        <v>12036</v>
      </c>
      <c r="C5334" t="s">
        <v>139</v>
      </c>
      <c r="D5334" t="s">
        <v>4902</v>
      </c>
      <c r="E5334" t="s">
        <v>4903</v>
      </c>
      <c r="F5334" t="s">
        <v>49</v>
      </c>
      <c r="G5334" t="s">
        <v>12119</v>
      </c>
      <c r="H5334" t="s">
        <v>12120</v>
      </c>
      <c r="J5334" t="str">
        <f>HYPERLINK("https://twitter.com/lovepartner_1/status/1744991303706767669","https://twitter.com/lovepartner_1/status/1744991303706767669")</f>
        <v>https://twitter.com/lovepartner_1/status/1744991303706767669</v>
      </c>
      <c r="K5334" t="s">
        <v>145</v>
      </c>
      <c r="O5334">
        <v>0</v>
      </c>
      <c r="P5334">
        <v>0</v>
      </c>
      <c r="Q5334">
        <v>17</v>
      </c>
      <c r="R5334" t="s">
        <v>4587</v>
      </c>
      <c r="S5334">
        <v>0</v>
      </c>
      <c r="T5334">
        <v>0</v>
      </c>
      <c r="U5334">
        <v>0</v>
      </c>
      <c r="W5334" t="s">
        <v>146</v>
      </c>
    </row>
    <row r="5335" spans="1:45" x14ac:dyDescent="0.35">
      <c r="A5335" t="s">
        <v>45</v>
      </c>
      <c r="B5335" t="s">
        <v>12036</v>
      </c>
      <c r="C5335" t="s">
        <v>139</v>
      </c>
      <c r="D5335" t="s">
        <v>4902</v>
      </c>
      <c r="E5335" t="s">
        <v>4903</v>
      </c>
      <c r="F5335" t="s">
        <v>49</v>
      </c>
      <c r="G5335" t="s">
        <v>12121</v>
      </c>
      <c r="H5335" t="s">
        <v>12122</v>
      </c>
      <c r="J5335" t="str">
        <f>HYPERLINK("https://twitter.com/lovepartner_1/status/1744991111158886759","https://twitter.com/lovepartner_1/status/1744991111158886759")</f>
        <v>https://twitter.com/lovepartner_1/status/1744991111158886759</v>
      </c>
      <c r="K5335" t="s">
        <v>145</v>
      </c>
      <c r="O5335">
        <v>0</v>
      </c>
      <c r="P5335">
        <v>0</v>
      </c>
      <c r="Q5335">
        <v>17</v>
      </c>
      <c r="R5335" t="s">
        <v>4587</v>
      </c>
      <c r="S5335">
        <v>0</v>
      </c>
      <c r="T5335">
        <v>0</v>
      </c>
      <c r="U5335">
        <v>0</v>
      </c>
      <c r="W5335" t="s">
        <v>146</v>
      </c>
    </row>
    <row r="5336" spans="1:45" x14ac:dyDescent="0.35">
      <c r="A5336" t="s">
        <v>45</v>
      </c>
      <c r="B5336" t="s">
        <v>12036</v>
      </c>
      <c r="C5336" t="s">
        <v>47</v>
      </c>
      <c r="D5336" t="s">
        <v>12123</v>
      </c>
      <c r="E5336" t="s">
        <v>12123</v>
      </c>
      <c r="F5336" t="s">
        <v>49</v>
      </c>
      <c r="G5336" t="s">
        <v>253</v>
      </c>
      <c r="H5336" t="s">
        <v>12124</v>
      </c>
      <c r="J5336" t="str">
        <f>HYPERLINK("https://www.facebook.com/357267201017935/inbox/6904192719658651/","https://www.facebook.com/357267201017935/inbox/6904192719658651/")</f>
        <v>https://www.facebook.com/357267201017935/inbox/6904192719658651/</v>
      </c>
      <c r="O5336">
        <v>0</v>
      </c>
      <c r="P5336">
        <v>0</v>
      </c>
      <c r="Q5336">
        <v>0</v>
      </c>
      <c r="S5336">
        <v>0</v>
      </c>
      <c r="T5336">
        <v>0</v>
      </c>
      <c r="U5336">
        <v>0</v>
      </c>
      <c r="W5336" t="s">
        <v>52</v>
      </c>
    </row>
    <row r="5337" spans="1:45" x14ac:dyDescent="0.35">
      <c r="A5337" t="s">
        <v>45</v>
      </c>
      <c r="B5337" t="s">
        <v>12036</v>
      </c>
      <c r="C5337" t="s">
        <v>47</v>
      </c>
      <c r="D5337" t="s">
        <v>12123</v>
      </c>
      <c r="E5337" t="s">
        <v>12123</v>
      </c>
      <c r="F5337" t="s">
        <v>49</v>
      </c>
      <c r="G5337" t="s">
        <v>253</v>
      </c>
      <c r="H5337" t="s">
        <v>12125</v>
      </c>
      <c r="J5337" t="str">
        <f>HYPERLINK("https://www.facebook.com/357267201017935/inbox/6904192719658651/","https://www.facebook.com/357267201017935/inbox/6904192719658651/")</f>
        <v>https://www.facebook.com/357267201017935/inbox/6904192719658651/</v>
      </c>
      <c r="O5337">
        <v>0</v>
      </c>
      <c r="P5337">
        <v>0</v>
      </c>
      <c r="Q5337">
        <v>0</v>
      </c>
      <c r="S5337">
        <v>0</v>
      </c>
      <c r="T5337">
        <v>0</v>
      </c>
      <c r="U5337">
        <v>0</v>
      </c>
      <c r="W5337" t="s">
        <v>52</v>
      </c>
    </row>
    <row r="5338" spans="1:45" x14ac:dyDescent="0.35">
      <c r="A5338" t="s">
        <v>45</v>
      </c>
      <c r="B5338" t="s">
        <v>12036</v>
      </c>
      <c r="C5338" t="s">
        <v>47</v>
      </c>
      <c r="D5338" t="s">
        <v>12123</v>
      </c>
      <c r="E5338" t="s">
        <v>12123</v>
      </c>
      <c r="F5338" t="s">
        <v>49</v>
      </c>
      <c r="G5338" t="s">
        <v>12126</v>
      </c>
      <c r="H5338" t="s">
        <v>12127</v>
      </c>
      <c r="J5338" t="str">
        <f>HYPERLINK("https://www.facebook.com/357267201017935/inbox/6904192719658651/","https://www.facebook.com/357267201017935/inbox/6904192719658651/")</f>
        <v>https://www.facebook.com/357267201017935/inbox/6904192719658651/</v>
      </c>
      <c r="O5338">
        <v>0</v>
      </c>
      <c r="P5338">
        <v>0</v>
      </c>
      <c r="Q5338">
        <v>0</v>
      </c>
      <c r="S5338">
        <v>0</v>
      </c>
      <c r="T5338">
        <v>0</v>
      </c>
      <c r="U5338">
        <v>0</v>
      </c>
      <c r="W5338" t="s">
        <v>52</v>
      </c>
    </row>
    <row r="5339" spans="1:45" x14ac:dyDescent="0.35">
      <c r="A5339" t="s">
        <v>45</v>
      </c>
      <c r="B5339" t="s">
        <v>12036</v>
      </c>
      <c r="C5339" t="s">
        <v>47</v>
      </c>
      <c r="D5339" t="s">
        <v>2506</v>
      </c>
      <c r="E5339" t="s">
        <v>2506</v>
      </c>
      <c r="F5339" t="s">
        <v>76</v>
      </c>
      <c r="G5339" t="s">
        <v>12128</v>
      </c>
      <c r="H5339" t="s">
        <v>12129</v>
      </c>
      <c r="J5339" t="str">
        <f>HYPERLINK("https://www.facebook.com/141468835099326/posts/397628716150002","https://www.facebook.com/141468835099326/posts/397628716150002")</f>
        <v>https://www.facebook.com/141468835099326/posts/397628716150002</v>
      </c>
      <c r="O5339">
        <v>0</v>
      </c>
      <c r="P5339">
        <v>0</v>
      </c>
      <c r="Q5339">
        <v>0</v>
      </c>
      <c r="S5339">
        <v>0</v>
      </c>
      <c r="T5339">
        <v>0</v>
      </c>
      <c r="U5339">
        <v>0</v>
      </c>
      <c r="W5339" t="s">
        <v>106</v>
      </c>
      <c r="AP5339" t="s">
        <v>101</v>
      </c>
    </row>
    <row r="5340" spans="1:45" x14ac:dyDescent="0.35">
      <c r="A5340" t="s">
        <v>45</v>
      </c>
      <c r="B5340" t="s">
        <v>12036</v>
      </c>
      <c r="C5340" t="s">
        <v>47</v>
      </c>
      <c r="D5340" t="s">
        <v>5943</v>
      </c>
      <c r="E5340" t="s">
        <v>5943</v>
      </c>
      <c r="F5340" t="s">
        <v>49</v>
      </c>
      <c r="G5340" t="s">
        <v>12130</v>
      </c>
      <c r="H5340" t="s">
        <v>12131</v>
      </c>
      <c r="J5340" t="str">
        <f>HYPERLINK("https://www.facebook.com/357267201017935/inbox/6903802413031015/","https://www.facebook.com/357267201017935/inbox/6903802413031015/")</f>
        <v>https://www.facebook.com/357267201017935/inbox/6903802413031015/</v>
      </c>
      <c r="O5340">
        <v>0</v>
      </c>
      <c r="P5340">
        <v>0</v>
      </c>
      <c r="Q5340">
        <v>0</v>
      </c>
      <c r="S5340">
        <v>0</v>
      </c>
      <c r="T5340">
        <v>0</v>
      </c>
      <c r="U5340">
        <v>0</v>
      </c>
      <c r="W5340" t="s">
        <v>52</v>
      </c>
      <c r="AS5340" t="s">
        <v>375</v>
      </c>
    </row>
    <row r="5341" spans="1:45" x14ac:dyDescent="0.35">
      <c r="A5341" t="s">
        <v>45</v>
      </c>
      <c r="B5341" t="s">
        <v>12036</v>
      </c>
      <c r="C5341" t="s">
        <v>47</v>
      </c>
      <c r="D5341" t="s">
        <v>45</v>
      </c>
      <c r="E5341" t="s">
        <v>45</v>
      </c>
      <c r="F5341" t="s">
        <v>49</v>
      </c>
      <c r="G5341" t="s">
        <v>5777</v>
      </c>
      <c r="H5341" t="s">
        <v>12132</v>
      </c>
      <c r="J5341" t="str">
        <f>HYPERLINK("https://www.facebook.com/357267201017935/inbox/6903802413031015/","https://www.facebook.com/357267201017935/inbox/6903802413031015/")</f>
        <v>https://www.facebook.com/357267201017935/inbox/6903802413031015/</v>
      </c>
      <c r="O5341">
        <v>0</v>
      </c>
      <c r="P5341">
        <v>0</v>
      </c>
      <c r="Q5341">
        <v>0</v>
      </c>
      <c r="S5341">
        <v>0</v>
      </c>
      <c r="T5341">
        <v>0</v>
      </c>
      <c r="U5341">
        <v>0</v>
      </c>
      <c r="W5341" t="s">
        <v>52</v>
      </c>
    </row>
    <row r="5342" spans="1:45" x14ac:dyDescent="0.35">
      <c r="A5342" t="s">
        <v>45</v>
      </c>
      <c r="B5342" t="s">
        <v>12036</v>
      </c>
      <c r="C5342" t="s">
        <v>58</v>
      </c>
      <c r="D5342" t="s">
        <v>12133</v>
      </c>
      <c r="E5342" t="s">
        <v>12133</v>
      </c>
      <c r="F5342" t="s">
        <v>49</v>
      </c>
      <c r="G5342" t="s">
        <v>12134</v>
      </c>
      <c r="H5342" t="s">
        <v>12135</v>
      </c>
      <c r="J5342" t="str">
        <f>HYPERLINK("https://www.youtube.com/watch?v=zuGl0XvXwV0","https://www.youtube.com/watch?v=zuGl0XvXwV0")</f>
        <v>https://www.youtube.com/watch?v=zuGl0XvXwV0</v>
      </c>
      <c r="O5342">
        <v>0</v>
      </c>
      <c r="P5342">
        <v>0</v>
      </c>
      <c r="Q5342">
        <v>0</v>
      </c>
      <c r="S5342">
        <v>0</v>
      </c>
      <c r="T5342">
        <v>0</v>
      </c>
      <c r="U5342">
        <v>0</v>
      </c>
      <c r="W5342" t="s">
        <v>106</v>
      </c>
      <c r="AP5342" t="s">
        <v>94</v>
      </c>
    </row>
    <row r="5343" spans="1:45" x14ac:dyDescent="0.35">
      <c r="A5343" t="s">
        <v>45</v>
      </c>
      <c r="B5343" t="s">
        <v>12036</v>
      </c>
      <c r="C5343" t="s">
        <v>47</v>
      </c>
      <c r="D5343" t="s">
        <v>5943</v>
      </c>
      <c r="E5343" t="s">
        <v>5943</v>
      </c>
      <c r="F5343" t="s">
        <v>49</v>
      </c>
      <c r="G5343" t="s">
        <v>50</v>
      </c>
      <c r="H5343" t="s">
        <v>12136</v>
      </c>
      <c r="J5343" t="str">
        <f>HYPERLINK("https://www.facebook.com/357267201017935/inbox/6903802413031015/","https://www.facebook.com/357267201017935/inbox/6903802413031015/")</f>
        <v>https://www.facebook.com/357267201017935/inbox/6903802413031015/</v>
      </c>
      <c r="O5343">
        <v>0</v>
      </c>
      <c r="P5343">
        <v>0</v>
      </c>
      <c r="Q5343">
        <v>0</v>
      </c>
      <c r="S5343">
        <v>0</v>
      </c>
      <c r="T5343">
        <v>0</v>
      </c>
      <c r="U5343">
        <v>0</v>
      </c>
      <c r="W5343" t="s">
        <v>52</v>
      </c>
      <c r="AS5343" t="s">
        <v>375</v>
      </c>
    </row>
    <row r="5344" spans="1:45" x14ac:dyDescent="0.35">
      <c r="A5344" t="s">
        <v>45</v>
      </c>
      <c r="B5344" t="s">
        <v>12036</v>
      </c>
      <c r="C5344" t="s">
        <v>47</v>
      </c>
      <c r="F5344" t="s">
        <v>49</v>
      </c>
      <c r="G5344" t="s">
        <v>12137</v>
      </c>
      <c r="H5344" t="s">
        <v>12138</v>
      </c>
      <c r="J5344" t="str">
        <f>HYPERLINK("https://www.facebook.com/6820763411346178_10233031237873675","https://www.facebook.com/6820763411346178_10233031237873675")</f>
        <v>https://www.facebook.com/6820763411346178_10233031237873675</v>
      </c>
      <c r="O5344">
        <v>0</v>
      </c>
      <c r="P5344">
        <v>0</v>
      </c>
      <c r="Q5344">
        <v>0</v>
      </c>
      <c r="S5344">
        <v>0</v>
      </c>
      <c r="T5344">
        <v>0</v>
      </c>
      <c r="U5344">
        <v>0</v>
      </c>
      <c r="W5344" t="s">
        <v>106</v>
      </c>
    </row>
    <row r="5345" spans="1:45" x14ac:dyDescent="0.35">
      <c r="A5345" t="s">
        <v>45</v>
      </c>
      <c r="B5345" t="s">
        <v>12036</v>
      </c>
      <c r="C5345" t="s">
        <v>47</v>
      </c>
      <c r="D5345" t="s">
        <v>12139</v>
      </c>
      <c r="E5345" t="s">
        <v>12139</v>
      </c>
      <c r="F5345" t="s">
        <v>76</v>
      </c>
      <c r="G5345" t="s">
        <v>12140</v>
      </c>
      <c r="H5345" t="s">
        <v>12141</v>
      </c>
      <c r="J5345" t="str">
        <f>HYPERLINK("https://www.facebook.com/454965103328545/posts/750037770487942?comment_id=1061738511768882","https://www.facebook.com/454965103328545/posts/750037770487942?comment_id=1061738511768882")</f>
        <v>https://www.facebook.com/454965103328545/posts/750037770487942?comment_id=1061738511768882</v>
      </c>
      <c r="O5345">
        <v>0</v>
      </c>
      <c r="P5345">
        <v>0</v>
      </c>
      <c r="Q5345">
        <v>0</v>
      </c>
      <c r="S5345">
        <v>0</v>
      </c>
      <c r="T5345">
        <v>0</v>
      </c>
      <c r="U5345">
        <v>0</v>
      </c>
      <c r="W5345" t="s">
        <v>62</v>
      </c>
    </row>
    <row r="5346" spans="1:45" x14ac:dyDescent="0.35">
      <c r="A5346" t="s">
        <v>45</v>
      </c>
      <c r="B5346" t="s">
        <v>12036</v>
      </c>
      <c r="C5346" t="s">
        <v>47</v>
      </c>
      <c r="D5346" t="s">
        <v>12142</v>
      </c>
      <c r="E5346" t="s">
        <v>12142</v>
      </c>
      <c r="F5346" t="s">
        <v>49</v>
      </c>
      <c r="G5346" t="s">
        <v>12143</v>
      </c>
      <c r="H5346" t="s">
        <v>12144</v>
      </c>
      <c r="J5346" t="str">
        <f>HYPERLINK("https://www.facebook.com/454965103328545/posts/744159567742429?comment_id=893024875883411&amp;reply_comment_id=1509855459871219","https://www.facebook.com/454965103328545/posts/744159567742429?comment_id=893024875883411&amp;reply_comment_id=1509855459871219")</f>
        <v>https://www.facebook.com/454965103328545/posts/744159567742429?comment_id=893024875883411&amp;reply_comment_id=1509855459871219</v>
      </c>
      <c r="O5346">
        <v>0</v>
      </c>
      <c r="P5346">
        <v>0</v>
      </c>
      <c r="Q5346">
        <v>0</v>
      </c>
      <c r="S5346">
        <v>0</v>
      </c>
      <c r="T5346">
        <v>0</v>
      </c>
      <c r="U5346">
        <v>0</v>
      </c>
      <c r="W5346" t="s">
        <v>62</v>
      </c>
    </row>
    <row r="5347" spans="1:45" x14ac:dyDescent="0.35">
      <c r="A5347" t="s">
        <v>45</v>
      </c>
      <c r="B5347" t="s">
        <v>12036</v>
      </c>
      <c r="C5347" t="s">
        <v>139</v>
      </c>
      <c r="D5347" t="s">
        <v>190</v>
      </c>
      <c r="E5347" t="s">
        <v>45</v>
      </c>
      <c r="F5347" t="s">
        <v>49</v>
      </c>
      <c r="G5347" t="s">
        <v>12145</v>
      </c>
      <c r="H5347" t="s">
        <v>12146</v>
      </c>
      <c r="J5347" t="str">
        <f>HYPERLINK("https://twitter.com/FinoPaymntsBank/status/1744909424009896329","https://twitter.com/FinoPaymntsBank/status/1744909424009896329")</f>
        <v>https://twitter.com/FinoPaymntsBank/status/1744909424009896329</v>
      </c>
      <c r="K5347" t="s">
        <v>145</v>
      </c>
      <c r="O5347">
        <v>0</v>
      </c>
      <c r="P5347">
        <v>0</v>
      </c>
      <c r="Q5347">
        <v>8303</v>
      </c>
      <c r="R5347" t="s">
        <v>193</v>
      </c>
      <c r="S5347">
        <v>0</v>
      </c>
      <c r="T5347">
        <v>0</v>
      </c>
      <c r="U5347">
        <v>0</v>
      </c>
      <c r="W5347" t="s">
        <v>146</v>
      </c>
    </row>
    <row r="5348" spans="1:45" x14ac:dyDescent="0.35">
      <c r="A5348" t="s">
        <v>45</v>
      </c>
      <c r="B5348" t="s">
        <v>12036</v>
      </c>
      <c r="C5348" t="s">
        <v>47</v>
      </c>
      <c r="D5348" t="s">
        <v>45</v>
      </c>
      <c r="E5348" t="s">
        <v>45</v>
      </c>
      <c r="F5348" t="s">
        <v>49</v>
      </c>
      <c r="G5348" t="s">
        <v>12147</v>
      </c>
      <c r="H5348" t="s">
        <v>12146</v>
      </c>
      <c r="J5348" t="str">
        <f>HYPERLINK("https://www.facebook.com/357267201017935_750175553807497","https://www.facebook.com/357267201017935_750175553807497")</f>
        <v>https://www.facebook.com/357267201017935_750175553807497</v>
      </c>
      <c r="O5348">
        <v>0</v>
      </c>
      <c r="P5348">
        <v>0</v>
      </c>
      <c r="Q5348">
        <v>0</v>
      </c>
      <c r="S5348">
        <v>0</v>
      </c>
      <c r="T5348">
        <v>60</v>
      </c>
      <c r="U5348">
        <v>2</v>
      </c>
      <c r="W5348" t="s">
        <v>106</v>
      </c>
    </row>
    <row r="5349" spans="1:45" x14ac:dyDescent="0.35">
      <c r="A5349" t="s">
        <v>45</v>
      </c>
      <c r="B5349" t="s">
        <v>12036</v>
      </c>
      <c r="C5349" t="s">
        <v>58</v>
      </c>
      <c r="D5349" t="s">
        <v>3440</v>
      </c>
      <c r="E5349" t="s">
        <v>3440</v>
      </c>
      <c r="F5349" t="s">
        <v>49</v>
      </c>
      <c r="G5349" t="s">
        <v>12148</v>
      </c>
      <c r="H5349" t="s">
        <v>12149</v>
      </c>
      <c r="J5349" t="str">
        <f>HYPERLINK("https://www.youtube.com/watch?v=XgbQLdV2VIs","https://www.youtube.com/watch?v=XgbQLdV2VIs")</f>
        <v>https://www.youtube.com/watch?v=XgbQLdV2VIs</v>
      </c>
      <c r="O5349">
        <v>0</v>
      </c>
      <c r="P5349">
        <v>0</v>
      </c>
      <c r="Q5349">
        <v>0</v>
      </c>
      <c r="S5349">
        <v>0</v>
      </c>
      <c r="T5349">
        <v>0</v>
      </c>
      <c r="U5349">
        <v>0</v>
      </c>
      <c r="W5349" t="s">
        <v>106</v>
      </c>
      <c r="AP5349" t="s">
        <v>101</v>
      </c>
    </row>
    <row r="5350" spans="1:45" x14ac:dyDescent="0.35">
      <c r="A5350" t="s">
        <v>45</v>
      </c>
      <c r="B5350" t="s">
        <v>12036</v>
      </c>
      <c r="C5350" t="s">
        <v>139</v>
      </c>
      <c r="D5350" t="s">
        <v>12150</v>
      </c>
      <c r="E5350" t="s">
        <v>12151</v>
      </c>
      <c r="F5350" t="s">
        <v>49</v>
      </c>
      <c r="G5350" t="s">
        <v>12152</v>
      </c>
      <c r="H5350" t="s">
        <v>12153</v>
      </c>
      <c r="J5350" t="str">
        <f>HYPERLINK("https://twitter.com/desqlumduo18973/status/1744893303978332268","https://twitter.com/desqlumduo18973/status/1744893303978332268")</f>
        <v>https://twitter.com/desqlumduo18973/status/1744893303978332268</v>
      </c>
      <c r="O5350">
        <v>0</v>
      </c>
      <c r="P5350">
        <v>0</v>
      </c>
      <c r="Q5350">
        <v>0</v>
      </c>
      <c r="S5350">
        <v>0</v>
      </c>
      <c r="T5350">
        <v>0</v>
      </c>
      <c r="U5350">
        <v>0</v>
      </c>
      <c r="W5350" t="s">
        <v>146</v>
      </c>
    </row>
    <row r="5351" spans="1:45" x14ac:dyDescent="0.35">
      <c r="A5351" t="s">
        <v>45</v>
      </c>
      <c r="B5351" t="s">
        <v>12036</v>
      </c>
      <c r="C5351" t="s">
        <v>139</v>
      </c>
      <c r="D5351" t="s">
        <v>12154</v>
      </c>
      <c r="E5351" t="s">
        <v>12155</v>
      </c>
      <c r="F5351" t="s">
        <v>49</v>
      </c>
      <c r="G5351" t="s">
        <v>12156</v>
      </c>
      <c r="H5351" t="s">
        <v>12157</v>
      </c>
      <c r="J5351" t="str">
        <f>HYPERLINK("https://twitter.com/malinibar140120/status/1744835574886781127","https://twitter.com/malinibar140120/status/1744835574886781127")</f>
        <v>https://twitter.com/malinibar140120/status/1744835574886781127</v>
      </c>
      <c r="O5351">
        <v>0</v>
      </c>
      <c r="P5351">
        <v>0</v>
      </c>
      <c r="Q5351">
        <v>0</v>
      </c>
      <c r="S5351">
        <v>0</v>
      </c>
      <c r="T5351">
        <v>0</v>
      </c>
      <c r="U5351">
        <v>0</v>
      </c>
      <c r="W5351" t="s">
        <v>146</v>
      </c>
    </row>
    <row r="5352" spans="1:45" x14ac:dyDescent="0.35">
      <c r="A5352" t="s">
        <v>45</v>
      </c>
      <c r="B5352" t="s">
        <v>12036</v>
      </c>
      <c r="C5352" t="s">
        <v>139</v>
      </c>
      <c r="D5352" t="s">
        <v>12158</v>
      </c>
      <c r="E5352" t="s">
        <v>12159</v>
      </c>
      <c r="F5352" t="s">
        <v>49</v>
      </c>
      <c r="G5352" t="s">
        <v>12084</v>
      </c>
      <c r="H5352" t="s">
        <v>12160</v>
      </c>
      <c r="J5352" t="str">
        <f>HYPERLINK("https://twitter.com/AshishGusinga/status/1744794685753655467","https://twitter.com/AshishGusinga/status/1744794685753655467")</f>
        <v>https://twitter.com/AshishGusinga/status/1744794685753655467</v>
      </c>
      <c r="K5352" t="s">
        <v>145</v>
      </c>
      <c r="O5352">
        <v>0</v>
      </c>
      <c r="P5352">
        <v>0</v>
      </c>
      <c r="Q5352">
        <v>10</v>
      </c>
      <c r="S5352">
        <v>0</v>
      </c>
      <c r="T5352">
        <v>0</v>
      </c>
      <c r="U5352">
        <v>0</v>
      </c>
      <c r="W5352" t="s">
        <v>552</v>
      </c>
    </row>
    <row r="5353" spans="1:45" x14ac:dyDescent="0.35">
      <c r="A5353" t="s">
        <v>45</v>
      </c>
      <c r="B5353" t="s">
        <v>12036</v>
      </c>
      <c r="C5353" t="s">
        <v>47</v>
      </c>
      <c r="D5353" t="s">
        <v>12161</v>
      </c>
      <c r="E5353" t="s">
        <v>12161</v>
      </c>
      <c r="F5353" t="s">
        <v>49</v>
      </c>
      <c r="G5353" t="s">
        <v>12162</v>
      </c>
      <c r="H5353" t="s">
        <v>12163</v>
      </c>
      <c r="J5353" t="str">
        <f>HYPERLINK("https://www.facebook.com/357267201017935/inbox/6748241948587063/","https://www.facebook.com/357267201017935/inbox/6748241948587063/")</f>
        <v>https://www.facebook.com/357267201017935/inbox/6748241948587063/</v>
      </c>
      <c r="O5353">
        <v>0</v>
      </c>
      <c r="P5353">
        <v>0</v>
      </c>
      <c r="Q5353">
        <v>0</v>
      </c>
      <c r="S5353">
        <v>0</v>
      </c>
      <c r="T5353">
        <v>0</v>
      </c>
      <c r="U5353">
        <v>0</v>
      </c>
      <c r="W5353" t="s">
        <v>52</v>
      </c>
      <c r="AO5353" t="s">
        <v>119</v>
      </c>
      <c r="AP5353" t="s">
        <v>101</v>
      </c>
      <c r="AS5353" t="s">
        <v>375</v>
      </c>
    </row>
    <row r="5354" spans="1:45" x14ac:dyDescent="0.35">
      <c r="A5354" t="s">
        <v>45</v>
      </c>
      <c r="B5354" t="s">
        <v>12164</v>
      </c>
      <c r="C5354" t="s">
        <v>58</v>
      </c>
      <c r="D5354" t="s">
        <v>12165</v>
      </c>
      <c r="E5354" t="s">
        <v>12165</v>
      </c>
      <c r="F5354" t="s">
        <v>49</v>
      </c>
      <c r="G5354" t="s">
        <v>12166</v>
      </c>
      <c r="H5354" t="s">
        <v>12167</v>
      </c>
      <c r="J5354" t="str">
        <f>HYPERLINK("https://www.youtube.com/watch?v=SIwu-RXReIY","https://www.youtube.com/watch?v=SIwu-RXReIY")</f>
        <v>https://www.youtube.com/watch?v=SIwu-RXReIY</v>
      </c>
      <c r="O5354">
        <v>0</v>
      </c>
      <c r="P5354">
        <v>0</v>
      </c>
      <c r="Q5354">
        <v>0</v>
      </c>
      <c r="S5354">
        <v>0</v>
      </c>
      <c r="T5354">
        <v>0</v>
      </c>
      <c r="U5354">
        <v>0</v>
      </c>
      <c r="W5354" t="s">
        <v>106</v>
      </c>
    </row>
    <row r="5355" spans="1:45" x14ac:dyDescent="0.35">
      <c r="A5355" t="s">
        <v>45</v>
      </c>
      <c r="B5355" t="s">
        <v>12164</v>
      </c>
      <c r="C5355" t="s">
        <v>47</v>
      </c>
      <c r="D5355" t="s">
        <v>91</v>
      </c>
      <c r="E5355" t="s">
        <v>91</v>
      </c>
      <c r="F5355" t="s">
        <v>49</v>
      </c>
      <c r="G5355" t="s">
        <v>12168</v>
      </c>
      <c r="H5355" t="s">
        <v>12169</v>
      </c>
      <c r="J5355" t="str">
        <f>HYPERLINK("https://www.facebook.com/454965103328545/posts/750037770487942?comment_id=1121771288987682","https://www.facebook.com/454965103328545/posts/750037770487942?comment_id=1121771288987682")</f>
        <v>https://www.facebook.com/454965103328545/posts/750037770487942?comment_id=1121771288987682</v>
      </c>
      <c r="O5355">
        <v>0</v>
      </c>
      <c r="P5355">
        <v>0</v>
      </c>
      <c r="Q5355">
        <v>0</v>
      </c>
      <c r="S5355">
        <v>0</v>
      </c>
      <c r="T5355">
        <v>0</v>
      </c>
      <c r="U5355">
        <v>0</v>
      </c>
      <c r="W5355" t="s">
        <v>62</v>
      </c>
    </row>
    <row r="5356" spans="1:45" x14ac:dyDescent="0.35">
      <c r="A5356" t="s">
        <v>45</v>
      </c>
      <c r="B5356" t="s">
        <v>12164</v>
      </c>
      <c r="C5356" t="s">
        <v>58</v>
      </c>
      <c r="D5356" t="s">
        <v>12170</v>
      </c>
      <c r="E5356" t="s">
        <v>12170</v>
      </c>
      <c r="F5356" t="s">
        <v>49</v>
      </c>
      <c r="G5356" t="s">
        <v>12171</v>
      </c>
      <c r="H5356" t="s">
        <v>12172</v>
      </c>
      <c r="J5356" t="str">
        <f>HYPERLINK("https://www.youtube.com/watch?v=EySvxkRACaM","https://www.youtube.com/watch?v=EySvxkRACaM")</f>
        <v>https://www.youtube.com/watch?v=EySvxkRACaM</v>
      </c>
      <c r="O5356">
        <v>0</v>
      </c>
      <c r="P5356">
        <v>0</v>
      </c>
      <c r="Q5356">
        <v>0</v>
      </c>
      <c r="S5356">
        <v>0</v>
      </c>
      <c r="T5356">
        <v>0</v>
      </c>
      <c r="U5356">
        <v>0</v>
      </c>
      <c r="W5356" t="s">
        <v>106</v>
      </c>
    </row>
    <row r="5357" spans="1:45" x14ac:dyDescent="0.35">
      <c r="A5357" t="s">
        <v>45</v>
      </c>
      <c r="B5357" t="s">
        <v>12164</v>
      </c>
      <c r="C5357" t="s">
        <v>47</v>
      </c>
      <c r="D5357" t="s">
        <v>12173</v>
      </c>
      <c r="E5357" t="s">
        <v>12173</v>
      </c>
      <c r="F5357" t="s">
        <v>49</v>
      </c>
      <c r="G5357" t="s">
        <v>12174</v>
      </c>
      <c r="H5357" t="s">
        <v>12175</v>
      </c>
      <c r="J5357" t="str">
        <f>HYPERLINK("https://www.facebook.com/454965103328545/posts/750037770487942?comment_id=753237606672772","https://www.facebook.com/454965103328545/posts/750037770487942?comment_id=753237606672772")</f>
        <v>https://www.facebook.com/454965103328545/posts/750037770487942?comment_id=753237606672772</v>
      </c>
      <c r="O5357">
        <v>0</v>
      </c>
      <c r="P5357">
        <v>0</v>
      </c>
      <c r="Q5357">
        <v>0</v>
      </c>
      <c r="S5357">
        <v>0</v>
      </c>
      <c r="T5357">
        <v>0</v>
      </c>
      <c r="U5357">
        <v>0</v>
      </c>
      <c r="W5357" t="s">
        <v>62</v>
      </c>
    </row>
    <row r="5358" spans="1:45" x14ac:dyDescent="0.35">
      <c r="A5358" t="s">
        <v>45</v>
      </c>
      <c r="B5358" t="s">
        <v>12164</v>
      </c>
      <c r="C5358" t="s">
        <v>58</v>
      </c>
      <c r="D5358" t="s">
        <v>1142</v>
      </c>
      <c r="E5358" t="s">
        <v>1142</v>
      </c>
      <c r="F5358" t="s">
        <v>49</v>
      </c>
      <c r="G5358" t="s">
        <v>12176</v>
      </c>
      <c r="H5358" t="s">
        <v>12177</v>
      </c>
      <c r="J5358" t="str">
        <f>HYPERLINK("https://www.youtube.com/watch?v=M2SNv_T_FRM","https://www.youtube.com/watch?v=M2SNv_T_FRM")</f>
        <v>https://www.youtube.com/watch?v=M2SNv_T_FRM</v>
      </c>
      <c r="O5358">
        <v>0</v>
      </c>
      <c r="P5358">
        <v>0</v>
      </c>
      <c r="Q5358">
        <v>0</v>
      </c>
      <c r="S5358">
        <v>0</v>
      </c>
      <c r="T5358">
        <v>0</v>
      </c>
      <c r="U5358">
        <v>0</v>
      </c>
      <c r="W5358" t="s">
        <v>106</v>
      </c>
      <c r="AP5358" t="s">
        <v>101</v>
      </c>
    </row>
    <row r="5359" spans="1:45" x14ac:dyDescent="0.35">
      <c r="A5359" t="s">
        <v>45</v>
      </c>
      <c r="B5359" t="s">
        <v>12164</v>
      </c>
      <c r="C5359" t="s">
        <v>58</v>
      </c>
      <c r="D5359" t="s">
        <v>9726</v>
      </c>
      <c r="E5359" t="s">
        <v>9726</v>
      </c>
      <c r="F5359" t="s">
        <v>49</v>
      </c>
      <c r="G5359" t="s">
        <v>11787</v>
      </c>
      <c r="H5359" t="s">
        <v>12178</v>
      </c>
      <c r="J5359" t="str">
        <f>HYPERLINK("https://www.youtube.com/watch?v=XbG0gwYciKs","https://www.youtube.com/watch?v=XbG0gwYciKs")</f>
        <v>https://www.youtube.com/watch?v=XbG0gwYciKs</v>
      </c>
      <c r="O5359">
        <v>0</v>
      </c>
      <c r="P5359">
        <v>0</v>
      </c>
      <c r="Q5359">
        <v>0</v>
      </c>
      <c r="S5359">
        <v>0</v>
      </c>
      <c r="T5359">
        <v>0</v>
      </c>
      <c r="U5359">
        <v>0</v>
      </c>
      <c r="W5359" t="s">
        <v>106</v>
      </c>
    </row>
    <row r="5360" spans="1:45" x14ac:dyDescent="0.35">
      <c r="A5360" t="s">
        <v>45</v>
      </c>
      <c r="B5360" t="s">
        <v>12164</v>
      </c>
      <c r="C5360" t="s">
        <v>58</v>
      </c>
      <c r="D5360" t="s">
        <v>12179</v>
      </c>
      <c r="E5360" t="s">
        <v>12179</v>
      </c>
      <c r="F5360" t="s">
        <v>76</v>
      </c>
      <c r="G5360" t="s">
        <v>2121</v>
      </c>
      <c r="H5360" t="s">
        <v>12180</v>
      </c>
      <c r="J5360" t="str">
        <f>HYPERLINK("https://www.youtube.com/watch?v=bjTyy7t1odA&amp;lc=UgyURSdIdX3LPetGQ2Z4AaABAg","https://www.youtube.com/watch?v=bjTyy7t1odA&amp;lc=UgyURSdIdX3LPetGQ2Z4AaABAg")</f>
        <v>https://www.youtube.com/watch?v=bjTyy7t1odA&amp;lc=UgyURSdIdX3LPetGQ2Z4AaABAg</v>
      </c>
      <c r="O5360">
        <v>0</v>
      </c>
      <c r="P5360">
        <v>0</v>
      </c>
      <c r="Q5360">
        <v>0</v>
      </c>
      <c r="S5360">
        <v>0</v>
      </c>
      <c r="T5360">
        <v>0</v>
      </c>
      <c r="U5360">
        <v>0</v>
      </c>
      <c r="W5360" t="s">
        <v>62</v>
      </c>
    </row>
    <row r="5361" spans="1:45" x14ac:dyDescent="0.35">
      <c r="A5361" t="s">
        <v>45</v>
      </c>
      <c r="B5361" t="s">
        <v>12164</v>
      </c>
      <c r="C5361" t="s">
        <v>139</v>
      </c>
      <c r="D5361" t="s">
        <v>12181</v>
      </c>
      <c r="E5361" t="s">
        <v>12182</v>
      </c>
      <c r="F5361" t="s">
        <v>49</v>
      </c>
      <c r="G5361" t="s">
        <v>12183</v>
      </c>
      <c r="H5361" t="s">
        <v>12184</v>
      </c>
      <c r="J5361" t="str">
        <f>HYPERLINK("https://twitter.com/chandrarsrikant/status/1744731907097858535","https://twitter.com/chandrarsrikant/status/1744731907097858535")</f>
        <v>https://twitter.com/chandrarsrikant/status/1744731907097858535</v>
      </c>
      <c r="K5361" t="s">
        <v>145</v>
      </c>
      <c r="O5361">
        <v>0</v>
      </c>
      <c r="P5361">
        <v>0</v>
      </c>
      <c r="Q5361">
        <v>128683</v>
      </c>
      <c r="R5361" t="s">
        <v>4256</v>
      </c>
      <c r="S5361">
        <v>0</v>
      </c>
      <c r="T5361">
        <v>0</v>
      </c>
      <c r="U5361">
        <v>0</v>
      </c>
      <c r="V5361" t="s">
        <v>642</v>
      </c>
      <c r="W5361" t="s">
        <v>552</v>
      </c>
    </row>
    <row r="5362" spans="1:45" x14ac:dyDescent="0.35">
      <c r="A5362" t="s">
        <v>45</v>
      </c>
      <c r="B5362" t="s">
        <v>12164</v>
      </c>
      <c r="C5362" t="s">
        <v>139</v>
      </c>
      <c r="D5362" t="s">
        <v>12185</v>
      </c>
      <c r="E5362" t="s">
        <v>12186</v>
      </c>
      <c r="F5362" t="s">
        <v>49</v>
      </c>
      <c r="G5362" t="s">
        <v>12187</v>
      </c>
      <c r="H5362" t="s">
        <v>12188</v>
      </c>
      <c r="J5362" t="str">
        <f>HYPERLINK("https://twitter.com/ChristinMP_/status/1744727825503142025","https://twitter.com/ChristinMP_/status/1744727825503142025")</f>
        <v>https://twitter.com/ChristinMP_/status/1744727825503142025</v>
      </c>
      <c r="O5362">
        <v>0</v>
      </c>
      <c r="P5362">
        <v>0</v>
      </c>
      <c r="Q5362">
        <v>15181</v>
      </c>
      <c r="R5362" t="s">
        <v>12189</v>
      </c>
      <c r="S5362">
        <v>0</v>
      </c>
      <c r="T5362">
        <v>0</v>
      </c>
      <c r="U5362">
        <v>0</v>
      </c>
      <c r="W5362" t="s">
        <v>552</v>
      </c>
    </row>
    <row r="5363" spans="1:45" x14ac:dyDescent="0.35">
      <c r="A5363" t="s">
        <v>45</v>
      </c>
      <c r="B5363" t="s">
        <v>12164</v>
      </c>
      <c r="C5363" t="s">
        <v>139</v>
      </c>
      <c r="D5363" t="s">
        <v>12190</v>
      </c>
      <c r="E5363" t="s">
        <v>12191</v>
      </c>
      <c r="F5363" t="s">
        <v>49</v>
      </c>
      <c r="G5363" t="s">
        <v>12192</v>
      </c>
      <c r="H5363" t="s">
        <v>12193</v>
      </c>
      <c r="J5363" t="str">
        <f>HYPERLINK("https://twitter.com/de46562833/status/1744725894537871823","https://twitter.com/de46562833/status/1744725894537871823")</f>
        <v>https://twitter.com/de46562833/status/1744725894537871823</v>
      </c>
      <c r="K5363" t="s">
        <v>145</v>
      </c>
      <c r="O5363">
        <v>0</v>
      </c>
      <c r="P5363">
        <v>0</v>
      </c>
      <c r="Q5363">
        <v>0</v>
      </c>
      <c r="S5363">
        <v>0</v>
      </c>
      <c r="T5363">
        <v>0</v>
      </c>
      <c r="U5363">
        <v>0</v>
      </c>
      <c r="W5363" t="s">
        <v>146</v>
      </c>
      <c r="Y5363" t="s">
        <v>12194</v>
      </c>
      <c r="Z5363" t="s">
        <v>613</v>
      </c>
      <c r="AA5363" t="s">
        <v>614</v>
      </c>
    </row>
    <row r="5364" spans="1:45" x14ac:dyDescent="0.35">
      <c r="A5364" t="s">
        <v>45</v>
      </c>
      <c r="B5364" t="s">
        <v>12164</v>
      </c>
      <c r="C5364" t="s">
        <v>139</v>
      </c>
      <c r="D5364" t="s">
        <v>12190</v>
      </c>
      <c r="E5364" t="s">
        <v>12191</v>
      </c>
      <c r="F5364" t="s">
        <v>49</v>
      </c>
      <c r="G5364" t="s">
        <v>12195</v>
      </c>
      <c r="H5364" t="s">
        <v>12196</v>
      </c>
      <c r="J5364" t="str">
        <f>HYPERLINK("https://twitter.com/de46562833/status/1744725781149053180","https://twitter.com/de46562833/status/1744725781149053180")</f>
        <v>https://twitter.com/de46562833/status/1744725781149053180</v>
      </c>
      <c r="K5364" t="s">
        <v>145</v>
      </c>
      <c r="O5364">
        <v>0</v>
      </c>
      <c r="P5364">
        <v>0</v>
      </c>
      <c r="Q5364">
        <v>0</v>
      </c>
      <c r="S5364">
        <v>0</v>
      </c>
      <c r="T5364">
        <v>0</v>
      </c>
      <c r="U5364">
        <v>0</v>
      </c>
      <c r="W5364" t="s">
        <v>552</v>
      </c>
    </row>
    <row r="5365" spans="1:45" x14ac:dyDescent="0.35">
      <c r="A5365" t="s">
        <v>45</v>
      </c>
      <c r="B5365" t="s">
        <v>12164</v>
      </c>
      <c r="C5365" t="s">
        <v>139</v>
      </c>
      <c r="D5365" t="s">
        <v>12190</v>
      </c>
      <c r="E5365" t="s">
        <v>12191</v>
      </c>
      <c r="F5365" t="s">
        <v>49</v>
      </c>
      <c r="G5365" t="s">
        <v>12197</v>
      </c>
      <c r="H5365" t="s">
        <v>12198</v>
      </c>
      <c r="J5365" t="str">
        <f>HYPERLINK("https://twitter.com/de46562833/status/1744725624936374307","https://twitter.com/de46562833/status/1744725624936374307")</f>
        <v>https://twitter.com/de46562833/status/1744725624936374307</v>
      </c>
      <c r="K5365" t="s">
        <v>145</v>
      </c>
      <c r="O5365">
        <v>0</v>
      </c>
      <c r="P5365">
        <v>0</v>
      </c>
      <c r="Q5365">
        <v>0</v>
      </c>
      <c r="S5365">
        <v>0</v>
      </c>
      <c r="T5365">
        <v>0</v>
      </c>
      <c r="U5365">
        <v>0</v>
      </c>
      <c r="W5365" t="s">
        <v>146</v>
      </c>
    </row>
    <row r="5366" spans="1:45" x14ac:dyDescent="0.35">
      <c r="A5366" t="s">
        <v>45</v>
      </c>
      <c r="B5366" t="s">
        <v>12164</v>
      </c>
      <c r="C5366" t="s">
        <v>58</v>
      </c>
      <c r="D5366" t="s">
        <v>5628</v>
      </c>
      <c r="E5366" t="s">
        <v>5628</v>
      </c>
      <c r="F5366" t="s">
        <v>49</v>
      </c>
      <c r="G5366" t="s">
        <v>12199</v>
      </c>
      <c r="H5366" t="s">
        <v>12200</v>
      </c>
      <c r="J5366" t="str">
        <f>HYPERLINK("https://www.youtube.com/watch?v=tyNJlLZ_04A","https://www.youtube.com/watch?v=tyNJlLZ_04A")</f>
        <v>https://www.youtube.com/watch?v=tyNJlLZ_04A</v>
      </c>
      <c r="O5366">
        <v>0</v>
      </c>
      <c r="P5366">
        <v>0</v>
      </c>
      <c r="Q5366">
        <v>0</v>
      </c>
      <c r="S5366">
        <v>0</v>
      </c>
      <c r="T5366">
        <v>0</v>
      </c>
      <c r="U5366">
        <v>0</v>
      </c>
      <c r="W5366" t="s">
        <v>106</v>
      </c>
    </row>
    <row r="5367" spans="1:45" x14ac:dyDescent="0.35">
      <c r="A5367" t="s">
        <v>45</v>
      </c>
      <c r="B5367" t="s">
        <v>12164</v>
      </c>
      <c r="C5367" t="s">
        <v>47</v>
      </c>
      <c r="D5367" t="s">
        <v>12201</v>
      </c>
      <c r="E5367" t="s">
        <v>12201</v>
      </c>
      <c r="F5367" t="s">
        <v>49</v>
      </c>
      <c r="G5367" t="s">
        <v>373</v>
      </c>
      <c r="H5367" t="s">
        <v>12202</v>
      </c>
      <c r="J5367" t="str">
        <f>HYPERLINK("https://www.facebook.com/357267201017935/inbox/6901470986597491/","https://www.facebook.com/357267201017935/inbox/6901470986597491/")</f>
        <v>https://www.facebook.com/357267201017935/inbox/6901470986597491/</v>
      </c>
      <c r="O5367">
        <v>0</v>
      </c>
      <c r="P5367">
        <v>0</v>
      </c>
      <c r="Q5367">
        <v>0</v>
      </c>
      <c r="S5367">
        <v>0</v>
      </c>
      <c r="T5367">
        <v>0</v>
      </c>
      <c r="U5367">
        <v>0</v>
      </c>
      <c r="W5367" t="s">
        <v>52</v>
      </c>
      <c r="AS5367" t="s">
        <v>375</v>
      </c>
    </row>
    <row r="5368" spans="1:45" x14ac:dyDescent="0.35">
      <c r="A5368" t="s">
        <v>45</v>
      </c>
      <c r="B5368" t="s">
        <v>12164</v>
      </c>
      <c r="C5368" t="s">
        <v>58</v>
      </c>
      <c r="D5368" t="s">
        <v>12203</v>
      </c>
      <c r="E5368" t="s">
        <v>12203</v>
      </c>
      <c r="F5368" t="s">
        <v>49</v>
      </c>
      <c r="G5368" t="s">
        <v>12204</v>
      </c>
      <c r="H5368" t="s">
        <v>12205</v>
      </c>
      <c r="J5368" t="str">
        <f>HYPERLINK("https://www.youtube.com/watch?v=iyWerth8Fog","https://www.youtube.com/watch?v=iyWerth8Fog")</f>
        <v>https://www.youtube.com/watch?v=iyWerth8Fog</v>
      </c>
      <c r="O5368">
        <v>0</v>
      </c>
      <c r="P5368">
        <v>0</v>
      </c>
      <c r="Q5368">
        <v>0</v>
      </c>
      <c r="S5368">
        <v>0</v>
      </c>
      <c r="T5368">
        <v>0</v>
      </c>
      <c r="U5368">
        <v>0</v>
      </c>
      <c r="W5368" t="s">
        <v>106</v>
      </c>
    </row>
    <row r="5369" spans="1:45" x14ac:dyDescent="0.35">
      <c r="A5369" t="s">
        <v>45</v>
      </c>
      <c r="B5369" t="s">
        <v>12164</v>
      </c>
      <c r="C5369" t="s">
        <v>47</v>
      </c>
      <c r="D5369" t="s">
        <v>12206</v>
      </c>
      <c r="E5369" t="s">
        <v>12206</v>
      </c>
      <c r="F5369" t="s">
        <v>49</v>
      </c>
      <c r="G5369" t="s">
        <v>12207</v>
      </c>
      <c r="H5369" t="s">
        <v>12208</v>
      </c>
      <c r="J5369" t="str">
        <f>HYPERLINK("https://www.facebook.com/454965103328545/posts/750037770487942?comment_id=1549573939197167","https://www.facebook.com/454965103328545/posts/750037770487942?comment_id=1549573939197167")</f>
        <v>https://www.facebook.com/454965103328545/posts/750037770487942?comment_id=1549573939197167</v>
      </c>
      <c r="O5369">
        <v>0</v>
      </c>
      <c r="P5369">
        <v>0</v>
      </c>
      <c r="Q5369">
        <v>0</v>
      </c>
      <c r="S5369">
        <v>0</v>
      </c>
      <c r="T5369">
        <v>0</v>
      </c>
      <c r="U5369">
        <v>0</v>
      </c>
      <c r="W5369" t="s">
        <v>62</v>
      </c>
      <c r="AS5369" t="s">
        <v>375</v>
      </c>
    </row>
    <row r="5370" spans="1:45" x14ac:dyDescent="0.35">
      <c r="A5370" t="s">
        <v>45</v>
      </c>
      <c r="B5370" t="s">
        <v>12164</v>
      </c>
      <c r="C5370" t="s">
        <v>139</v>
      </c>
      <c r="D5370" t="s">
        <v>190</v>
      </c>
      <c r="E5370" t="s">
        <v>45</v>
      </c>
      <c r="F5370" t="s">
        <v>49</v>
      </c>
      <c r="G5370" t="s">
        <v>12209</v>
      </c>
      <c r="H5370" t="s">
        <v>12210</v>
      </c>
      <c r="J5370" t="str">
        <f>HYPERLINK("https://twitter.com/FinoPaymntsBank/status/1744709796891181202","https://twitter.com/FinoPaymntsBank/status/1744709796891181202")</f>
        <v>https://twitter.com/FinoPaymntsBank/status/1744709796891181202</v>
      </c>
      <c r="K5370" t="s">
        <v>145</v>
      </c>
      <c r="O5370">
        <v>0</v>
      </c>
      <c r="P5370">
        <v>0</v>
      </c>
      <c r="Q5370">
        <v>8299</v>
      </c>
      <c r="R5370" t="s">
        <v>193</v>
      </c>
      <c r="S5370">
        <v>0</v>
      </c>
      <c r="T5370">
        <v>0</v>
      </c>
      <c r="U5370">
        <v>0</v>
      </c>
      <c r="W5370" t="s">
        <v>146</v>
      </c>
    </row>
    <row r="5371" spans="1:45" x14ac:dyDescent="0.35">
      <c r="A5371" t="s">
        <v>45</v>
      </c>
      <c r="B5371" t="s">
        <v>12164</v>
      </c>
      <c r="C5371" t="s">
        <v>58</v>
      </c>
      <c r="D5371" t="s">
        <v>12211</v>
      </c>
      <c r="E5371" t="s">
        <v>12211</v>
      </c>
      <c r="F5371" t="s">
        <v>49</v>
      </c>
      <c r="G5371" t="s">
        <v>12212</v>
      </c>
      <c r="H5371" t="s">
        <v>12213</v>
      </c>
      <c r="J5371" t="str">
        <f>HYPERLINK("https://www.youtube.com/watch?v=mt9MrwjqolI","https://www.youtube.com/watch?v=mt9MrwjqolI")</f>
        <v>https://www.youtube.com/watch?v=mt9MrwjqolI</v>
      </c>
      <c r="O5371">
        <v>0</v>
      </c>
      <c r="P5371">
        <v>0</v>
      </c>
      <c r="Q5371">
        <v>0</v>
      </c>
      <c r="S5371">
        <v>0</v>
      </c>
      <c r="T5371">
        <v>0</v>
      </c>
      <c r="U5371">
        <v>0</v>
      </c>
      <c r="W5371" t="s">
        <v>106</v>
      </c>
    </row>
    <row r="5372" spans="1:45" x14ac:dyDescent="0.35">
      <c r="A5372" t="s">
        <v>45</v>
      </c>
      <c r="B5372" t="s">
        <v>12164</v>
      </c>
      <c r="C5372" t="s">
        <v>47</v>
      </c>
      <c r="D5372" t="s">
        <v>4230</v>
      </c>
      <c r="E5372" t="s">
        <v>4230</v>
      </c>
      <c r="F5372" t="s">
        <v>76</v>
      </c>
      <c r="G5372" t="s">
        <v>12214</v>
      </c>
      <c r="H5372" t="s">
        <v>12215</v>
      </c>
      <c r="J5372" t="str">
        <f>HYPERLINK("https://www.facebook.com/454965103328545/posts/750037770487942?comment_id=400797615720627","https://www.facebook.com/454965103328545/posts/750037770487942?comment_id=400797615720627")</f>
        <v>https://www.facebook.com/454965103328545/posts/750037770487942?comment_id=400797615720627</v>
      </c>
      <c r="O5372">
        <v>0</v>
      </c>
      <c r="P5372">
        <v>0</v>
      </c>
      <c r="Q5372">
        <v>0</v>
      </c>
      <c r="S5372">
        <v>0</v>
      </c>
      <c r="T5372">
        <v>0</v>
      </c>
      <c r="U5372">
        <v>0</v>
      </c>
      <c r="W5372" t="s">
        <v>62</v>
      </c>
    </row>
    <row r="5373" spans="1:45" x14ac:dyDescent="0.35">
      <c r="A5373" t="s">
        <v>45</v>
      </c>
      <c r="B5373" t="s">
        <v>12164</v>
      </c>
      <c r="C5373" t="s">
        <v>47</v>
      </c>
      <c r="D5373" t="s">
        <v>11607</v>
      </c>
      <c r="E5373" t="s">
        <v>11607</v>
      </c>
      <c r="F5373" t="s">
        <v>76</v>
      </c>
      <c r="G5373" t="s">
        <v>12216</v>
      </c>
      <c r="H5373" t="s">
        <v>12217</v>
      </c>
      <c r="J5373" t="str">
        <f>HYPERLINK("https://www.facebook.com/454965103328545/posts/750037770487942?comment_id=900238184884555","https://www.facebook.com/454965103328545/posts/750037770487942?comment_id=900238184884555")</f>
        <v>https://www.facebook.com/454965103328545/posts/750037770487942?comment_id=900238184884555</v>
      </c>
      <c r="O5373">
        <v>0</v>
      </c>
      <c r="P5373">
        <v>0</v>
      </c>
      <c r="Q5373">
        <v>0</v>
      </c>
      <c r="S5373">
        <v>0</v>
      </c>
      <c r="T5373">
        <v>0</v>
      </c>
      <c r="U5373">
        <v>0</v>
      </c>
      <c r="W5373" t="s">
        <v>62</v>
      </c>
    </row>
    <row r="5374" spans="1:45" x14ac:dyDescent="0.35">
      <c r="A5374" t="s">
        <v>45</v>
      </c>
      <c r="B5374" t="s">
        <v>12164</v>
      </c>
      <c r="C5374" t="s">
        <v>58</v>
      </c>
      <c r="D5374" t="s">
        <v>12218</v>
      </c>
      <c r="E5374" t="s">
        <v>12218</v>
      </c>
      <c r="F5374" t="s">
        <v>49</v>
      </c>
      <c r="G5374" t="s">
        <v>12219</v>
      </c>
      <c r="H5374" t="s">
        <v>12220</v>
      </c>
      <c r="J5374" t="str">
        <f>HYPERLINK("https://www.youtube.com/watch?v=hO7fCiJiUZQ","https://www.youtube.com/watch?v=hO7fCiJiUZQ")</f>
        <v>https://www.youtube.com/watch?v=hO7fCiJiUZQ</v>
      </c>
      <c r="O5374">
        <v>0</v>
      </c>
      <c r="P5374">
        <v>0</v>
      </c>
      <c r="Q5374">
        <v>0</v>
      </c>
      <c r="S5374">
        <v>0</v>
      </c>
      <c r="T5374">
        <v>0</v>
      </c>
      <c r="U5374">
        <v>0</v>
      </c>
      <c r="W5374" t="s">
        <v>106</v>
      </c>
    </row>
    <row r="5375" spans="1:45" x14ac:dyDescent="0.35">
      <c r="A5375" t="s">
        <v>45</v>
      </c>
      <c r="B5375" t="s">
        <v>12164</v>
      </c>
      <c r="C5375" t="s">
        <v>47</v>
      </c>
      <c r="D5375" t="s">
        <v>91</v>
      </c>
      <c r="E5375" t="s">
        <v>91</v>
      </c>
      <c r="F5375" t="s">
        <v>49</v>
      </c>
      <c r="G5375" t="s">
        <v>12221</v>
      </c>
      <c r="H5375" t="s">
        <v>12222</v>
      </c>
      <c r="J5375" t="str">
        <f>HYPERLINK("https://www.facebook.com/454965103328545/posts/750131487145237?comment_id=196951170173012","https://www.facebook.com/454965103328545/posts/750131487145237?comment_id=196951170173012")</f>
        <v>https://www.facebook.com/454965103328545/posts/750131487145237?comment_id=196951170173012</v>
      </c>
      <c r="O5375">
        <v>0</v>
      </c>
      <c r="P5375">
        <v>0</v>
      </c>
      <c r="Q5375">
        <v>0</v>
      </c>
      <c r="S5375">
        <v>0</v>
      </c>
      <c r="T5375">
        <v>0</v>
      </c>
      <c r="U5375">
        <v>0</v>
      </c>
      <c r="W5375" t="s">
        <v>62</v>
      </c>
    </row>
    <row r="5376" spans="1:45" x14ac:dyDescent="0.35">
      <c r="A5376" t="s">
        <v>45</v>
      </c>
      <c r="B5376" t="s">
        <v>12164</v>
      </c>
      <c r="C5376" t="s">
        <v>47</v>
      </c>
      <c r="D5376" t="s">
        <v>91</v>
      </c>
      <c r="E5376" t="s">
        <v>91</v>
      </c>
      <c r="F5376" t="s">
        <v>49</v>
      </c>
      <c r="G5376" t="s">
        <v>12223</v>
      </c>
      <c r="H5376" t="s">
        <v>12224</v>
      </c>
      <c r="J5376" t="str">
        <f>HYPERLINK("https://www.facebook.com/454965103328545/posts/750131487145237?comment_id=883968540105497","https://www.facebook.com/454965103328545/posts/750131487145237?comment_id=883968540105497")</f>
        <v>https://www.facebook.com/454965103328545/posts/750131487145237?comment_id=883968540105497</v>
      </c>
      <c r="O5376">
        <v>0</v>
      </c>
      <c r="P5376">
        <v>0</v>
      </c>
      <c r="Q5376">
        <v>0</v>
      </c>
      <c r="S5376">
        <v>0</v>
      </c>
      <c r="T5376">
        <v>0</v>
      </c>
      <c r="U5376">
        <v>0</v>
      </c>
      <c r="W5376" t="s">
        <v>62</v>
      </c>
    </row>
    <row r="5377" spans="1:45" x14ac:dyDescent="0.35">
      <c r="A5377" t="s">
        <v>45</v>
      </c>
      <c r="B5377" t="s">
        <v>12164</v>
      </c>
      <c r="C5377" t="s">
        <v>47</v>
      </c>
      <c r="D5377" t="s">
        <v>45</v>
      </c>
      <c r="E5377" t="s">
        <v>45</v>
      </c>
      <c r="F5377" t="s">
        <v>49</v>
      </c>
      <c r="G5377" t="s">
        <v>12225</v>
      </c>
      <c r="H5377" t="s">
        <v>12226</v>
      </c>
      <c r="J5377" t="str">
        <f>HYPERLINK("https://www.facebook.com/357267201017935/inbox/6892199500857973/","https://www.facebook.com/357267201017935/inbox/6892199500857973/")</f>
        <v>https://www.facebook.com/357267201017935/inbox/6892199500857973/</v>
      </c>
      <c r="O5377">
        <v>0</v>
      </c>
      <c r="P5377">
        <v>0</v>
      </c>
      <c r="Q5377">
        <v>0</v>
      </c>
      <c r="S5377">
        <v>0</v>
      </c>
      <c r="T5377">
        <v>0</v>
      </c>
      <c r="U5377">
        <v>0</v>
      </c>
      <c r="W5377" t="s">
        <v>52</v>
      </c>
    </row>
    <row r="5378" spans="1:45" x14ac:dyDescent="0.35">
      <c r="A5378" t="s">
        <v>45</v>
      </c>
      <c r="B5378" t="s">
        <v>12164</v>
      </c>
      <c r="C5378" t="s">
        <v>139</v>
      </c>
      <c r="D5378" t="s">
        <v>4235</v>
      </c>
      <c r="E5378" t="s">
        <v>12227</v>
      </c>
      <c r="F5378" t="s">
        <v>49</v>
      </c>
      <c r="G5378" t="s">
        <v>12228</v>
      </c>
      <c r="H5378" t="s">
        <v>12229</v>
      </c>
      <c r="J5378" t="str">
        <f>HYPERLINK("https://twitter.com/rb_Prajapati_EF/status/1744701889693073579","https://twitter.com/rb_Prajapati_EF/status/1744701889693073579")</f>
        <v>https://twitter.com/rb_Prajapati_EF/status/1744701889693073579</v>
      </c>
      <c r="O5378">
        <v>0</v>
      </c>
      <c r="P5378">
        <v>0</v>
      </c>
      <c r="Q5378">
        <v>2434</v>
      </c>
      <c r="R5378" t="s">
        <v>4239</v>
      </c>
      <c r="S5378">
        <v>0</v>
      </c>
      <c r="T5378">
        <v>0</v>
      </c>
      <c r="U5378">
        <v>0</v>
      </c>
      <c r="W5378" t="s">
        <v>552</v>
      </c>
    </row>
    <row r="5379" spans="1:45" x14ac:dyDescent="0.35">
      <c r="A5379" t="s">
        <v>45</v>
      </c>
      <c r="B5379" t="s">
        <v>12164</v>
      </c>
      <c r="C5379" t="s">
        <v>47</v>
      </c>
      <c r="D5379" t="s">
        <v>45</v>
      </c>
      <c r="E5379" t="s">
        <v>45</v>
      </c>
      <c r="F5379" t="s">
        <v>49</v>
      </c>
      <c r="G5379" t="s">
        <v>12230</v>
      </c>
      <c r="H5379" t="s">
        <v>12231</v>
      </c>
      <c r="J5379" t="str">
        <f>HYPERLINK("https://www.facebook.com/454965103328545/posts/725672139591172?comment_id=2017029535330404&amp;reply_comment_id=346402444843262","https://www.facebook.com/454965103328545/posts/725672139591172?comment_id=2017029535330404&amp;reply_comment_id=346402444843262")</f>
        <v>https://www.facebook.com/454965103328545/posts/725672139591172?comment_id=2017029535330404&amp;reply_comment_id=346402444843262</v>
      </c>
      <c r="O5379">
        <v>0</v>
      </c>
      <c r="P5379">
        <v>0</v>
      </c>
      <c r="Q5379">
        <v>0</v>
      </c>
      <c r="S5379">
        <v>0</v>
      </c>
      <c r="T5379">
        <v>0</v>
      </c>
      <c r="U5379">
        <v>0</v>
      </c>
      <c r="W5379" t="s">
        <v>62</v>
      </c>
    </row>
    <row r="5380" spans="1:45" x14ac:dyDescent="0.35">
      <c r="A5380" t="s">
        <v>45</v>
      </c>
      <c r="B5380" t="s">
        <v>12164</v>
      </c>
      <c r="C5380" t="s">
        <v>47</v>
      </c>
      <c r="D5380" t="s">
        <v>45</v>
      </c>
      <c r="E5380" t="s">
        <v>45</v>
      </c>
      <c r="F5380" t="s">
        <v>49</v>
      </c>
      <c r="G5380" t="s">
        <v>12232</v>
      </c>
      <c r="H5380" t="s">
        <v>12233</v>
      </c>
      <c r="J5380" t="str">
        <f>HYPERLINK("https://www.facebook.com/357267201017935_750131487145237","https://www.facebook.com/357267201017935_750131487145237")</f>
        <v>https://www.facebook.com/357267201017935_750131487145237</v>
      </c>
      <c r="O5380">
        <v>0</v>
      </c>
      <c r="P5380">
        <v>0</v>
      </c>
      <c r="Q5380">
        <v>0</v>
      </c>
      <c r="S5380">
        <v>2</v>
      </c>
      <c r="T5380">
        <v>1</v>
      </c>
      <c r="U5380">
        <v>0</v>
      </c>
      <c r="W5380" t="s">
        <v>106</v>
      </c>
    </row>
    <row r="5381" spans="1:45" x14ac:dyDescent="0.35">
      <c r="A5381" t="s">
        <v>45</v>
      </c>
      <c r="B5381" t="s">
        <v>12164</v>
      </c>
      <c r="C5381" t="s">
        <v>139</v>
      </c>
      <c r="D5381" t="s">
        <v>190</v>
      </c>
      <c r="E5381" t="s">
        <v>45</v>
      </c>
      <c r="F5381" t="s">
        <v>49</v>
      </c>
      <c r="G5381" t="s">
        <v>12234</v>
      </c>
      <c r="H5381" t="s">
        <v>12235</v>
      </c>
      <c r="J5381" t="str">
        <f>HYPERLINK("https://twitter.com/FinoPaymntsBank/status/1744701348627501260","https://twitter.com/FinoPaymntsBank/status/1744701348627501260")</f>
        <v>https://twitter.com/FinoPaymntsBank/status/1744701348627501260</v>
      </c>
      <c r="K5381" t="s">
        <v>145</v>
      </c>
      <c r="O5381">
        <v>0</v>
      </c>
      <c r="P5381">
        <v>0</v>
      </c>
      <c r="Q5381">
        <v>8299</v>
      </c>
      <c r="R5381" t="s">
        <v>193</v>
      </c>
      <c r="S5381">
        <v>0</v>
      </c>
      <c r="T5381">
        <v>0</v>
      </c>
      <c r="U5381">
        <v>0</v>
      </c>
      <c r="W5381" t="s">
        <v>146</v>
      </c>
    </row>
    <row r="5382" spans="1:45" x14ac:dyDescent="0.35">
      <c r="A5382" t="s">
        <v>45</v>
      </c>
      <c r="B5382" t="s">
        <v>12164</v>
      </c>
      <c r="C5382" t="s">
        <v>47</v>
      </c>
      <c r="D5382" t="s">
        <v>12236</v>
      </c>
      <c r="E5382" t="s">
        <v>12236</v>
      </c>
      <c r="F5382" t="s">
        <v>49</v>
      </c>
      <c r="G5382" t="s">
        <v>12237</v>
      </c>
      <c r="H5382" t="s">
        <v>12238</v>
      </c>
      <c r="J5382" t="str">
        <f>HYPERLINK("https://www.facebook.com/454965103328545/posts/734812295343823?comment_id=400494915732653&amp;reply_comment_id=353999704013763","https://www.facebook.com/454965103328545/posts/734812295343823?comment_id=400494915732653&amp;reply_comment_id=353999704013763")</f>
        <v>https://www.facebook.com/454965103328545/posts/734812295343823?comment_id=400494915732653&amp;reply_comment_id=353999704013763</v>
      </c>
      <c r="O5382">
        <v>0</v>
      </c>
      <c r="P5382">
        <v>0</v>
      </c>
      <c r="Q5382">
        <v>0</v>
      </c>
      <c r="S5382">
        <v>0</v>
      </c>
      <c r="T5382">
        <v>0</v>
      </c>
      <c r="U5382">
        <v>0</v>
      </c>
      <c r="W5382" t="s">
        <v>62</v>
      </c>
      <c r="Y5382" t="s">
        <v>12239</v>
      </c>
      <c r="Z5382" t="s">
        <v>613</v>
      </c>
      <c r="AA5382" t="s">
        <v>614</v>
      </c>
    </row>
    <row r="5383" spans="1:45" x14ac:dyDescent="0.35">
      <c r="A5383" t="s">
        <v>45</v>
      </c>
      <c r="B5383" t="s">
        <v>12164</v>
      </c>
      <c r="C5383" t="s">
        <v>47</v>
      </c>
      <c r="D5383" t="s">
        <v>45</v>
      </c>
      <c r="E5383" t="s">
        <v>45</v>
      </c>
      <c r="F5383" t="s">
        <v>49</v>
      </c>
      <c r="G5383" t="s">
        <v>12240</v>
      </c>
      <c r="H5383" t="s">
        <v>12241</v>
      </c>
      <c r="J5383" t="str">
        <f>HYPERLINK("https://www.facebook.com/454965103328545/posts/744159567742429?comment_id=893024875883411&amp;reply_comment_id=911203687280865","https://www.facebook.com/454965103328545/posts/744159567742429?comment_id=893024875883411&amp;reply_comment_id=911203687280865")</f>
        <v>https://www.facebook.com/454965103328545/posts/744159567742429?comment_id=893024875883411&amp;reply_comment_id=911203687280865</v>
      </c>
      <c r="O5383">
        <v>0</v>
      </c>
      <c r="P5383">
        <v>0</v>
      </c>
      <c r="Q5383">
        <v>0</v>
      </c>
      <c r="S5383">
        <v>0</v>
      </c>
      <c r="T5383">
        <v>0</v>
      </c>
      <c r="U5383">
        <v>0</v>
      </c>
      <c r="W5383" t="s">
        <v>62</v>
      </c>
    </row>
    <row r="5384" spans="1:45" x14ac:dyDescent="0.35">
      <c r="A5384" t="s">
        <v>45</v>
      </c>
      <c r="B5384" t="s">
        <v>12164</v>
      </c>
      <c r="C5384" t="s">
        <v>47</v>
      </c>
      <c r="D5384" t="s">
        <v>45</v>
      </c>
      <c r="E5384" t="s">
        <v>45</v>
      </c>
      <c r="F5384" t="s">
        <v>49</v>
      </c>
      <c r="G5384" t="s">
        <v>12242</v>
      </c>
      <c r="H5384" t="s">
        <v>12243</v>
      </c>
      <c r="J5384" t="str">
        <f>HYPERLINK("https://www.facebook.com/454965103328545/posts/734812295343823?comment_id=400494915732653&amp;reply_comment_id=233672343109872","https://www.facebook.com/454965103328545/posts/734812295343823?comment_id=400494915732653&amp;reply_comment_id=233672343109872")</f>
        <v>https://www.facebook.com/454965103328545/posts/734812295343823?comment_id=400494915732653&amp;reply_comment_id=233672343109872</v>
      </c>
      <c r="O5384">
        <v>0</v>
      </c>
      <c r="P5384">
        <v>0</v>
      </c>
      <c r="Q5384">
        <v>0</v>
      </c>
      <c r="S5384">
        <v>0</v>
      </c>
      <c r="T5384">
        <v>0</v>
      </c>
      <c r="U5384">
        <v>0</v>
      </c>
      <c r="W5384" t="s">
        <v>62</v>
      </c>
    </row>
    <row r="5385" spans="1:45" x14ac:dyDescent="0.35">
      <c r="A5385" t="s">
        <v>45</v>
      </c>
      <c r="B5385" t="s">
        <v>12164</v>
      </c>
      <c r="C5385" t="s">
        <v>139</v>
      </c>
      <c r="D5385" t="s">
        <v>190</v>
      </c>
      <c r="E5385" t="s">
        <v>45</v>
      </c>
      <c r="F5385" t="s">
        <v>49</v>
      </c>
      <c r="G5385" t="s">
        <v>12195</v>
      </c>
      <c r="H5385" t="s">
        <v>12244</v>
      </c>
      <c r="J5385" t="str">
        <f>HYPERLINK("https://twitter.com/FinoPaymntsBank/status/1744699395558547842","https://twitter.com/FinoPaymntsBank/status/1744699395558547842")</f>
        <v>https://twitter.com/FinoPaymntsBank/status/1744699395558547842</v>
      </c>
      <c r="K5385" t="s">
        <v>145</v>
      </c>
      <c r="O5385">
        <v>0</v>
      </c>
      <c r="P5385">
        <v>0</v>
      </c>
      <c r="Q5385">
        <v>8299</v>
      </c>
      <c r="R5385" t="s">
        <v>193</v>
      </c>
      <c r="S5385">
        <v>0</v>
      </c>
      <c r="T5385">
        <v>0</v>
      </c>
      <c r="U5385">
        <v>0</v>
      </c>
      <c r="W5385" t="s">
        <v>146</v>
      </c>
    </row>
    <row r="5386" spans="1:45" x14ac:dyDescent="0.35">
      <c r="A5386" t="s">
        <v>45</v>
      </c>
      <c r="B5386" t="s">
        <v>12164</v>
      </c>
      <c r="C5386" t="s">
        <v>58</v>
      </c>
      <c r="D5386" t="s">
        <v>12245</v>
      </c>
      <c r="E5386" t="s">
        <v>12245</v>
      </c>
      <c r="F5386" t="s">
        <v>49</v>
      </c>
      <c r="G5386" t="s">
        <v>12246</v>
      </c>
      <c r="H5386" t="s">
        <v>12247</v>
      </c>
      <c r="J5386" t="str">
        <f>HYPERLINK("https://www.youtube.com/watch?v=02091qId50o","https://www.youtube.com/watch?v=02091qId50o")</f>
        <v>https://www.youtube.com/watch?v=02091qId50o</v>
      </c>
      <c r="O5386">
        <v>0</v>
      </c>
      <c r="P5386">
        <v>0</v>
      </c>
      <c r="Q5386">
        <v>0</v>
      </c>
      <c r="S5386">
        <v>0</v>
      </c>
      <c r="T5386">
        <v>0</v>
      </c>
      <c r="U5386">
        <v>0</v>
      </c>
      <c r="W5386" t="s">
        <v>106</v>
      </c>
    </row>
    <row r="5387" spans="1:45" x14ac:dyDescent="0.35">
      <c r="A5387" t="s">
        <v>45</v>
      </c>
      <c r="B5387" t="s">
        <v>12164</v>
      </c>
      <c r="C5387" t="s">
        <v>47</v>
      </c>
      <c r="D5387" t="s">
        <v>12058</v>
      </c>
      <c r="E5387" t="s">
        <v>12058</v>
      </c>
      <c r="F5387" t="s">
        <v>49</v>
      </c>
      <c r="G5387" t="s">
        <v>12248</v>
      </c>
      <c r="H5387" t="s">
        <v>12249</v>
      </c>
      <c r="J5387" t="str">
        <f>HYPERLINK("https://www.facebook.com/357267201017935/posts/3472879966123294/?comment_id=1080378493114167","https://www.facebook.com/357267201017935/posts/3472879966123294/?comment_id=1080378493114167")</f>
        <v>https://www.facebook.com/357267201017935/posts/3472879966123294/?comment_id=1080378493114167</v>
      </c>
      <c r="O5387">
        <v>0</v>
      </c>
      <c r="P5387">
        <v>0</v>
      </c>
      <c r="Q5387">
        <v>0</v>
      </c>
      <c r="S5387">
        <v>0</v>
      </c>
      <c r="T5387">
        <v>0</v>
      </c>
      <c r="U5387">
        <v>0</v>
      </c>
      <c r="W5387" t="s">
        <v>62</v>
      </c>
      <c r="AS5387" t="s">
        <v>375</v>
      </c>
    </row>
    <row r="5388" spans="1:45" x14ac:dyDescent="0.35">
      <c r="A5388" t="s">
        <v>45</v>
      </c>
      <c r="B5388" t="s">
        <v>12164</v>
      </c>
      <c r="C5388" t="s">
        <v>47</v>
      </c>
      <c r="D5388" t="s">
        <v>12058</v>
      </c>
      <c r="E5388" t="s">
        <v>12058</v>
      </c>
      <c r="F5388" t="s">
        <v>49</v>
      </c>
      <c r="G5388" t="s">
        <v>12250</v>
      </c>
      <c r="H5388" t="s">
        <v>12251</v>
      </c>
      <c r="J5388" t="str">
        <f>HYPERLINK("https://www.facebook.com/357267201017935/posts/3472879966123294/?comment_id=3475261582551799&amp;reply_comment_id=1104311170586390","https://www.facebook.com/357267201017935/posts/3472879966123294/?comment_id=3475261582551799&amp;reply_comment_id=1104311170586390")</f>
        <v>https://www.facebook.com/357267201017935/posts/3472879966123294/?comment_id=3475261582551799&amp;reply_comment_id=1104311170586390</v>
      </c>
      <c r="O5388">
        <v>0</v>
      </c>
      <c r="P5388">
        <v>0</v>
      </c>
      <c r="Q5388">
        <v>0</v>
      </c>
      <c r="S5388">
        <v>0</v>
      </c>
      <c r="T5388">
        <v>0</v>
      </c>
      <c r="U5388">
        <v>0</v>
      </c>
      <c r="W5388" t="s">
        <v>62</v>
      </c>
      <c r="AP5388" t="s">
        <v>101</v>
      </c>
      <c r="AS5388" t="s">
        <v>375</v>
      </c>
    </row>
    <row r="5389" spans="1:45" x14ac:dyDescent="0.35">
      <c r="A5389" t="s">
        <v>45</v>
      </c>
      <c r="B5389" t="s">
        <v>12164</v>
      </c>
      <c r="C5389" t="s">
        <v>47</v>
      </c>
      <c r="D5389" t="s">
        <v>12252</v>
      </c>
      <c r="E5389" t="s">
        <v>12252</v>
      </c>
      <c r="F5389" t="s">
        <v>49</v>
      </c>
      <c r="G5389" t="s">
        <v>12253</v>
      </c>
      <c r="H5389" t="s">
        <v>12254</v>
      </c>
      <c r="J5389" t="str">
        <f>HYPERLINK("https://www.facebook.com/454965103328545/posts/750037770487942?comment_id=391736523306622","https://www.facebook.com/454965103328545/posts/750037770487942?comment_id=391736523306622")</f>
        <v>https://www.facebook.com/454965103328545/posts/750037770487942?comment_id=391736523306622</v>
      </c>
      <c r="O5389">
        <v>0</v>
      </c>
      <c r="P5389">
        <v>0</v>
      </c>
      <c r="Q5389">
        <v>0</v>
      </c>
      <c r="S5389">
        <v>0</v>
      </c>
      <c r="T5389">
        <v>0</v>
      </c>
      <c r="U5389">
        <v>0</v>
      </c>
      <c r="W5389" t="s">
        <v>62</v>
      </c>
    </row>
    <row r="5390" spans="1:45" x14ac:dyDescent="0.35">
      <c r="A5390" t="s">
        <v>45</v>
      </c>
      <c r="B5390" t="s">
        <v>12164</v>
      </c>
      <c r="C5390" t="s">
        <v>139</v>
      </c>
      <c r="D5390" t="s">
        <v>190</v>
      </c>
      <c r="E5390" t="s">
        <v>45</v>
      </c>
      <c r="F5390" t="s">
        <v>49</v>
      </c>
      <c r="G5390" t="s">
        <v>12255</v>
      </c>
      <c r="H5390" t="s">
        <v>12256</v>
      </c>
      <c r="J5390" t="str">
        <f>HYPERLINK("https://twitter.com/FinoPaymntsBank/status/1744693813162184791","https://twitter.com/FinoPaymntsBank/status/1744693813162184791")</f>
        <v>https://twitter.com/FinoPaymntsBank/status/1744693813162184791</v>
      </c>
      <c r="K5390" t="s">
        <v>1994</v>
      </c>
      <c r="O5390">
        <v>0</v>
      </c>
      <c r="P5390">
        <v>0</v>
      </c>
      <c r="Q5390">
        <v>8299</v>
      </c>
      <c r="R5390" t="s">
        <v>193</v>
      </c>
      <c r="S5390">
        <v>0</v>
      </c>
      <c r="T5390">
        <v>0</v>
      </c>
      <c r="U5390">
        <v>0</v>
      </c>
      <c r="W5390" t="s">
        <v>52</v>
      </c>
    </row>
    <row r="5391" spans="1:45" x14ac:dyDescent="0.35">
      <c r="A5391" t="s">
        <v>45</v>
      </c>
      <c r="B5391" t="s">
        <v>12164</v>
      </c>
      <c r="C5391" t="s">
        <v>58</v>
      </c>
      <c r="D5391" t="s">
        <v>12257</v>
      </c>
      <c r="E5391" t="s">
        <v>12257</v>
      </c>
      <c r="F5391" t="s">
        <v>49</v>
      </c>
      <c r="G5391" t="s">
        <v>12258</v>
      </c>
      <c r="H5391" t="s">
        <v>12259</v>
      </c>
      <c r="J5391" t="str">
        <f>HYPERLINK("https://www.youtube.com/watch?v=lIhFXdCfVgQ","https://www.youtube.com/watch?v=lIhFXdCfVgQ")</f>
        <v>https://www.youtube.com/watch?v=lIhFXdCfVgQ</v>
      </c>
      <c r="O5391">
        <v>0</v>
      </c>
      <c r="P5391">
        <v>0</v>
      </c>
      <c r="Q5391">
        <v>0</v>
      </c>
      <c r="S5391">
        <v>0</v>
      </c>
      <c r="T5391">
        <v>0</v>
      </c>
      <c r="U5391">
        <v>0</v>
      </c>
      <c r="W5391" t="s">
        <v>106</v>
      </c>
    </row>
    <row r="5392" spans="1:45" x14ac:dyDescent="0.35">
      <c r="A5392" t="s">
        <v>45</v>
      </c>
      <c r="B5392" t="s">
        <v>12164</v>
      </c>
      <c r="C5392" t="s">
        <v>139</v>
      </c>
      <c r="D5392" t="s">
        <v>190</v>
      </c>
      <c r="E5392" t="s">
        <v>45</v>
      </c>
      <c r="F5392" t="s">
        <v>49</v>
      </c>
      <c r="G5392" t="s">
        <v>12228</v>
      </c>
      <c r="H5392" t="s">
        <v>12260</v>
      </c>
      <c r="J5392" t="str">
        <f>HYPERLINK("https://twitter.com/FinoPaymntsBank/status/1744682934269853817","https://twitter.com/FinoPaymntsBank/status/1744682934269853817")</f>
        <v>https://twitter.com/FinoPaymntsBank/status/1744682934269853817</v>
      </c>
      <c r="K5392" t="s">
        <v>145</v>
      </c>
      <c r="O5392">
        <v>0</v>
      </c>
      <c r="P5392">
        <v>0</v>
      </c>
      <c r="Q5392">
        <v>8299</v>
      </c>
      <c r="R5392" t="s">
        <v>193</v>
      </c>
      <c r="S5392">
        <v>0</v>
      </c>
      <c r="T5392">
        <v>0</v>
      </c>
      <c r="U5392">
        <v>0</v>
      </c>
      <c r="W5392" t="s">
        <v>146</v>
      </c>
    </row>
    <row r="5393" spans="1:45" x14ac:dyDescent="0.35">
      <c r="A5393" t="s">
        <v>45</v>
      </c>
      <c r="B5393" t="s">
        <v>12164</v>
      </c>
      <c r="C5393" t="s">
        <v>47</v>
      </c>
      <c r="D5393" t="s">
        <v>45</v>
      </c>
      <c r="E5393" t="s">
        <v>45</v>
      </c>
      <c r="F5393" t="s">
        <v>49</v>
      </c>
      <c r="G5393" t="s">
        <v>12261</v>
      </c>
      <c r="H5393" t="s">
        <v>12260</v>
      </c>
      <c r="J5393" t="str">
        <f>HYPERLINK("https://www.facebook.com/357267201017935_750037770487942","https://www.facebook.com/357267201017935_750037770487942")</f>
        <v>https://www.facebook.com/357267201017935_750037770487942</v>
      </c>
      <c r="O5393">
        <v>0</v>
      </c>
      <c r="P5393">
        <v>0</v>
      </c>
      <c r="Q5393">
        <v>0</v>
      </c>
      <c r="S5393">
        <v>9</v>
      </c>
      <c r="T5393">
        <v>79</v>
      </c>
      <c r="U5393">
        <v>8</v>
      </c>
      <c r="W5393" t="s">
        <v>106</v>
      </c>
    </row>
    <row r="5394" spans="1:45" x14ac:dyDescent="0.35">
      <c r="A5394" t="s">
        <v>45</v>
      </c>
      <c r="B5394" t="s">
        <v>12164</v>
      </c>
      <c r="C5394" t="s">
        <v>139</v>
      </c>
      <c r="D5394" t="s">
        <v>12262</v>
      </c>
      <c r="E5394" t="s">
        <v>12263</v>
      </c>
      <c r="F5394" t="s">
        <v>49</v>
      </c>
      <c r="G5394" t="s">
        <v>12264</v>
      </c>
      <c r="H5394" t="s">
        <v>12265</v>
      </c>
      <c r="J5394" t="str">
        <f>HYPERLINK("https://twitter.com/startupstorym/status/1744673464588591295","https://twitter.com/startupstorym/status/1744673464588591295")</f>
        <v>https://twitter.com/startupstorym/status/1744673464588591295</v>
      </c>
      <c r="O5394">
        <v>0</v>
      </c>
      <c r="P5394">
        <v>0</v>
      </c>
      <c r="Q5394">
        <v>619</v>
      </c>
      <c r="R5394" t="s">
        <v>4792</v>
      </c>
      <c r="S5394">
        <v>0</v>
      </c>
      <c r="T5394">
        <v>0</v>
      </c>
      <c r="U5394">
        <v>0</v>
      </c>
      <c r="W5394" t="s">
        <v>146</v>
      </c>
    </row>
    <row r="5395" spans="1:45" x14ac:dyDescent="0.35">
      <c r="A5395" t="s">
        <v>45</v>
      </c>
      <c r="B5395" t="s">
        <v>12164</v>
      </c>
      <c r="C5395" t="s">
        <v>47</v>
      </c>
      <c r="D5395" t="s">
        <v>12263</v>
      </c>
      <c r="E5395" t="s">
        <v>12263</v>
      </c>
      <c r="F5395" t="s">
        <v>49</v>
      </c>
      <c r="G5395" t="s">
        <v>12266</v>
      </c>
      <c r="H5395" t="s">
        <v>12267</v>
      </c>
      <c r="J5395" t="str">
        <f>HYPERLINK("https://www.facebook.com/412440814238126/posts/757577746391096","https://www.facebook.com/412440814238126/posts/757577746391096")</f>
        <v>https://www.facebook.com/412440814238126/posts/757577746391096</v>
      </c>
      <c r="O5395">
        <v>0</v>
      </c>
      <c r="P5395">
        <v>0</v>
      </c>
      <c r="Q5395">
        <v>0</v>
      </c>
      <c r="S5395">
        <v>0</v>
      </c>
      <c r="T5395">
        <v>0</v>
      </c>
      <c r="U5395">
        <v>0</v>
      </c>
      <c r="W5395" t="s">
        <v>106</v>
      </c>
    </row>
    <row r="5396" spans="1:45" x14ac:dyDescent="0.35">
      <c r="A5396" t="s">
        <v>45</v>
      </c>
      <c r="B5396" t="s">
        <v>12164</v>
      </c>
      <c r="C5396" t="s">
        <v>47</v>
      </c>
      <c r="D5396" t="s">
        <v>12268</v>
      </c>
      <c r="E5396" t="s">
        <v>12268</v>
      </c>
      <c r="F5396" t="s">
        <v>76</v>
      </c>
      <c r="G5396" t="s">
        <v>12269</v>
      </c>
      <c r="H5396" t="s">
        <v>12270</v>
      </c>
      <c r="J5396" t="str">
        <f>HYPERLINK("https://www.facebook.com/122168812196003011/posts/122168812160003011","https://www.facebook.com/122168812196003011/posts/122168812160003011")</f>
        <v>https://www.facebook.com/122168812196003011/posts/122168812160003011</v>
      </c>
      <c r="O5396">
        <v>0</v>
      </c>
      <c r="P5396">
        <v>0</v>
      </c>
      <c r="Q5396">
        <v>0</v>
      </c>
      <c r="S5396">
        <v>0</v>
      </c>
      <c r="T5396">
        <v>0</v>
      </c>
      <c r="U5396">
        <v>0</v>
      </c>
      <c r="W5396" t="s">
        <v>106</v>
      </c>
    </row>
    <row r="5397" spans="1:45" x14ac:dyDescent="0.35">
      <c r="A5397" t="s">
        <v>45</v>
      </c>
      <c r="B5397" t="s">
        <v>12164</v>
      </c>
      <c r="C5397" t="s">
        <v>139</v>
      </c>
      <c r="D5397" t="s">
        <v>12271</v>
      </c>
      <c r="E5397" t="s">
        <v>12272</v>
      </c>
      <c r="F5397" t="s">
        <v>142</v>
      </c>
      <c r="G5397" t="s">
        <v>12273</v>
      </c>
      <c r="H5397" t="s">
        <v>12270</v>
      </c>
      <c r="J5397" t="str">
        <f>HYPERLINK("https://twitter.com/PaytmC28560/status/1744664745930870918","https://twitter.com/PaytmC28560/status/1744664745930870918")</f>
        <v>https://twitter.com/PaytmC28560/status/1744664745930870918</v>
      </c>
      <c r="O5397">
        <v>0</v>
      </c>
      <c r="P5397">
        <v>0</v>
      </c>
      <c r="Q5397">
        <v>0</v>
      </c>
      <c r="S5397">
        <v>0</v>
      </c>
      <c r="T5397">
        <v>0</v>
      </c>
      <c r="U5397">
        <v>0</v>
      </c>
      <c r="W5397" t="s">
        <v>146</v>
      </c>
    </row>
    <row r="5398" spans="1:45" x14ac:dyDescent="0.35">
      <c r="A5398" t="s">
        <v>45</v>
      </c>
      <c r="B5398" t="s">
        <v>12164</v>
      </c>
      <c r="C5398" t="s">
        <v>139</v>
      </c>
      <c r="D5398" t="s">
        <v>11961</v>
      </c>
      <c r="E5398" t="s">
        <v>11962</v>
      </c>
      <c r="F5398" t="s">
        <v>49</v>
      </c>
      <c r="G5398" t="s">
        <v>12274</v>
      </c>
      <c r="H5398" t="s">
        <v>12275</v>
      </c>
      <c r="J5398" t="str">
        <f>HYPERLINK("https://twitter.com/Sacheti2Sacheti/status/1744664589814661501","https://twitter.com/Sacheti2Sacheti/status/1744664589814661501")</f>
        <v>https://twitter.com/Sacheti2Sacheti/status/1744664589814661501</v>
      </c>
      <c r="K5398" t="s">
        <v>145</v>
      </c>
      <c r="O5398">
        <v>0</v>
      </c>
      <c r="P5398">
        <v>0</v>
      </c>
      <c r="Q5398">
        <v>4</v>
      </c>
      <c r="S5398">
        <v>0</v>
      </c>
      <c r="T5398">
        <v>0</v>
      </c>
      <c r="U5398">
        <v>0</v>
      </c>
      <c r="W5398" t="s">
        <v>146</v>
      </c>
    </row>
    <row r="5399" spans="1:45" x14ac:dyDescent="0.35">
      <c r="A5399" t="s">
        <v>45</v>
      </c>
      <c r="B5399" t="s">
        <v>12164</v>
      </c>
      <c r="C5399" t="s">
        <v>47</v>
      </c>
      <c r="D5399" t="s">
        <v>45</v>
      </c>
      <c r="E5399" t="s">
        <v>45</v>
      </c>
      <c r="F5399" t="s">
        <v>49</v>
      </c>
      <c r="G5399" t="s">
        <v>12276</v>
      </c>
      <c r="H5399" t="s">
        <v>12277</v>
      </c>
      <c r="J5399" t="str">
        <f>HYPERLINK("https://www.facebook.com/454965103328545/posts/750050217153364","https://www.facebook.com/454965103328545/posts/750050217153364")</f>
        <v>https://www.facebook.com/454965103328545/posts/750050217153364</v>
      </c>
      <c r="O5399">
        <v>0</v>
      </c>
      <c r="P5399">
        <v>0</v>
      </c>
      <c r="Q5399">
        <v>0</v>
      </c>
      <c r="S5399">
        <v>4</v>
      </c>
      <c r="T5399">
        <v>6</v>
      </c>
      <c r="U5399">
        <v>2</v>
      </c>
      <c r="W5399" t="s">
        <v>106</v>
      </c>
      <c r="AS5399" t="s">
        <v>115</v>
      </c>
    </row>
    <row r="5400" spans="1:45" x14ac:dyDescent="0.35">
      <c r="A5400" t="s">
        <v>45</v>
      </c>
      <c r="B5400" t="s">
        <v>12164</v>
      </c>
      <c r="C5400" t="s">
        <v>139</v>
      </c>
      <c r="D5400" t="s">
        <v>12278</v>
      </c>
      <c r="E5400" t="s">
        <v>12279</v>
      </c>
      <c r="F5400" t="s">
        <v>49</v>
      </c>
      <c r="G5400" t="s">
        <v>12280</v>
      </c>
      <c r="H5400" t="s">
        <v>12281</v>
      </c>
      <c r="J5400" t="str">
        <f>HYPERLINK("https://twitter.com/businessupturn/status/1744643419933135132","https://twitter.com/businessupturn/status/1744643419933135132")</f>
        <v>https://twitter.com/businessupturn/status/1744643419933135132</v>
      </c>
      <c r="O5400">
        <v>0</v>
      </c>
      <c r="P5400">
        <v>0</v>
      </c>
      <c r="Q5400">
        <v>1203</v>
      </c>
      <c r="R5400" t="s">
        <v>1868</v>
      </c>
      <c r="S5400">
        <v>0</v>
      </c>
      <c r="T5400">
        <v>0</v>
      </c>
      <c r="U5400">
        <v>0</v>
      </c>
      <c r="V5400" t="s">
        <v>642</v>
      </c>
      <c r="W5400" t="s">
        <v>146</v>
      </c>
    </row>
    <row r="5401" spans="1:45" x14ac:dyDescent="0.35">
      <c r="A5401" t="s">
        <v>45</v>
      </c>
      <c r="B5401" t="s">
        <v>12164</v>
      </c>
      <c r="C5401" t="s">
        <v>139</v>
      </c>
      <c r="D5401" t="s">
        <v>12282</v>
      </c>
      <c r="E5401" t="s">
        <v>12283</v>
      </c>
      <c r="F5401" t="s">
        <v>49</v>
      </c>
      <c r="G5401" t="s">
        <v>12284</v>
      </c>
      <c r="H5401" t="s">
        <v>12285</v>
      </c>
      <c r="J5401" t="str">
        <f>HYPERLINK("https://twitter.com/Thespuzz/status/1744641770825347192","https://twitter.com/Thespuzz/status/1744641770825347192")</f>
        <v>https://twitter.com/Thespuzz/status/1744641770825347192</v>
      </c>
      <c r="O5401">
        <v>0</v>
      </c>
      <c r="P5401">
        <v>0</v>
      </c>
      <c r="Q5401">
        <v>2508</v>
      </c>
      <c r="R5401" t="s">
        <v>582</v>
      </c>
      <c r="S5401">
        <v>0</v>
      </c>
      <c r="T5401">
        <v>0</v>
      </c>
      <c r="U5401">
        <v>0</v>
      </c>
      <c r="W5401" t="s">
        <v>146</v>
      </c>
    </row>
    <row r="5402" spans="1:45" x14ac:dyDescent="0.35">
      <c r="A5402" t="s">
        <v>45</v>
      </c>
      <c r="B5402" t="s">
        <v>12164</v>
      </c>
      <c r="C5402" t="s">
        <v>47</v>
      </c>
      <c r="D5402" t="s">
        <v>45</v>
      </c>
      <c r="E5402" t="s">
        <v>45</v>
      </c>
      <c r="F5402" t="s">
        <v>49</v>
      </c>
      <c r="G5402" t="s">
        <v>1757</v>
      </c>
      <c r="H5402" t="s">
        <v>12286</v>
      </c>
      <c r="J5402" t="str">
        <f>HYPERLINK("https://www.facebook.com/454965103328545/posts/750017770489942","https://www.facebook.com/454965103328545/posts/750017770489942")</f>
        <v>https://www.facebook.com/454965103328545/posts/750017770489942</v>
      </c>
      <c r="O5402">
        <v>0</v>
      </c>
      <c r="P5402">
        <v>0</v>
      </c>
      <c r="Q5402">
        <v>0</v>
      </c>
      <c r="S5402">
        <v>5</v>
      </c>
      <c r="T5402">
        <v>273</v>
      </c>
      <c r="U5402">
        <v>3</v>
      </c>
      <c r="W5402" t="s">
        <v>106</v>
      </c>
      <c r="AS5402" t="s">
        <v>115</v>
      </c>
    </row>
    <row r="5403" spans="1:45" x14ac:dyDescent="0.35">
      <c r="A5403" t="s">
        <v>45</v>
      </c>
      <c r="B5403" t="s">
        <v>12164</v>
      </c>
      <c r="C5403" t="s">
        <v>139</v>
      </c>
      <c r="D5403" t="s">
        <v>12287</v>
      </c>
      <c r="E5403" t="s">
        <v>12288</v>
      </c>
      <c r="F5403" t="s">
        <v>49</v>
      </c>
      <c r="G5403" t="s">
        <v>12289</v>
      </c>
      <c r="H5403" t="s">
        <v>12290</v>
      </c>
      <c r="J5403" t="str">
        <f>HYPERLINK("https://twitter.com/ranganathan_sai/status/1744629069348766100","https://twitter.com/ranganathan_sai/status/1744629069348766100")</f>
        <v>https://twitter.com/ranganathan_sai/status/1744629069348766100</v>
      </c>
      <c r="K5403" t="s">
        <v>145</v>
      </c>
      <c r="O5403">
        <v>0</v>
      </c>
      <c r="P5403">
        <v>0</v>
      </c>
      <c r="Q5403">
        <v>85</v>
      </c>
      <c r="S5403">
        <v>0</v>
      </c>
      <c r="T5403">
        <v>0</v>
      </c>
      <c r="U5403">
        <v>0</v>
      </c>
      <c r="W5403" t="s">
        <v>552</v>
      </c>
    </row>
    <row r="5404" spans="1:45" x14ac:dyDescent="0.35">
      <c r="A5404" t="s">
        <v>45</v>
      </c>
      <c r="B5404" t="s">
        <v>12164</v>
      </c>
      <c r="C5404" t="s">
        <v>47</v>
      </c>
      <c r="D5404" t="s">
        <v>45</v>
      </c>
      <c r="E5404" t="s">
        <v>45</v>
      </c>
      <c r="F5404" t="s">
        <v>49</v>
      </c>
      <c r="G5404" t="s">
        <v>12291</v>
      </c>
      <c r="H5404" t="s">
        <v>12292</v>
      </c>
      <c r="J5404" t="str">
        <f>HYPERLINK("https://www.facebook.com/454965103328545/posts/750007137157672","https://www.facebook.com/454965103328545/posts/750007137157672")</f>
        <v>https://www.facebook.com/454965103328545/posts/750007137157672</v>
      </c>
      <c r="O5404">
        <v>0</v>
      </c>
      <c r="P5404">
        <v>0</v>
      </c>
      <c r="Q5404">
        <v>0</v>
      </c>
      <c r="S5404">
        <v>17</v>
      </c>
      <c r="T5404">
        <v>1536</v>
      </c>
      <c r="U5404">
        <v>12</v>
      </c>
      <c r="W5404" t="s">
        <v>106</v>
      </c>
      <c r="AS5404" t="s">
        <v>115</v>
      </c>
    </row>
    <row r="5405" spans="1:45" x14ac:dyDescent="0.35">
      <c r="A5405" t="s">
        <v>45</v>
      </c>
      <c r="B5405" t="s">
        <v>12164</v>
      </c>
      <c r="C5405" t="s">
        <v>139</v>
      </c>
      <c r="D5405" t="s">
        <v>10049</v>
      </c>
      <c r="E5405" t="s">
        <v>10049</v>
      </c>
      <c r="F5405" t="s">
        <v>49</v>
      </c>
      <c r="G5405" t="s">
        <v>12289</v>
      </c>
      <c r="H5405" t="s">
        <v>12293</v>
      </c>
      <c r="J5405" t="str">
        <f>HYPERLINK("https://twitter.com/Inc42/status/1744622423503212814","https://twitter.com/Inc42/status/1744622423503212814")</f>
        <v>https://twitter.com/Inc42/status/1744622423503212814</v>
      </c>
      <c r="O5405">
        <v>0</v>
      </c>
      <c r="P5405">
        <v>0</v>
      </c>
      <c r="Q5405">
        <v>43209</v>
      </c>
      <c r="R5405" t="s">
        <v>12294</v>
      </c>
      <c r="S5405">
        <v>0</v>
      </c>
      <c r="T5405">
        <v>0</v>
      </c>
      <c r="U5405">
        <v>0</v>
      </c>
      <c r="V5405" t="s">
        <v>642</v>
      </c>
      <c r="W5405" t="s">
        <v>146</v>
      </c>
    </row>
    <row r="5406" spans="1:45" x14ac:dyDescent="0.35">
      <c r="A5406" t="s">
        <v>45</v>
      </c>
      <c r="B5406" t="s">
        <v>12164</v>
      </c>
      <c r="C5406" t="s">
        <v>47</v>
      </c>
      <c r="D5406" t="s">
        <v>10049</v>
      </c>
      <c r="E5406" t="s">
        <v>10049</v>
      </c>
      <c r="F5406" t="s">
        <v>49</v>
      </c>
      <c r="G5406" t="s">
        <v>12295</v>
      </c>
      <c r="H5406" t="s">
        <v>12296</v>
      </c>
      <c r="J5406" t="str">
        <f>HYPERLINK("https://www.facebook.com/530505755340218/posts/920231346367655","https://www.facebook.com/530505755340218/posts/920231346367655")</f>
        <v>https://www.facebook.com/530505755340218/posts/920231346367655</v>
      </c>
      <c r="O5406">
        <v>0</v>
      </c>
      <c r="P5406">
        <v>0</v>
      </c>
      <c r="Q5406">
        <v>0</v>
      </c>
      <c r="S5406">
        <v>0</v>
      </c>
      <c r="T5406">
        <v>0</v>
      </c>
      <c r="U5406">
        <v>0</v>
      </c>
      <c r="W5406" t="s">
        <v>106</v>
      </c>
    </row>
    <row r="5407" spans="1:45" x14ac:dyDescent="0.35">
      <c r="A5407" t="s">
        <v>45</v>
      </c>
      <c r="B5407" t="s">
        <v>12164</v>
      </c>
      <c r="C5407" t="s">
        <v>139</v>
      </c>
      <c r="D5407" t="s">
        <v>12297</v>
      </c>
      <c r="E5407" t="s">
        <v>12298</v>
      </c>
      <c r="F5407" t="s">
        <v>142</v>
      </c>
      <c r="G5407" t="s">
        <v>12299</v>
      </c>
      <c r="H5407" t="s">
        <v>12300</v>
      </c>
      <c r="J5407" t="str">
        <f>HYPERLINK("https://twitter.com/MobikwikRBi/status/1744619470394687643","https://twitter.com/MobikwikRBi/status/1744619470394687643")</f>
        <v>https://twitter.com/MobikwikRBi/status/1744619470394687643</v>
      </c>
      <c r="O5407">
        <v>0</v>
      </c>
      <c r="P5407">
        <v>0</v>
      </c>
      <c r="Q5407">
        <v>1</v>
      </c>
      <c r="S5407">
        <v>0</v>
      </c>
      <c r="T5407">
        <v>0</v>
      </c>
      <c r="U5407">
        <v>0</v>
      </c>
      <c r="W5407" t="s">
        <v>146</v>
      </c>
      <c r="AP5407" t="s">
        <v>147</v>
      </c>
    </row>
    <row r="5408" spans="1:45" x14ac:dyDescent="0.35">
      <c r="A5408" t="s">
        <v>45</v>
      </c>
      <c r="B5408" t="s">
        <v>12164</v>
      </c>
      <c r="C5408" t="s">
        <v>47</v>
      </c>
      <c r="D5408" t="s">
        <v>12301</v>
      </c>
      <c r="E5408" t="s">
        <v>12301</v>
      </c>
      <c r="F5408" t="s">
        <v>49</v>
      </c>
      <c r="G5408" t="s">
        <v>12302</v>
      </c>
      <c r="H5408" t="s">
        <v>12303</v>
      </c>
      <c r="J5408" t="str">
        <f>HYPERLINK("https://www.facebook.com/357267201017935/posts/3069910089753619/?comment_id=791828179625799","https://www.facebook.com/357267201017935/posts/3069910089753619/?comment_id=791828179625799")</f>
        <v>https://www.facebook.com/357267201017935/posts/3069910089753619/?comment_id=791828179625799</v>
      </c>
      <c r="O5408">
        <v>0</v>
      </c>
      <c r="P5408">
        <v>0</v>
      </c>
      <c r="Q5408">
        <v>0</v>
      </c>
      <c r="S5408">
        <v>0</v>
      </c>
      <c r="T5408">
        <v>0</v>
      </c>
      <c r="U5408">
        <v>0</v>
      </c>
      <c r="W5408" t="s">
        <v>62</v>
      </c>
    </row>
    <row r="5409" spans="1:23" x14ac:dyDescent="0.35">
      <c r="A5409" t="s">
        <v>45</v>
      </c>
      <c r="B5409" t="s">
        <v>12164</v>
      </c>
      <c r="C5409" t="s">
        <v>47</v>
      </c>
      <c r="D5409" t="s">
        <v>12301</v>
      </c>
      <c r="E5409" t="s">
        <v>12301</v>
      </c>
      <c r="F5409" t="s">
        <v>49</v>
      </c>
      <c r="G5409">
        <v>273</v>
      </c>
      <c r="H5409" t="s">
        <v>12304</v>
      </c>
      <c r="J5409" t="str">
        <f>HYPERLINK("https://www.facebook.com/357267201017935/posts/3069910089753619/?comment_id=791794609365803","https://www.facebook.com/357267201017935/posts/3069910089753619/?comment_id=791794609365803")</f>
        <v>https://www.facebook.com/357267201017935/posts/3069910089753619/?comment_id=791794609365803</v>
      </c>
      <c r="O5409">
        <v>0</v>
      </c>
      <c r="P5409">
        <v>0</v>
      </c>
      <c r="Q5409">
        <v>0</v>
      </c>
      <c r="S5409">
        <v>0</v>
      </c>
      <c r="T5409">
        <v>0</v>
      </c>
      <c r="U5409">
        <v>0</v>
      </c>
      <c r="W5409" t="s">
        <v>62</v>
      </c>
    </row>
    <row r="5410" spans="1:23" x14ac:dyDescent="0.35">
      <c r="A5410" t="s">
        <v>45</v>
      </c>
      <c r="B5410" t="s">
        <v>12164</v>
      </c>
      <c r="C5410" t="s">
        <v>58</v>
      </c>
      <c r="D5410" t="s">
        <v>12305</v>
      </c>
      <c r="E5410" t="s">
        <v>12305</v>
      </c>
      <c r="F5410" t="s">
        <v>49</v>
      </c>
      <c r="G5410" t="s">
        <v>12306</v>
      </c>
      <c r="H5410" t="s">
        <v>12307</v>
      </c>
      <c r="J5410" t="str">
        <f>HYPERLINK("https://www.youtube.com/watch?v=e9ONICH8zr8","https://www.youtube.com/watch?v=e9ONICH8zr8")</f>
        <v>https://www.youtube.com/watch?v=e9ONICH8zr8</v>
      </c>
      <c r="O5410">
        <v>0</v>
      </c>
      <c r="P5410">
        <v>0</v>
      </c>
      <c r="Q5410">
        <v>0</v>
      </c>
      <c r="S5410">
        <v>0</v>
      </c>
      <c r="T5410">
        <v>0</v>
      </c>
      <c r="U5410">
        <v>0</v>
      </c>
      <c r="W5410" t="s">
        <v>106</v>
      </c>
    </row>
    <row r="5411" spans="1:23" x14ac:dyDescent="0.35">
      <c r="A5411" t="s">
        <v>45</v>
      </c>
      <c r="B5411" t="s">
        <v>12164</v>
      </c>
      <c r="C5411" t="s">
        <v>139</v>
      </c>
      <c r="D5411" t="s">
        <v>12308</v>
      </c>
      <c r="E5411" t="s">
        <v>12309</v>
      </c>
      <c r="F5411" t="s">
        <v>49</v>
      </c>
      <c r="G5411" t="s">
        <v>12310</v>
      </c>
      <c r="H5411" t="s">
        <v>12311</v>
      </c>
      <c r="J5411" t="str">
        <f>HYPERLINK("https://twitter.com/dailyfastupdate/status/1744595871163973741","https://twitter.com/dailyfastupdate/status/1744595871163973741")</f>
        <v>https://twitter.com/dailyfastupdate/status/1744595871163973741</v>
      </c>
      <c r="K5411" t="s">
        <v>145</v>
      </c>
      <c r="O5411">
        <v>0</v>
      </c>
      <c r="P5411">
        <v>0</v>
      </c>
      <c r="Q5411">
        <v>14</v>
      </c>
      <c r="R5411" t="s">
        <v>4965</v>
      </c>
      <c r="S5411">
        <v>0</v>
      </c>
      <c r="T5411">
        <v>0</v>
      </c>
      <c r="U5411">
        <v>0</v>
      </c>
      <c r="W5411" t="s">
        <v>146</v>
      </c>
    </row>
    <row r="5412" spans="1:23" x14ac:dyDescent="0.35">
      <c r="A5412" t="s">
        <v>45</v>
      </c>
      <c r="B5412" t="s">
        <v>12164</v>
      </c>
      <c r="C5412" t="s">
        <v>58</v>
      </c>
      <c r="D5412" t="s">
        <v>12312</v>
      </c>
      <c r="E5412" t="s">
        <v>12312</v>
      </c>
      <c r="F5412" t="s">
        <v>76</v>
      </c>
      <c r="G5412" t="s">
        <v>12313</v>
      </c>
      <c r="H5412" t="s">
        <v>12314</v>
      </c>
      <c r="J5412" t="str">
        <f>HYPERLINK("https://www.youtube.com/watch?v=YXAmwSmuiH8","https://www.youtube.com/watch?v=YXAmwSmuiH8")</f>
        <v>https://www.youtube.com/watch?v=YXAmwSmuiH8</v>
      </c>
      <c r="O5412">
        <v>0</v>
      </c>
      <c r="P5412">
        <v>0</v>
      </c>
      <c r="Q5412">
        <v>0</v>
      </c>
      <c r="S5412">
        <v>0</v>
      </c>
      <c r="T5412">
        <v>0</v>
      </c>
      <c r="U5412">
        <v>0</v>
      </c>
      <c r="W5412" t="s">
        <v>106</v>
      </c>
    </row>
    <row r="5413" spans="1:23" x14ac:dyDescent="0.35">
      <c r="A5413" t="s">
        <v>45</v>
      </c>
      <c r="B5413" t="s">
        <v>12164</v>
      </c>
      <c r="C5413" t="s">
        <v>58</v>
      </c>
      <c r="D5413" t="s">
        <v>12315</v>
      </c>
      <c r="E5413" t="s">
        <v>12315</v>
      </c>
      <c r="F5413" t="s">
        <v>49</v>
      </c>
      <c r="G5413" t="s">
        <v>12316</v>
      </c>
      <c r="H5413" t="s">
        <v>12317</v>
      </c>
      <c r="J5413" t="str">
        <f>HYPERLINK("https://www.youtube.com/watch?v=JmuQf6YJRzc","https://www.youtube.com/watch?v=JmuQf6YJRzc")</f>
        <v>https://www.youtube.com/watch?v=JmuQf6YJRzc</v>
      </c>
      <c r="O5413">
        <v>0</v>
      </c>
      <c r="P5413">
        <v>0</v>
      </c>
      <c r="Q5413">
        <v>0</v>
      </c>
      <c r="S5413">
        <v>0</v>
      </c>
      <c r="T5413">
        <v>0</v>
      </c>
      <c r="U5413">
        <v>0</v>
      </c>
      <c r="W5413" t="s">
        <v>106</v>
      </c>
    </row>
    <row r="5414" spans="1:23" x14ac:dyDescent="0.35">
      <c r="A5414" t="s">
        <v>45</v>
      </c>
      <c r="B5414" t="s">
        <v>12164</v>
      </c>
      <c r="C5414" t="s">
        <v>139</v>
      </c>
      <c r="D5414" t="s">
        <v>12318</v>
      </c>
      <c r="E5414" t="s">
        <v>12319</v>
      </c>
      <c r="F5414" t="s">
        <v>49</v>
      </c>
      <c r="G5414" t="s">
        <v>12320</v>
      </c>
      <c r="H5414" t="s">
        <v>12321</v>
      </c>
      <c r="J5414" t="str">
        <f>HYPERLINK("https://twitter.com/bshindinews/status/1744566160321081403","https://twitter.com/bshindinews/status/1744566160321081403")</f>
        <v>https://twitter.com/bshindinews/status/1744566160321081403</v>
      </c>
      <c r="O5414">
        <v>0</v>
      </c>
      <c r="P5414">
        <v>0</v>
      </c>
      <c r="Q5414">
        <v>553</v>
      </c>
      <c r="R5414" t="s">
        <v>4792</v>
      </c>
      <c r="S5414">
        <v>0</v>
      </c>
      <c r="T5414">
        <v>0</v>
      </c>
      <c r="U5414">
        <v>0</v>
      </c>
      <c r="V5414" t="s">
        <v>642</v>
      </c>
      <c r="W5414" t="s">
        <v>146</v>
      </c>
    </row>
    <row r="5415" spans="1:23" x14ac:dyDescent="0.35">
      <c r="A5415" t="s">
        <v>45</v>
      </c>
      <c r="B5415" t="s">
        <v>12164</v>
      </c>
      <c r="C5415" t="s">
        <v>139</v>
      </c>
      <c r="D5415" t="s">
        <v>12322</v>
      </c>
      <c r="E5415" t="s">
        <v>12323</v>
      </c>
      <c r="F5415" t="s">
        <v>49</v>
      </c>
      <c r="G5415" t="s">
        <v>12324</v>
      </c>
      <c r="H5415" t="s">
        <v>12325</v>
      </c>
      <c r="J5415" t="str">
        <f>HYPERLINK("https://twitter.com/29Bomble82342/status/1744563139960775042","https://twitter.com/29Bomble82342/status/1744563139960775042")</f>
        <v>https://twitter.com/29Bomble82342/status/1744563139960775042</v>
      </c>
      <c r="K5415" t="s">
        <v>145</v>
      </c>
      <c r="O5415">
        <v>0</v>
      </c>
      <c r="P5415">
        <v>0</v>
      </c>
      <c r="Q5415">
        <v>24</v>
      </c>
      <c r="R5415" t="s">
        <v>12326</v>
      </c>
      <c r="S5415">
        <v>0</v>
      </c>
      <c r="T5415">
        <v>0</v>
      </c>
      <c r="U5415">
        <v>0</v>
      </c>
      <c r="W5415" t="s">
        <v>552</v>
      </c>
    </row>
    <row r="5416" spans="1:23" x14ac:dyDescent="0.35">
      <c r="A5416" t="s">
        <v>45</v>
      </c>
      <c r="B5416" t="s">
        <v>12164</v>
      </c>
      <c r="C5416" t="s">
        <v>139</v>
      </c>
      <c r="D5416" t="s">
        <v>12327</v>
      </c>
      <c r="E5416" t="s">
        <v>12328</v>
      </c>
      <c r="F5416" t="s">
        <v>49</v>
      </c>
      <c r="G5416" t="s">
        <v>12329</v>
      </c>
      <c r="H5416" t="s">
        <v>12330</v>
      </c>
      <c r="J5416" t="str">
        <f>HYPERLINK("https://twitter.com/news18dotcom/status/1744561332396105988","https://twitter.com/news18dotcom/status/1744561332396105988")</f>
        <v>https://twitter.com/news18dotcom/status/1744561332396105988</v>
      </c>
      <c r="O5416">
        <v>0</v>
      </c>
      <c r="P5416">
        <v>0</v>
      </c>
      <c r="Q5416">
        <v>166860</v>
      </c>
      <c r="R5416" t="s">
        <v>582</v>
      </c>
      <c r="S5416">
        <v>0</v>
      </c>
      <c r="T5416">
        <v>0</v>
      </c>
      <c r="U5416">
        <v>0</v>
      </c>
      <c r="W5416" t="s">
        <v>146</v>
      </c>
    </row>
    <row r="5417" spans="1:23" x14ac:dyDescent="0.35">
      <c r="A5417" t="s">
        <v>45</v>
      </c>
      <c r="B5417" t="s">
        <v>12164</v>
      </c>
      <c r="C5417" t="s">
        <v>139</v>
      </c>
      <c r="D5417" t="s">
        <v>12331</v>
      </c>
      <c r="E5417" t="s">
        <v>12332</v>
      </c>
      <c r="F5417" t="s">
        <v>76</v>
      </c>
      <c r="G5417" t="s">
        <v>12333</v>
      </c>
      <c r="H5417" t="s">
        <v>12334</v>
      </c>
      <c r="J5417" t="str">
        <f>HYPERLINK("https://twitter.com/rockkrishna/status/1744554245410410679","https://twitter.com/rockkrishna/status/1744554245410410679")</f>
        <v>https://twitter.com/rockkrishna/status/1744554245410410679</v>
      </c>
      <c r="O5417">
        <v>0</v>
      </c>
      <c r="P5417">
        <v>0</v>
      </c>
      <c r="Q5417">
        <v>87</v>
      </c>
      <c r="R5417" t="s">
        <v>12335</v>
      </c>
      <c r="S5417">
        <v>0</v>
      </c>
      <c r="T5417">
        <v>0</v>
      </c>
      <c r="U5417">
        <v>0</v>
      </c>
      <c r="W5417" t="s">
        <v>146</v>
      </c>
    </row>
    <row r="5418" spans="1:23" x14ac:dyDescent="0.35">
      <c r="A5418" t="s">
        <v>45</v>
      </c>
      <c r="B5418" t="s">
        <v>12164</v>
      </c>
      <c r="C5418" t="s">
        <v>3127</v>
      </c>
      <c r="D5418" t="s">
        <v>12336</v>
      </c>
      <c r="E5418" t="s">
        <v>12336</v>
      </c>
      <c r="F5418" t="s">
        <v>76</v>
      </c>
      <c r="G5418" t="s">
        <v>12337</v>
      </c>
      <c r="H5418" t="s">
        <v>12338</v>
      </c>
      <c r="J5418" t="str">
        <f>HYPERLINK("","")</f>
        <v/>
      </c>
      <c r="O5418">
        <v>0</v>
      </c>
      <c r="P5418">
        <v>0</v>
      </c>
      <c r="Q5418">
        <v>0</v>
      </c>
      <c r="S5418">
        <v>0</v>
      </c>
      <c r="T5418">
        <v>0</v>
      </c>
      <c r="U5418">
        <v>0</v>
      </c>
    </row>
    <row r="5419" spans="1:23" x14ac:dyDescent="0.35">
      <c r="A5419" t="s">
        <v>45</v>
      </c>
      <c r="B5419" t="s">
        <v>12164</v>
      </c>
      <c r="C5419" t="s">
        <v>139</v>
      </c>
      <c r="D5419" t="s">
        <v>12339</v>
      </c>
      <c r="E5419" t="s">
        <v>12340</v>
      </c>
      <c r="F5419" t="s">
        <v>49</v>
      </c>
      <c r="G5419" t="s">
        <v>12341</v>
      </c>
      <c r="H5419" t="s">
        <v>12342</v>
      </c>
      <c r="J5419" t="str">
        <f>HYPERLINK("https://twitter.com/vlangaliya/status/1744551033282740410","https://twitter.com/vlangaliya/status/1744551033282740410")</f>
        <v>https://twitter.com/vlangaliya/status/1744551033282740410</v>
      </c>
      <c r="K5419" t="s">
        <v>1769</v>
      </c>
      <c r="O5419">
        <v>0</v>
      </c>
      <c r="P5419">
        <v>0</v>
      </c>
      <c r="Q5419">
        <v>743</v>
      </c>
      <c r="R5419" t="s">
        <v>7952</v>
      </c>
      <c r="S5419">
        <v>0</v>
      </c>
      <c r="T5419">
        <v>0</v>
      </c>
      <c r="U5419">
        <v>0</v>
      </c>
      <c r="W5419" t="s">
        <v>146</v>
      </c>
    </row>
    <row r="5420" spans="1:23" x14ac:dyDescent="0.35">
      <c r="A5420" t="s">
        <v>45</v>
      </c>
      <c r="B5420" t="s">
        <v>12164</v>
      </c>
      <c r="C5420" t="s">
        <v>139</v>
      </c>
      <c r="D5420" t="s">
        <v>12343</v>
      </c>
      <c r="E5420" t="s">
        <v>12344</v>
      </c>
      <c r="F5420" t="s">
        <v>49</v>
      </c>
      <c r="G5420" t="s">
        <v>12345</v>
      </c>
      <c r="H5420" t="s">
        <v>12346</v>
      </c>
      <c r="J5420" t="str">
        <f>HYPERLINK("https://twitter.com/bsindia/status/1744550709859934397","https://twitter.com/bsindia/status/1744550709859934397")</f>
        <v>https://twitter.com/bsindia/status/1744550709859934397</v>
      </c>
      <c r="O5420">
        <v>0</v>
      </c>
      <c r="P5420">
        <v>0</v>
      </c>
      <c r="Q5420">
        <v>2229912</v>
      </c>
      <c r="R5420" t="s">
        <v>582</v>
      </c>
      <c r="S5420">
        <v>0</v>
      </c>
      <c r="T5420">
        <v>0</v>
      </c>
      <c r="U5420">
        <v>0</v>
      </c>
      <c r="V5420" t="s">
        <v>642</v>
      </c>
      <c r="W5420" t="s">
        <v>146</v>
      </c>
    </row>
    <row r="5421" spans="1:23" x14ac:dyDescent="0.35">
      <c r="A5421" t="s">
        <v>45</v>
      </c>
      <c r="B5421" t="s">
        <v>12164</v>
      </c>
      <c r="C5421" t="s">
        <v>139</v>
      </c>
      <c r="D5421" t="s">
        <v>1327</v>
      </c>
      <c r="E5421" t="s">
        <v>1328</v>
      </c>
      <c r="F5421" t="s">
        <v>142</v>
      </c>
      <c r="G5421" t="s">
        <v>12347</v>
      </c>
      <c r="H5421" t="s">
        <v>12348</v>
      </c>
      <c r="J5421" t="str">
        <f>HYPERLINK("https://twitter.com/Ilfankhan19931/status/1744545075194155183","https://twitter.com/Ilfankhan19931/status/1744545075194155183")</f>
        <v>https://twitter.com/Ilfankhan19931/status/1744545075194155183</v>
      </c>
      <c r="O5421">
        <v>0</v>
      </c>
      <c r="P5421">
        <v>0</v>
      </c>
      <c r="Q5421">
        <v>3</v>
      </c>
      <c r="S5421">
        <v>0</v>
      </c>
      <c r="T5421">
        <v>0</v>
      </c>
      <c r="U5421">
        <v>0</v>
      </c>
      <c r="W5421" t="s">
        <v>146</v>
      </c>
    </row>
    <row r="5422" spans="1:23" x14ac:dyDescent="0.35">
      <c r="A5422" t="s">
        <v>45</v>
      </c>
      <c r="B5422" t="s">
        <v>12164</v>
      </c>
      <c r="C5422" t="s">
        <v>139</v>
      </c>
      <c r="D5422" t="s">
        <v>12349</v>
      </c>
      <c r="E5422" t="s">
        <v>12349</v>
      </c>
      <c r="F5422" t="s">
        <v>49</v>
      </c>
      <c r="G5422" t="s">
        <v>12350</v>
      </c>
      <c r="H5422" t="s">
        <v>12351</v>
      </c>
      <c r="J5422" t="str">
        <f>HYPERLINK("https://twitter.com/TheMarketCrux/status/1744539942704054647","https://twitter.com/TheMarketCrux/status/1744539942704054647")</f>
        <v>https://twitter.com/TheMarketCrux/status/1744539942704054647</v>
      </c>
      <c r="O5422">
        <v>0</v>
      </c>
      <c r="P5422">
        <v>0</v>
      </c>
      <c r="Q5422">
        <v>1666</v>
      </c>
      <c r="R5422" t="s">
        <v>582</v>
      </c>
      <c r="S5422">
        <v>0</v>
      </c>
      <c r="T5422">
        <v>0</v>
      </c>
      <c r="U5422">
        <v>0</v>
      </c>
      <c r="W5422" t="s">
        <v>146</v>
      </c>
    </row>
    <row r="5423" spans="1:23" x14ac:dyDescent="0.35">
      <c r="A5423" t="s">
        <v>45</v>
      </c>
      <c r="B5423" t="s">
        <v>12164</v>
      </c>
      <c r="C5423" t="s">
        <v>139</v>
      </c>
      <c r="D5423" t="s">
        <v>12352</v>
      </c>
      <c r="E5423" t="s">
        <v>12353</v>
      </c>
      <c r="F5423" t="s">
        <v>49</v>
      </c>
      <c r="G5423" t="s">
        <v>12354</v>
      </c>
      <c r="H5423" t="s">
        <v>12355</v>
      </c>
      <c r="J5423" t="str">
        <f>HYPERLINK("https://twitter.com/AshVerma111/status/1744535647896174745","https://twitter.com/AshVerma111/status/1744535647896174745")</f>
        <v>https://twitter.com/AshVerma111/status/1744535647896174745</v>
      </c>
      <c r="K5423" t="s">
        <v>145</v>
      </c>
      <c r="O5423">
        <v>0</v>
      </c>
      <c r="P5423">
        <v>0</v>
      </c>
      <c r="Q5423">
        <v>200892</v>
      </c>
      <c r="R5423" t="s">
        <v>1868</v>
      </c>
      <c r="S5423">
        <v>0</v>
      </c>
      <c r="T5423">
        <v>0</v>
      </c>
      <c r="U5423">
        <v>0</v>
      </c>
      <c r="V5423" t="s">
        <v>642</v>
      </c>
      <c r="W5423" t="s">
        <v>146</v>
      </c>
    </row>
    <row r="5424" spans="1:23" x14ac:dyDescent="0.35">
      <c r="A5424" t="s">
        <v>45</v>
      </c>
      <c r="B5424" t="s">
        <v>12164</v>
      </c>
      <c r="C5424" t="s">
        <v>139</v>
      </c>
      <c r="D5424" t="s">
        <v>12356</v>
      </c>
      <c r="E5424" t="s">
        <v>12357</v>
      </c>
      <c r="F5424" t="s">
        <v>49</v>
      </c>
      <c r="G5424" t="s">
        <v>12358</v>
      </c>
      <c r="H5424" t="s">
        <v>12359</v>
      </c>
      <c r="J5424" t="str">
        <f>HYPERLINK("https://twitter.com/Sharad9Dubey/status/1744534090207146035","https://twitter.com/Sharad9Dubey/status/1744534090207146035")</f>
        <v>https://twitter.com/Sharad9Dubey/status/1744534090207146035</v>
      </c>
      <c r="K5424" t="s">
        <v>145</v>
      </c>
      <c r="O5424">
        <v>0</v>
      </c>
      <c r="P5424">
        <v>0</v>
      </c>
      <c r="Q5424">
        <v>27496</v>
      </c>
      <c r="R5424" t="s">
        <v>1868</v>
      </c>
      <c r="S5424">
        <v>0</v>
      </c>
      <c r="T5424">
        <v>0</v>
      </c>
      <c r="U5424">
        <v>0</v>
      </c>
      <c r="W5424" t="s">
        <v>146</v>
      </c>
    </row>
    <row r="5425" spans="1:45" x14ac:dyDescent="0.35">
      <c r="A5425" t="s">
        <v>45</v>
      </c>
      <c r="B5425" t="s">
        <v>12164</v>
      </c>
      <c r="C5425" t="s">
        <v>3127</v>
      </c>
      <c r="D5425" t="s">
        <v>12360</v>
      </c>
      <c r="E5425" t="s">
        <v>12360</v>
      </c>
      <c r="F5425" t="s">
        <v>76</v>
      </c>
      <c r="G5425" t="s">
        <v>12361</v>
      </c>
      <c r="H5425" t="s">
        <v>12362</v>
      </c>
      <c r="J5425" t="str">
        <f>HYPERLINK("","")</f>
        <v/>
      </c>
      <c r="O5425">
        <v>0</v>
      </c>
      <c r="P5425">
        <v>0</v>
      </c>
      <c r="Q5425">
        <v>0</v>
      </c>
      <c r="S5425">
        <v>0</v>
      </c>
      <c r="T5425">
        <v>0</v>
      </c>
      <c r="U5425">
        <v>0</v>
      </c>
    </row>
    <row r="5426" spans="1:45" x14ac:dyDescent="0.35">
      <c r="A5426" t="s">
        <v>45</v>
      </c>
      <c r="B5426" t="s">
        <v>12164</v>
      </c>
      <c r="C5426" t="s">
        <v>3127</v>
      </c>
      <c r="D5426" t="s">
        <v>12363</v>
      </c>
      <c r="E5426" t="s">
        <v>12363</v>
      </c>
      <c r="F5426" t="s">
        <v>76</v>
      </c>
      <c r="G5426" t="s">
        <v>12364</v>
      </c>
      <c r="H5426" t="s">
        <v>12362</v>
      </c>
      <c r="J5426" t="str">
        <f>HYPERLINK("","")</f>
        <v/>
      </c>
      <c r="O5426">
        <v>0</v>
      </c>
      <c r="P5426">
        <v>0</v>
      </c>
      <c r="Q5426">
        <v>0</v>
      </c>
      <c r="S5426">
        <v>0</v>
      </c>
      <c r="T5426">
        <v>0</v>
      </c>
      <c r="U5426">
        <v>0</v>
      </c>
    </row>
    <row r="5427" spans="1:45" x14ac:dyDescent="0.35">
      <c r="A5427" t="s">
        <v>45</v>
      </c>
      <c r="B5427" t="s">
        <v>12365</v>
      </c>
      <c r="C5427" t="s">
        <v>139</v>
      </c>
      <c r="D5427" t="s">
        <v>12366</v>
      </c>
      <c r="E5427" t="s">
        <v>12367</v>
      </c>
      <c r="F5427" t="s">
        <v>142</v>
      </c>
      <c r="G5427" t="s">
        <v>12368</v>
      </c>
      <c r="H5427" t="s">
        <v>12369</v>
      </c>
      <c r="J5427" t="str">
        <f>HYPERLINK("https://twitter.com/YOGENDRA266481/status/1744415020946178206","https://twitter.com/YOGENDRA266481/status/1744415020946178206")</f>
        <v>https://twitter.com/YOGENDRA266481/status/1744415020946178206</v>
      </c>
      <c r="K5427" t="s">
        <v>145</v>
      </c>
      <c r="O5427">
        <v>0</v>
      </c>
      <c r="P5427">
        <v>0</v>
      </c>
      <c r="Q5427">
        <v>0</v>
      </c>
      <c r="R5427" t="s">
        <v>12370</v>
      </c>
      <c r="S5427">
        <v>0</v>
      </c>
      <c r="T5427">
        <v>0</v>
      </c>
      <c r="U5427">
        <v>0</v>
      </c>
      <c r="W5427" t="s">
        <v>146</v>
      </c>
    </row>
    <row r="5428" spans="1:45" x14ac:dyDescent="0.35">
      <c r="A5428" t="s">
        <v>45</v>
      </c>
      <c r="B5428" t="s">
        <v>12365</v>
      </c>
      <c r="C5428" t="s">
        <v>58</v>
      </c>
      <c r="D5428" t="s">
        <v>11972</v>
      </c>
      <c r="E5428" t="s">
        <v>11972</v>
      </c>
      <c r="F5428" t="s">
        <v>49</v>
      </c>
      <c r="G5428" t="s">
        <v>12371</v>
      </c>
      <c r="H5428" t="s">
        <v>12372</v>
      </c>
      <c r="J5428" t="str">
        <f>HYPERLINK("https://www.youtube.com/watch?v=NfgsjZvM3vA","https://www.youtube.com/watch?v=NfgsjZvM3vA")</f>
        <v>https://www.youtube.com/watch?v=NfgsjZvM3vA</v>
      </c>
      <c r="O5428">
        <v>0</v>
      </c>
      <c r="P5428">
        <v>0</v>
      </c>
      <c r="Q5428">
        <v>0</v>
      </c>
      <c r="S5428">
        <v>0</v>
      </c>
      <c r="T5428">
        <v>0</v>
      </c>
      <c r="U5428">
        <v>0</v>
      </c>
      <c r="W5428" t="s">
        <v>106</v>
      </c>
    </row>
    <row r="5429" spans="1:45" x14ac:dyDescent="0.35">
      <c r="A5429" t="s">
        <v>45</v>
      </c>
      <c r="B5429" t="s">
        <v>12365</v>
      </c>
      <c r="C5429" t="s">
        <v>47</v>
      </c>
      <c r="D5429" t="s">
        <v>12373</v>
      </c>
      <c r="E5429" t="s">
        <v>12373</v>
      </c>
      <c r="F5429" t="s">
        <v>49</v>
      </c>
      <c r="G5429" t="s">
        <v>50</v>
      </c>
      <c r="H5429" t="s">
        <v>12374</v>
      </c>
      <c r="J5429" t="str">
        <f>HYPERLINK("https://www.facebook.com/357267201017935/inbox/6898387606905829/","https://www.facebook.com/357267201017935/inbox/6898387606905829/")</f>
        <v>https://www.facebook.com/357267201017935/inbox/6898387606905829/</v>
      </c>
      <c r="O5429">
        <v>0</v>
      </c>
      <c r="P5429">
        <v>0</v>
      </c>
      <c r="Q5429">
        <v>0</v>
      </c>
      <c r="S5429">
        <v>0</v>
      </c>
      <c r="T5429">
        <v>0</v>
      </c>
      <c r="U5429">
        <v>0</v>
      </c>
      <c r="W5429" t="s">
        <v>52</v>
      </c>
    </row>
    <row r="5430" spans="1:45" x14ac:dyDescent="0.35">
      <c r="A5430" t="s">
        <v>45</v>
      </c>
      <c r="B5430" t="s">
        <v>12365</v>
      </c>
      <c r="C5430" t="s">
        <v>139</v>
      </c>
      <c r="D5430" t="s">
        <v>12375</v>
      </c>
      <c r="E5430" t="s">
        <v>12376</v>
      </c>
      <c r="F5430" t="s">
        <v>49</v>
      </c>
      <c r="G5430" t="s">
        <v>12377</v>
      </c>
      <c r="H5430" t="s">
        <v>12378</v>
      </c>
      <c r="J5430" t="str">
        <f>HYPERLINK("https://twitter.com/BroSanjyal/status/1744403554213982453","https://twitter.com/BroSanjyal/status/1744403554213982453")</f>
        <v>https://twitter.com/BroSanjyal/status/1744403554213982453</v>
      </c>
      <c r="K5430" t="s">
        <v>145</v>
      </c>
      <c r="O5430">
        <v>0</v>
      </c>
      <c r="P5430">
        <v>0</v>
      </c>
      <c r="Q5430">
        <v>64</v>
      </c>
      <c r="R5430" t="s">
        <v>12379</v>
      </c>
      <c r="S5430">
        <v>0</v>
      </c>
      <c r="T5430">
        <v>0</v>
      </c>
      <c r="U5430">
        <v>0</v>
      </c>
      <c r="W5430" t="s">
        <v>146</v>
      </c>
    </row>
    <row r="5431" spans="1:45" x14ac:dyDescent="0.35">
      <c r="A5431" t="s">
        <v>45</v>
      </c>
      <c r="B5431" t="s">
        <v>12365</v>
      </c>
      <c r="C5431" t="s">
        <v>139</v>
      </c>
      <c r="D5431" t="s">
        <v>12380</v>
      </c>
      <c r="E5431" t="s">
        <v>12381</v>
      </c>
      <c r="F5431" t="s">
        <v>49</v>
      </c>
      <c r="G5431" t="s">
        <v>12382</v>
      </c>
      <c r="H5431" t="s">
        <v>12383</v>
      </c>
      <c r="J5431" t="str">
        <f>HYPERLINK("https://twitter.com/NDTVProfitIndia/status/1744398557862297878","https://twitter.com/NDTVProfitIndia/status/1744398557862297878")</f>
        <v>https://twitter.com/NDTVProfitIndia/status/1744398557862297878</v>
      </c>
      <c r="O5431">
        <v>0</v>
      </c>
      <c r="P5431">
        <v>0</v>
      </c>
      <c r="Q5431">
        <v>306555</v>
      </c>
      <c r="R5431" t="s">
        <v>1247</v>
      </c>
      <c r="S5431">
        <v>0</v>
      </c>
      <c r="T5431">
        <v>0</v>
      </c>
      <c r="U5431">
        <v>0</v>
      </c>
      <c r="V5431" t="s">
        <v>642</v>
      </c>
      <c r="W5431" t="s">
        <v>146</v>
      </c>
    </row>
    <row r="5432" spans="1:45" x14ac:dyDescent="0.35">
      <c r="A5432" t="s">
        <v>45</v>
      </c>
      <c r="B5432" t="s">
        <v>12365</v>
      </c>
      <c r="C5432" t="s">
        <v>47</v>
      </c>
      <c r="D5432" t="s">
        <v>12384</v>
      </c>
      <c r="E5432" t="s">
        <v>12384</v>
      </c>
      <c r="F5432" t="s">
        <v>49</v>
      </c>
      <c r="G5432" t="s">
        <v>56</v>
      </c>
      <c r="H5432" t="s">
        <v>12385</v>
      </c>
      <c r="J5432" t="str">
        <f>HYPERLINK("https://www.facebook.com/357267201017935/inbox/6898290400248883/","https://www.facebook.com/357267201017935/inbox/6898290400248883/")</f>
        <v>https://www.facebook.com/357267201017935/inbox/6898290400248883/</v>
      </c>
      <c r="O5432">
        <v>0</v>
      </c>
      <c r="P5432">
        <v>0</v>
      </c>
      <c r="Q5432">
        <v>0</v>
      </c>
      <c r="S5432">
        <v>0</v>
      </c>
      <c r="T5432">
        <v>0</v>
      </c>
      <c r="U5432">
        <v>0</v>
      </c>
      <c r="W5432" t="s">
        <v>52</v>
      </c>
    </row>
    <row r="5433" spans="1:45" x14ac:dyDescent="0.35">
      <c r="A5433" t="s">
        <v>45</v>
      </c>
      <c r="B5433" t="s">
        <v>12365</v>
      </c>
      <c r="C5433" t="s">
        <v>139</v>
      </c>
      <c r="D5433" t="s">
        <v>1843</v>
      </c>
      <c r="E5433" t="s">
        <v>1844</v>
      </c>
      <c r="F5433" t="s">
        <v>49</v>
      </c>
      <c r="G5433" t="s">
        <v>12324</v>
      </c>
      <c r="H5433" t="s">
        <v>12386</v>
      </c>
      <c r="J5433" t="str">
        <f>HYPERLINK("https://twitter.com/VijayBombl7720/status/1744391869562601496","https://twitter.com/VijayBombl7720/status/1744391869562601496")</f>
        <v>https://twitter.com/VijayBombl7720/status/1744391869562601496</v>
      </c>
      <c r="K5433" t="s">
        <v>145</v>
      </c>
      <c r="O5433">
        <v>0</v>
      </c>
      <c r="P5433">
        <v>0</v>
      </c>
      <c r="Q5433">
        <v>724</v>
      </c>
      <c r="R5433" t="s">
        <v>1847</v>
      </c>
      <c r="S5433">
        <v>0</v>
      </c>
      <c r="T5433">
        <v>0</v>
      </c>
      <c r="U5433">
        <v>0</v>
      </c>
      <c r="W5433" t="s">
        <v>552</v>
      </c>
    </row>
    <row r="5434" spans="1:45" x14ac:dyDescent="0.35">
      <c r="A5434" t="s">
        <v>45</v>
      </c>
      <c r="B5434" t="s">
        <v>12365</v>
      </c>
      <c r="C5434" t="s">
        <v>58</v>
      </c>
      <c r="D5434" t="s">
        <v>1142</v>
      </c>
      <c r="E5434" t="s">
        <v>1142</v>
      </c>
      <c r="F5434" t="s">
        <v>49</v>
      </c>
      <c r="G5434" t="s">
        <v>12387</v>
      </c>
      <c r="H5434" t="s">
        <v>12388</v>
      </c>
      <c r="J5434" t="str">
        <f>HYPERLINK("https://www.youtube.com/watch?v=e7zgfv96YWU","https://www.youtube.com/watch?v=e7zgfv96YWU")</f>
        <v>https://www.youtube.com/watch?v=e7zgfv96YWU</v>
      </c>
      <c r="O5434">
        <v>0</v>
      </c>
      <c r="P5434">
        <v>0</v>
      </c>
      <c r="Q5434">
        <v>0</v>
      </c>
      <c r="S5434">
        <v>0</v>
      </c>
      <c r="T5434">
        <v>0</v>
      </c>
      <c r="U5434">
        <v>0</v>
      </c>
      <c r="W5434" t="s">
        <v>106</v>
      </c>
    </row>
    <row r="5435" spans="1:45" x14ac:dyDescent="0.35">
      <c r="A5435" t="s">
        <v>45</v>
      </c>
      <c r="B5435" t="s">
        <v>12365</v>
      </c>
      <c r="C5435" t="s">
        <v>58</v>
      </c>
      <c r="D5435" t="s">
        <v>9726</v>
      </c>
      <c r="E5435" t="s">
        <v>9726</v>
      </c>
      <c r="F5435" t="s">
        <v>49</v>
      </c>
      <c r="G5435" t="s">
        <v>3366</v>
      </c>
      <c r="H5435" t="s">
        <v>12389</v>
      </c>
      <c r="J5435" t="str">
        <f>HYPERLINK("https://www.youtube.com/watch?v=Dqq0a-oM5WY","https://www.youtube.com/watch?v=Dqq0a-oM5WY")</f>
        <v>https://www.youtube.com/watch?v=Dqq0a-oM5WY</v>
      </c>
      <c r="O5435">
        <v>0</v>
      </c>
      <c r="P5435">
        <v>0</v>
      </c>
      <c r="Q5435">
        <v>0</v>
      </c>
      <c r="S5435">
        <v>0</v>
      </c>
      <c r="T5435">
        <v>0</v>
      </c>
      <c r="U5435">
        <v>0</v>
      </c>
      <c r="W5435" t="s">
        <v>106</v>
      </c>
    </row>
    <row r="5436" spans="1:45" x14ac:dyDescent="0.35">
      <c r="A5436" t="s">
        <v>45</v>
      </c>
      <c r="B5436" t="s">
        <v>12365</v>
      </c>
      <c r="C5436" t="s">
        <v>139</v>
      </c>
      <c r="D5436" t="s">
        <v>12390</v>
      </c>
      <c r="E5436" t="s">
        <v>12391</v>
      </c>
      <c r="F5436" t="s">
        <v>49</v>
      </c>
      <c r="G5436" t="s">
        <v>12392</v>
      </c>
      <c r="H5436" t="s">
        <v>12393</v>
      </c>
      <c r="J5436" t="str">
        <f>HYPERLINK("https://twitter.com/anoopraj436/status/1744379450089787625","https://twitter.com/anoopraj436/status/1744379450089787625")</f>
        <v>https://twitter.com/anoopraj436/status/1744379450089787625</v>
      </c>
      <c r="K5436" t="s">
        <v>145</v>
      </c>
      <c r="O5436">
        <v>0</v>
      </c>
      <c r="P5436">
        <v>0</v>
      </c>
      <c r="Q5436">
        <v>4</v>
      </c>
      <c r="S5436">
        <v>0</v>
      </c>
      <c r="T5436">
        <v>0</v>
      </c>
      <c r="U5436">
        <v>0</v>
      </c>
      <c r="W5436" t="s">
        <v>52</v>
      </c>
      <c r="AS5436" t="s">
        <v>375</v>
      </c>
    </row>
    <row r="5437" spans="1:45" x14ac:dyDescent="0.35">
      <c r="A5437" t="s">
        <v>45</v>
      </c>
      <c r="B5437" t="s">
        <v>12365</v>
      </c>
      <c r="C5437" t="s">
        <v>139</v>
      </c>
      <c r="D5437" t="s">
        <v>12390</v>
      </c>
      <c r="E5437" t="s">
        <v>12391</v>
      </c>
      <c r="F5437" t="s">
        <v>49</v>
      </c>
      <c r="G5437" t="s">
        <v>12394</v>
      </c>
      <c r="H5437" t="s">
        <v>12395</v>
      </c>
      <c r="J5437" t="str">
        <f>HYPERLINK("https://twitter.com/anoopraj436/status/1744379341880836316","https://twitter.com/anoopraj436/status/1744379341880836316")</f>
        <v>https://twitter.com/anoopraj436/status/1744379341880836316</v>
      </c>
      <c r="K5437" t="s">
        <v>145</v>
      </c>
      <c r="O5437">
        <v>0</v>
      </c>
      <c r="P5437">
        <v>0</v>
      </c>
      <c r="Q5437">
        <v>4</v>
      </c>
      <c r="S5437">
        <v>0</v>
      </c>
      <c r="T5437">
        <v>0</v>
      </c>
      <c r="U5437">
        <v>0</v>
      </c>
      <c r="W5437" t="s">
        <v>52</v>
      </c>
    </row>
    <row r="5438" spans="1:45" x14ac:dyDescent="0.35">
      <c r="A5438" t="s">
        <v>45</v>
      </c>
      <c r="B5438" t="s">
        <v>12365</v>
      </c>
      <c r="C5438" t="s">
        <v>139</v>
      </c>
      <c r="D5438" t="s">
        <v>12390</v>
      </c>
      <c r="E5438" t="s">
        <v>12391</v>
      </c>
      <c r="F5438" t="s">
        <v>49</v>
      </c>
      <c r="G5438" t="s">
        <v>12396</v>
      </c>
      <c r="H5438" t="s">
        <v>12397</v>
      </c>
      <c r="J5438" t="str">
        <f>HYPERLINK("https://twitter.com/anoopraj436/status/1744378766380413350","https://twitter.com/anoopraj436/status/1744378766380413350")</f>
        <v>https://twitter.com/anoopraj436/status/1744378766380413350</v>
      </c>
      <c r="K5438" t="s">
        <v>145</v>
      </c>
      <c r="O5438">
        <v>0</v>
      </c>
      <c r="P5438">
        <v>0</v>
      </c>
      <c r="Q5438">
        <v>4</v>
      </c>
      <c r="S5438">
        <v>0</v>
      </c>
      <c r="T5438">
        <v>0</v>
      </c>
      <c r="U5438">
        <v>0</v>
      </c>
      <c r="W5438" t="s">
        <v>52</v>
      </c>
    </row>
    <row r="5439" spans="1:45" x14ac:dyDescent="0.35">
      <c r="A5439" t="s">
        <v>45</v>
      </c>
      <c r="B5439" t="s">
        <v>12365</v>
      </c>
      <c r="C5439" t="s">
        <v>47</v>
      </c>
      <c r="D5439" t="s">
        <v>12398</v>
      </c>
      <c r="E5439" t="s">
        <v>12398</v>
      </c>
      <c r="F5439" t="s">
        <v>49</v>
      </c>
      <c r="G5439" t="s">
        <v>7706</v>
      </c>
      <c r="H5439" t="s">
        <v>12399</v>
      </c>
      <c r="J5439" t="str">
        <f>HYPERLINK("https://www.facebook.com/454965103328545/posts/490024586489263?comment_id=393271283059414","https://www.facebook.com/454965103328545/posts/490024586489263?comment_id=393271283059414")</f>
        <v>https://www.facebook.com/454965103328545/posts/490024586489263?comment_id=393271283059414</v>
      </c>
      <c r="O5439">
        <v>0</v>
      </c>
      <c r="P5439">
        <v>0</v>
      </c>
      <c r="Q5439">
        <v>0</v>
      </c>
      <c r="S5439">
        <v>0</v>
      </c>
      <c r="T5439">
        <v>0</v>
      </c>
      <c r="U5439">
        <v>0</v>
      </c>
      <c r="W5439" t="s">
        <v>62</v>
      </c>
    </row>
    <row r="5440" spans="1:45" x14ac:dyDescent="0.35">
      <c r="A5440" t="s">
        <v>45</v>
      </c>
      <c r="B5440" t="s">
        <v>12365</v>
      </c>
      <c r="C5440" t="s">
        <v>58</v>
      </c>
      <c r="D5440" t="s">
        <v>12400</v>
      </c>
      <c r="E5440" t="s">
        <v>12400</v>
      </c>
      <c r="F5440" t="s">
        <v>76</v>
      </c>
      <c r="G5440" t="s">
        <v>12401</v>
      </c>
      <c r="H5440" t="s">
        <v>12402</v>
      </c>
      <c r="J5440" t="str">
        <f>HYPERLINK("https://www.youtube.com/watch?v=ZwZtFvFsFvs","https://www.youtube.com/watch?v=ZwZtFvFsFvs")</f>
        <v>https://www.youtube.com/watch?v=ZwZtFvFsFvs</v>
      </c>
      <c r="O5440">
        <v>0</v>
      </c>
      <c r="P5440">
        <v>0</v>
      </c>
      <c r="Q5440">
        <v>0</v>
      </c>
      <c r="S5440">
        <v>0</v>
      </c>
      <c r="T5440">
        <v>0</v>
      </c>
      <c r="U5440">
        <v>0</v>
      </c>
      <c r="W5440" t="s">
        <v>106</v>
      </c>
    </row>
    <row r="5441" spans="1:42" x14ac:dyDescent="0.35">
      <c r="A5441" t="s">
        <v>45</v>
      </c>
      <c r="B5441" t="s">
        <v>12365</v>
      </c>
      <c r="C5441" t="s">
        <v>139</v>
      </c>
      <c r="D5441" t="s">
        <v>12403</v>
      </c>
      <c r="E5441" t="s">
        <v>12404</v>
      </c>
      <c r="F5441" t="s">
        <v>49</v>
      </c>
      <c r="G5441" t="s">
        <v>12405</v>
      </c>
      <c r="H5441" t="s">
        <v>12406</v>
      </c>
      <c r="J5441" t="str">
        <f>HYPERLINK("https://twitter.com/PragattiOberoi8/status/1744372652981031176","https://twitter.com/PragattiOberoi8/status/1744372652981031176")</f>
        <v>https://twitter.com/PragattiOberoi8/status/1744372652981031176</v>
      </c>
      <c r="O5441">
        <v>0</v>
      </c>
      <c r="P5441">
        <v>0</v>
      </c>
      <c r="Q5441">
        <v>1346</v>
      </c>
      <c r="R5441" t="s">
        <v>1247</v>
      </c>
      <c r="S5441">
        <v>0</v>
      </c>
      <c r="T5441">
        <v>0</v>
      </c>
      <c r="U5441">
        <v>0</v>
      </c>
      <c r="V5441" t="s">
        <v>642</v>
      </c>
      <c r="W5441" t="s">
        <v>552</v>
      </c>
    </row>
    <row r="5442" spans="1:42" x14ac:dyDescent="0.35">
      <c r="A5442" t="s">
        <v>45</v>
      </c>
      <c r="B5442" t="s">
        <v>12365</v>
      </c>
      <c r="C5442" t="s">
        <v>139</v>
      </c>
      <c r="D5442" t="s">
        <v>12407</v>
      </c>
      <c r="E5442" t="s">
        <v>12408</v>
      </c>
      <c r="F5442" t="s">
        <v>49</v>
      </c>
      <c r="G5442" t="s">
        <v>12409</v>
      </c>
      <c r="H5442" t="s">
        <v>12410</v>
      </c>
      <c r="J5442" t="str">
        <f>HYPERLINK("https://twitter.com/MoneycontrolH/status/1744360906027405615","https://twitter.com/MoneycontrolH/status/1744360906027405615")</f>
        <v>https://twitter.com/MoneycontrolH/status/1744360906027405615</v>
      </c>
      <c r="O5442">
        <v>0</v>
      </c>
      <c r="P5442">
        <v>0</v>
      </c>
      <c r="Q5442">
        <v>45521</v>
      </c>
      <c r="R5442" t="s">
        <v>12411</v>
      </c>
      <c r="S5442">
        <v>0</v>
      </c>
      <c r="T5442">
        <v>0</v>
      </c>
      <c r="U5442">
        <v>0</v>
      </c>
      <c r="W5442" t="s">
        <v>146</v>
      </c>
    </row>
    <row r="5443" spans="1:42" x14ac:dyDescent="0.35">
      <c r="A5443" t="s">
        <v>45</v>
      </c>
      <c r="B5443" t="s">
        <v>12365</v>
      </c>
      <c r="C5443" t="s">
        <v>47</v>
      </c>
      <c r="D5443" t="s">
        <v>12412</v>
      </c>
      <c r="E5443" t="s">
        <v>12412</v>
      </c>
      <c r="F5443" t="s">
        <v>49</v>
      </c>
      <c r="G5443" t="s">
        <v>131</v>
      </c>
      <c r="H5443" t="s">
        <v>12413</v>
      </c>
      <c r="J5443" t="str">
        <f>HYPERLINK("https://www.facebook.com/454965103328545/posts/744159567742429?comment_id=1061105625154488","https://www.facebook.com/454965103328545/posts/744159567742429?comment_id=1061105625154488")</f>
        <v>https://www.facebook.com/454965103328545/posts/744159567742429?comment_id=1061105625154488</v>
      </c>
      <c r="O5443">
        <v>0</v>
      </c>
      <c r="P5443">
        <v>0</v>
      </c>
      <c r="Q5443">
        <v>0</v>
      </c>
      <c r="S5443">
        <v>0</v>
      </c>
      <c r="T5443">
        <v>0</v>
      </c>
      <c r="U5443">
        <v>0</v>
      </c>
      <c r="W5443" t="s">
        <v>62</v>
      </c>
    </row>
    <row r="5444" spans="1:42" x14ac:dyDescent="0.35">
      <c r="A5444" t="s">
        <v>45</v>
      </c>
      <c r="B5444" t="s">
        <v>12365</v>
      </c>
      <c r="C5444" t="s">
        <v>139</v>
      </c>
      <c r="D5444" t="s">
        <v>12380</v>
      </c>
      <c r="E5444" t="s">
        <v>12381</v>
      </c>
      <c r="F5444" t="s">
        <v>49</v>
      </c>
      <c r="G5444" t="s">
        <v>12405</v>
      </c>
      <c r="H5444" t="s">
        <v>12414</v>
      </c>
      <c r="J5444" t="str">
        <f>HYPERLINK("https://twitter.com/NDTVProfitIndia/status/1744352438847517021","https://twitter.com/NDTVProfitIndia/status/1744352438847517021")</f>
        <v>https://twitter.com/NDTVProfitIndia/status/1744352438847517021</v>
      </c>
      <c r="O5444">
        <v>0</v>
      </c>
      <c r="P5444">
        <v>0</v>
      </c>
      <c r="Q5444">
        <v>306527</v>
      </c>
      <c r="R5444" t="s">
        <v>1247</v>
      </c>
      <c r="S5444">
        <v>0</v>
      </c>
      <c r="T5444">
        <v>0</v>
      </c>
      <c r="U5444">
        <v>0</v>
      </c>
      <c r="V5444" t="s">
        <v>642</v>
      </c>
      <c r="W5444" t="s">
        <v>146</v>
      </c>
    </row>
    <row r="5445" spans="1:42" x14ac:dyDescent="0.35">
      <c r="A5445" t="s">
        <v>45</v>
      </c>
      <c r="B5445" t="s">
        <v>12365</v>
      </c>
      <c r="C5445" t="s">
        <v>139</v>
      </c>
      <c r="D5445" t="s">
        <v>12415</v>
      </c>
      <c r="E5445" t="s">
        <v>12416</v>
      </c>
      <c r="F5445" t="s">
        <v>49</v>
      </c>
      <c r="G5445" t="s">
        <v>12417</v>
      </c>
      <c r="H5445" t="s">
        <v>12418</v>
      </c>
      <c r="J5445" t="str">
        <f>HYPERLINK("https://twitter.com/StoxboxIndia/status/1744352056712851593","https://twitter.com/StoxboxIndia/status/1744352056712851593")</f>
        <v>https://twitter.com/StoxboxIndia/status/1744352056712851593</v>
      </c>
      <c r="O5445">
        <v>0</v>
      </c>
      <c r="P5445">
        <v>0</v>
      </c>
      <c r="Q5445">
        <v>4680</v>
      </c>
      <c r="R5445" t="s">
        <v>1247</v>
      </c>
      <c r="S5445">
        <v>0</v>
      </c>
      <c r="T5445">
        <v>0</v>
      </c>
      <c r="U5445">
        <v>0</v>
      </c>
      <c r="V5445" t="s">
        <v>642</v>
      </c>
      <c r="W5445" t="s">
        <v>146</v>
      </c>
    </row>
    <row r="5446" spans="1:42" x14ac:dyDescent="0.35">
      <c r="A5446" t="s">
        <v>45</v>
      </c>
      <c r="B5446" t="s">
        <v>12365</v>
      </c>
      <c r="C5446" t="s">
        <v>47</v>
      </c>
      <c r="D5446" t="s">
        <v>12419</v>
      </c>
      <c r="E5446" t="s">
        <v>12419</v>
      </c>
      <c r="F5446" t="s">
        <v>49</v>
      </c>
      <c r="G5446" t="s">
        <v>1068</v>
      </c>
      <c r="H5446" t="s">
        <v>12420</v>
      </c>
      <c r="J5446" t="str">
        <f>HYPERLINK("https://www.facebook.com/357267201017935/posts/3069910089753619/?comment_id=404818511879544","https://www.facebook.com/357267201017935/posts/3069910089753619/?comment_id=404818511879544")</f>
        <v>https://www.facebook.com/357267201017935/posts/3069910089753619/?comment_id=404818511879544</v>
      </c>
      <c r="O5446">
        <v>0</v>
      </c>
      <c r="P5446">
        <v>0</v>
      </c>
      <c r="Q5446">
        <v>0</v>
      </c>
      <c r="S5446">
        <v>0</v>
      </c>
      <c r="T5446">
        <v>0</v>
      </c>
      <c r="U5446">
        <v>0</v>
      </c>
      <c r="W5446" t="s">
        <v>62</v>
      </c>
    </row>
    <row r="5447" spans="1:42" x14ac:dyDescent="0.35">
      <c r="A5447" t="s">
        <v>45</v>
      </c>
      <c r="B5447" t="s">
        <v>12365</v>
      </c>
      <c r="C5447" t="s">
        <v>139</v>
      </c>
      <c r="D5447" t="s">
        <v>12421</v>
      </c>
      <c r="E5447" t="s">
        <v>12422</v>
      </c>
      <c r="F5447" t="s">
        <v>49</v>
      </c>
      <c r="G5447" t="s">
        <v>12423</v>
      </c>
      <c r="H5447" t="s">
        <v>12424</v>
      </c>
      <c r="J5447" t="str">
        <f>HYPERLINK("https://twitter.com/ETNowSwadesh/status/1744350278013288906","https://twitter.com/ETNowSwadesh/status/1744350278013288906")</f>
        <v>https://twitter.com/ETNowSwadesh/status/1744350278013288906</v>
      </c>
      <c r="O5447">
        <v>0</v>
      </c>
      <c r="P5447">
        <v>0</v>
      </c>
      <c r="Q5447">
        <v>26475</v>
      </c>
      <c r="R5447" t="s">
        <v>582</v>
      </c>
      <c r="S5447">
        <v>0</v>
      </c>
      <c r="T5447">
        <v>0</v>
      </c>
      <c r="U5447">
        <v>0</v>
      </c>
      <c r="V5447" t="s">
        <v>642</v>
      </c>
      <c r="W5447" t="s">
        <v>146</v>
      </c>
    </row>
    <row r="5448" spans="1:42" x14ac:dyDescent="0.35">
      <c r="A5448" t="s">
        <v>45</v>
      </c>
      <c r="B5448" t="s">
        <v>12365</v>
      </c>
      <c r="C5448" t="s">
        <v>139</v>
      </c>
      <c r="D5448" t="s">
        <v>12425</v>
      </c>
      <c r="E5448" t="s">
        <v>12426</v>
      </c>
      <c r="F5448" t="s">
        <v>49</v>
      </c>
      <c r="G5448" t="s">
        <v>12427</v>
      </c>
      <c r="H5448" t="s">
        <v>12428</v>
      </c>
      <c r="J5448" t="str">
        <f>HYPERLINK("https://twitter.com/deepakmodi1983/status/1744346216320942358","https://twitter.com/deepakmodi1983/status/1744346216320942358")</f>
        <v>https://twitter.com/deepakmodi1983/status/1744346216320942358</v>
      </c>
      <c r="K5448" t="s">
        <v>145</v>
      </c>
      <c r="O5448">
        <v>0</v>
      </c>
      <c r="P5448">
        <v>0</v>
      </c>
      <c r="Q5448">
        <v>661</v>
      </c>
      <c r="R5448" t="s">
        <v>872</v>
      </c>
      <c r="S5448">
        <v>0</v>
      </c>
      <c r="T5448">
        <v>0</v>
      </c>
      <c r="U5448">
        <v>0</v>
      </c>
      <c r="W5448" t="s">
        <v>552</v>
      </c>
    </row>
    <row r="5449" spans="1:42" x14ac:dyDescent="0.35">
      <c r="A5449" t="s">
        <v>45</v>
      </c>
      <c r="B5449" t="s">
        <v>12365</v>
      </c>
      <c r="C5449" t="s">
        <v>139</v>
      </c>
      <c r="D5449" t="s">
        <v>12429</v>
      </c>
      <c r="E5449" t="s">
        <v>12430</v>
      </c>
      <c r="F5449" t="s">
        <v>49</v>
      </c>
      <c r="G5449" t="s">
        <v>12427</v>
      </c>
      <c r="H5449" t="s">
        <v>12431</v>
      </c>
      <c r="J5449" t="str">
        <f>HYPERLINK("https://twitter.com/ETNOWlive/status/1744342617377386660","https://twitter.com/ETNOWlive/status/1744342617377386660")</f>
        <v>https://twitter.com/ETNOWlive/status/1744342617377386660</v>
      </c>
      <c r="K5449" t="s">
        <v>1769</v>
      </c>
      <c r="O5449">
        <v>0</v>
      </c>
      <c r="P5449">
        <v>0</v>
      </c>
      <c r="Q5449">
        <v>837537</v>
      </c>
      <c r="R5449" t="s">
        <v>582</v>
      </c>
      <c r="S5449">
        <v>0</v>
      </c>
      <c r="T5449">
        <v>0</v>
      </c>
      <c r="U5449">
        <v>0</v>
      </c>
      <c r="V5449" t="s">
        <v>642</v>
      </c>
      <c r="W5449" t="s">
        <v>146</v>
      </c>
    </row>
    <row r="5450" spans="1:42" x14ac:dyDescent="0.35">
      <c r="A5450" t="s">
        <v>45</v>
      </c>
      <c r="B5450" t="s">
        <v>12365</v>
      </c>
      <c r="C5450" t="s">
        <v>58</v>
      </c>
      <c r="D5450" t="s">
        <v>12432</v>
      </c>
      <c r="E5450" t="s">
        <v>12432</v>
      </c>
      <c r="F5450" t="s">
        <v>49</v>
      </c>
      <c r="G5450" t="s">
        <v>12433</v>
      </c>
      <c r="H5450" t="s">
        <v>12434</v>
      </c>
      <c r="J5450" t="str">
        <f>HYPERLINK("https://www.youtube.com/watch?v=UTeTu8MyyeA","https://www.youtube.com/watch?v=UTeTu8MyyeA")</f>
        <v>https://www.youtube.com/watch?v=UTeTu8MyyeA</v>
      </c>
      <c r="O5450">
        <v>0</v>
      </c>
      <c r="P5450">
        <v>0</v>
      </c>
      <c r="Q5450">
        <v>0</v>
      </c>
      <c r="S5450">
        <v>0</v>
      </c>
      <c r="T5450">
        <v>0</v>
      </c>
      <c r="U5450">
        <v>0</v>
      </c>
      <c r="W5450" t="s">
        <v>106</v>
      </c>
      <c r="AP5450" t="s">
        <v>94</v>
      </c>
    </row>
    <row r="5451" spans="1:42" x14ac:dyDescent="0.35">
      <c r="A5451" t="s">
        <v>45</v>
      </c>
      <c r="B5451" t="s">
        <v>12365</v>
      </c>
      <c r="C5451" t="s">
        <v>139</v>
      </c>
      <c r="D5451" t="s">
        <v>12435</v>
      </c>
      <c r="E5451" t="s">
        <v>12436</v>
      </c>
      <c r="F5451" t="s">
        <v>49</v>
      </c>
      <c r="G5451" t="s">
        <v>12187</v>
      </c>
      <c r="H5451" t="s">
        <v>12437</v>
      </c>
      <c r="J5451" t="str">
        <f>HYPERLINK("https://twitter.com/BhavyaDKumar/status/1744338189450674447","https://twitter.com/BhavyaDKumar/status/1744338189450674447")</f>
        <v>https://twitter.com/BhavyaDKumar/status/1744338189450674447</v>
      </c>
      <c r="K5451" t="s">
        <v>1769</v>
      </c>
      <c r="O5451">
        <v>0</v>
      </c>
      <c r="P5451">
        <v>0</v>
      </c>
      <c r="Q5451">
        <v>1803</v>
      </c>
      <c r="R5451" t="s">
        <v>4256</v>
      </c>
      <c r="S5451">
        <v>0</v>
      </c>
      <c r="T5451">
        <v>0</v>
      </c>
      <c r="U5451">
        <v>0</v>
      </c>
      <c r="W5451" t="s">
        <v>552</v>
      </c>
    </row>
    <row r="5452" spans="1:42" x14ac:dyDescent="0.35">
      <c r="A5452" t="s">
        <v>45</v>
      </c>
      <c r="B5452" t="s">
        <v>12365</v>
      </c>
      <c r="C5452" t="s">
        <v>139</v>
      </c>
      <c r="D5452" t="s">
        <v>12438</v>
      </c>
      <c r="E5452" t="s">
        <v>12439</v>
      </c>
      <c r="F5452" t="s">
        <v>49</v>
      </c>
      <c r="G5452" t="s">
        <v>12440</v>
      </c>
      <c r="H5452" t="s">
        <v>12441</v>
      </c>
      <c r="J5452" t="str">
        <f>HYPERLINK("https://twitter.com/_ritusingh/status/1744336263329841450","https://twitter.com/_ritusingh/status/1744336263329841450")</f>
        <v>https://twitter.com/_ritusingh/status/1744336263329841450</v>
      </c>
      <c r="K5452" t="s">
        <v>1769</v>
      </c>
      <c r="O5452">
        <v>0</v>
      </c>
      <c r="P5452">
        <v>0</v>
      </c>
      <c r="Q5452">
        <v>19167</v>
      </c>
      <c r="R5452" t="s">
        <v>12442</v>
      </c>
      <c r="S5452">
        <v>0</v>
      </c>
      <c r="T5452">
        <v>0</v>
      </c>
      <c r="U5452">
        <v>0</v>
      </c>
      <c r="W5452" t="s">
        <v>552</v>
      </c>
    </row>
    <row r="5453" spans="1:42" x14ac:dyDescent="0.35">
      <c r="A5453" t="s">
        <v>45</v>
      </c>
      <c r="B5453" t="s">
        <v>12365</v>
      </c>
      <c r="C5453" t="s">
        <v>139</v>
      </c>
      <c r="D5453" t="s">
        <v>12443</v>
      </c>
      <c r="E5453" t="s">
        <v>12444</v>
      </c>
      <c r="F5453" t="s">
        <v>49</v>
      </c>
      <c r="G5453" t="s">
        <v>12440</v>
      </c>
      <c r="H5453" t="s">
        <v>12445</v>
      </c>
      <c r="J5453" t="str">
        <f>HYPERLINK("https://twitter.com/SahniTushita/status/1744336042558210471","https://twitter.com/SahniTushita/status/1744336042558210471")</f>
        <v>https://twitter.com/SahniTushita/status/1744336042558210471</v>
      </c>
      <c r="K5453" t="s">
        <v>1769</v>
      </c>
      <c r="O5453">
        <v>0</v>
      </c>
      <c r="P5453">
        <v>0</v>
      </c>
      <c r="Q5453">
        <v>82</v>
      </c>
      <c r="R5453" t="s">
        <v>1810</v>
      </c>
      <c r="S5453">
        <v>0</v>
      </c>
      <c r="T5453">
        <v>0</v>
      </c>
      <c r="U5453">
        <v>0</v>
      </c>
      <c r="W5453" t="s">
        <v>552</v>
      </c>
    </row>
    <row r="5454" spans="1:42" x14ac:dyDescent="0.35">
      <c r="A5454" t="s">
        <v>45</v>
      </c>
      <c r="B5454" t="s">
        <v>12365</v>
      </c>
      <c r="C5454" t="s">
        <v>139</v>
      </c>
      <c r="D5454" t="s">
        <v>12446</v>
      </c>
      <c r="E5454" t="s">
        <v>12447</v>
      </c>
      <c r="F5454" t="s">
        <v>142</v>
      </c>
      <c r="G5454" t="s">
        <v>12448</v>
      </c>
      <c r="H5454" t="s">
        <v>12449</v>
      </c>
      <c r="J5454" t="str">
        <f>HYPERLINK("https://twitter.com/PremYogi566/status/1744330947770957858","https://twitter.com/PremYogi566/status/1744330947770957858")</f>
        <v>https://twitter.com/PremYogi566/status/1744330947770957858</v>
      </c>
      <c r="K5454" t="s">
        <v>145</v>
      </c>
      <c r="O5454">
        <v>0</v>
      </c>
      <c r="P5454">
        <v>0</v>
      </c>
      <c r="Q5454">
        <v>12</v>
      </c>
      <c r="S5454">
        <v>0</v>
      </c>
      <c r="T5454">
        <v>0</v>
      </c>
      <c r="U5454">
        <v>0</v>
      </c>
      <c r="W5454" t="s">
        <v>146</v>
      </c>
    </row>
    <row r="5455" spans="1:42" x14ac:dyDescent="0.35">
      <c r="A5455" t="s">
        <v>45</v>
      </c>
      <c r="B5455" t="s">
        <v>12365</v>
      </c>
      <c r="C5455" t="s">
        <v>139</v>
      </c>
      <c r="D5455" t="s">
        <v>12450</v>
      </c>
      <c r="E5455" t="s">
        <v>12451</v>
      </c>
      <c r="F5455" t="s">
        <v>49</v>
      </c>
      <c r="G5455" t="s">
        <v>12183</v>
      </c>
      <c r="H5455" t="s">
        <v>12452</v>
      </c>
      <c r="J5455" t="str">
        <f>HYPERLINK("https://twitter.com/nainasood/status/1744307993582149958","https://twitter.com/nainasood/status/1744307993582149958")</f>
        <v>https://twitter.com/nainasood/status/1744307993582149958</v>
      </c>
      <c r="K5455" t="s">
        <v>1769</v>
      </c>
      <c r="O5455">
        <v>0</v>
      </c>
      <c r="P5455">
        <v>0</v>
      </c>
      <c r="Q5455">
        <v>563</v>
      </c>
      <c r="R5455" t="s">
        <v>12453</v>
      </c>
      <c r="S5455">
        <v>0</v>
      </c>
      <c r="T5455">
        <v>0</v>
      </c>
      <c r="U5455">
        <v>0</v>
      </c>
      <c r="W5455" t="s">
        <v>146</v>
      </c>
    </row>
    <row r="5456" spans="1:42" x14ac:dyDescent="0.35">
      <c r="A5456" t="s">
        <v>45</v>
      </c>
      <c r="B5456" t="s">
        <v>12365</v>
      </c>
      <c r="C5456" t="s">
        <v>47</v>
      </c>
      <c r="D5456" t="s">
        <v>12454</v>
      </c>
      <c r="E5456" t="s">
        <v>12454</v>
      </c>
      <c r="F5456" t="s">
        <v>49</v>
      </c>
      <c r="G5456" t="s">
        <v>12455</v>
      </c>
      <c r="H5456" t="s">
        <v>12456</v>
      </c>
      <c r="J5456" t="str">
        <f>HYPERLINK("https://www.facebook.com/357267201017935/inbox/6897350763676180/","https://www.facebook.com/357267201017935/inbox/6897350763676180/")</f>
        <v>https://www.facebook.com/357267201017935/inbox/6897350763676180/</v>
      </c>
      <c r="O5456">
        <v>0</v>
      </c>
      <c r="P5456">
        <v>0</v>
      </c>
      <c r="Q5456">
        <v>0</v>
      </c>
      <c r="S5456">
        <v>0</v>
      </c>
      <c r="T5456">
        <v>0</v>
      </c>
      <c r="U5456">
        <v>0</v>
      </c>
      <c r="W5456" t="s">
        <v>52</v>
      </c>
    </row>
    <row r="5457" spans="1:45" x14ac:dyDescent="0.35">
      <c r="A5457" t="s">
        <v>45</v>
      </c>
      <c r="B5457" t="s">
        <v>12365</v>
      </c>
      <c r="C5457" t="s">
        <v>47</v>
      </c>
      <c r="D5457" t="s">
        <v>12457</v>
      </c>
      <c r="E5457" t="s">
        <v>12457</v>
      </c>
      <c r="F5457" t="s">
        <v>49</v>
      </c>
      <c r="G5457" t="s">
        <v>50</v>
      </c>
      <c r="H5457" t="s">
        <v>12458</v>
      </c>
      <c r="J5457" t="str">
        <f>HYPERLINK("https://www.facebook.com/357267201017935/inbox/6897320830345840/","https://www.facebook.com/357267201017935/inbox/6897320830345840/")</f>
        <v>https://www.facebook.com/357267201017935/inbox/6897320830345840/</v>
      </c>
      <c r="O5457">
        <v>0</v>
      </c>
      <c r="P5457">
        <v>0</v>
      </c>
      <c r="Q5457">
        <v>0</v>
      </c>
      <c r="S5457">
        <v>0</v>
      </c>
      <c r="T5457">
        <v>0</v>
      </c>
      <c r="U5457">
        <v>0</v>
      </c>
      <c r="W5457" t="s">
        <v>52</v>
      </c>
    </row>
    <row r="5458" spans="1:45" x14ac:dyDescent="0.35">
      <c r="A5458" t="s">
        <v>45</v>
      </c>
      <c r="B5458" t="s">
        <v>12365</v>
      </c>
      <c r="C5458" t="s">
        <v>139</v>
      </c>
      <c r="D5458" t="s">
        <v>12181</v>
      </c>
      <c r="E5458" t="s">
        <v>12182</v>
      </c>
      <c r="F5458" t="s">
        <v>49</v>
      </c>
      <c r="G5458" t="s">
        <v>12187</v>
      </c>
      <c r="H5458" t="s">
        <v>12459</v>
      </c>
      <c r="J5458" t="str">
        <f>HYPERLINK("https://twitter.com/chandrarsrikant/status/1744299701590167992","https://twitter.com/chandrarsrikant/status/1744299701590167992")</f>
        <v>https://twitter.com/chandrarsrikant/status/1744299701590167992</v>
      </c>
      <c r="K5458" t="s">
        <v>145</v>
      </c>
      <c r="O5458">
        <v>0</v>
      </c>
      <c r="P5458">
        <v>0</v>
      </c>
      <c r="Q5458">
        <v>128583</v>
      </c>
      <c r="R5458" t="s">
        <v>4256</v>
      </c>
      <c r="S5458">
        <v>0</v>
      </c>
      <c r="T5458">
        <v>0</v>
      </c>
      <c r="U5458">
        <v>0</v>
      </c>
      <c r="V5458" t="s">
        <v>642</v>
      </c>
      <c r="W5458" t="s">
        <v>146</v>
      </c>
    </row>
    <row r="5459" spans="1:45" x14ac:dyDescent="0.35">
      <c r="A5459" t="s">
        <v>45</v>
      </c>
      <c r="B5459" t="s">
        <v>12365</v>
      </c>
      <c r="C5459" t="s">
        <v>139</v>
      </c>
      <c r="D5459" t="s">
        <v>12460</v>
      </c>
      <c r="E5459" t="s">
        <v>11439</v>
      </c>
      <c r="F5459" t="s">
        <v>49</v>
      </c>
      <c r="G5459" t="s">
        <v>12461</v>
      </c>
      <c r="H5459" t="s">
        <v>12462</v>
      </c>
      <c r="J5459" t="str">
        <f>HYPERLINK("https://twitter.com/MdNaseem248015/status/1744297813142544836","https://twitter.com/MdNaseem248015/status/1744297813142544836")</f>
        <v>https://twitter.com/MdNaseem248015/status/1744297813142544836</v>
      </c>
      <c r="O5459">
        <v>0</v>
      </c>
      <c r="P5459">
        <v>0</v>
      </c>
      <c r="Q5459">
        <v>1</v>
      </c>
      <c r="S5459">
        <v>0</v>
      </c>
      <c r="T5459">
        <v>0</v>
      </c>
      <c r="U5459">
        <v>0</v>
      </c>
      <c r="W5459" t="s">
        <v>146</v>
      </c>
    </row>
    <row r="5460" spans="1:45" x14ac:dyDescent="0.35">
      <c r="A5460" t="s">
        <v>45</v>
      </c>
      <c r="B5460" t="s">
        <v>12365</v>
      </c>
      <c r="C5460" t="s">
        <v>139</v>
      </c>
      <c r="D5460" t="s">
        <v>12190</v>
      </c>
      <c r="E5460" t="s">
        <v>12191</v>
      </c>
      <c r="F5460" t="s">
        <v>49</v>
      </c>
      <c r="G5460" t="s">
        <v>12463</v>
      </c>
      <c r="H5460" t="s">
        <v>12464</v>
      </c>
      <c r="J5460" t="str">
        <f>HYPERLINK("https://twitter.com/de46562833/status/1744289994326626373","https://twitter.com/de46562833/status/1744289994326626373")</f>
        <v>https://twitter.com/de46562833/status/1744289994326626373</v>
      </c>
      <c r="K5460" t="s">
        <v>145</v>
      </c>
      <c r="O5460">
        <v>0</v>
      </c>
      <c r="P5460">
        <v>0</v>
      </c>
      <c r="Q5460">
        <v>0</v>
      </c>
      <c r="S5460">
        <v>0</v>
      </c>
      <c r="T5460">
        <v>0</v>
      </c>
      <c r="U5460">
        <v>0</v>
      </c>
      <c r="W5460" t="s">
        <v>146</v>
      </c>
      <c r="AS5460" t="s">
        <v>375</v>
      </c>
    </row>
    <row r="5461" spans="1:45" x14ac:dyDescent="0.35">
      <c r="A5461" t="s">
        <v>45</v>
      </c>
      <c r="B5461" t="s">
        <v>12365</v>
      </c>
      <c r="C5461" t="s">
        <v>139</v>
      </c>
      <c r="D5461" t="s">
        <v>11742</v>
      </c>
      <c r="E5461" t="s">
        <v>11743</v>
      </c>
      <c r="F5461" t="s">
        <v>142</v>
      </c>
      <c r="G5461" t="s">
        <v>12465</v>
      </c>
      <c r="H5461" t="s">
        <v>12466</v>
      </c>
      <c r="J5461" t="str">
        <f>HYPERLINK("https://twitter.com/HDFCBANKCARES__/status/1744287605334986898","https://twitter.com/HDFCBANKCARES__/status/1744287605334986898")</f>
        <v>https://twitter.com/HDFCBANKCARES__/status/1744287605334986898</v>
      </c>
      <c r="K5461" t="s">
        <v>145</v>
      </c>
      <c r="O5461">
        <v>0</v>
      </c>
      <c r="P5461">
        <v>0</v>
      </c>
      <c r="Q5461">
        <v>0</v>
      </c>
      <c r="S5461">
        <v>0</v>
      </c>
      <c r="T5461">
        <v>0</v>
      </c>
      <c r="U5461">
        <v>0</v>
      </c>
      <c r="W5461" t="s">
        <v>146</v>
      </c>
      <c r="AP5461" t="s">
        <v>147</v>
      </c>
    </row>
    <row r="5462" spans="1:45" x14ac:dyDescent="0.35">
      <c r="A5462" t="s">
        <v>45</v>
      </c>
      <c r="B5462" t="s">
        <v>12365</v>
      </c>
      <c r="C5462" t="s">
        <v>139</v>
      </c>
      <c r="D5462" t="s">
        <v>12467</v>
      </c>
      <c r="E5462" t="s">
        <v>12468</v>
      </c>
      <c r="F5462" t="s">
        <v>49</v>
      </c>
      <c r="G5462" t="s">
        <v>12469</v>
      </c>
      <c r="H5462" t="s">
        <v>12470</v>
      </c>
      <c r="J5462" t="str">
        <f>HYPERLINK("https://twitter.com/HDFCB_Vinay/status/1744286319357088014","https://twitter.com/HDFCB_Vinay/status/1744286319357088014")</f>
        <v>https://twitter.com/HDFCB_Vinay/status/1744286319357088014</v>
      </c>
      <c r="O5462">
        <v>0</v>
      </c>
      <c r="P5462">
        <v>0</v>
      </c>
      <c r="Q5462">
        <v>1</v>
      </c>
      <c r="S5462">
        <v>0</v>
      </c>
      <c r="T5462">
        <v>0</v>
      </c>
      <c r="U5462">
        <v>0</v>
      </c>
      <c r="W5462" t="s">
        <v>146</v>
      </c>
      <c r="AP5462" t="s">
        <v>147</v>
      </c>
    </row>
    <row r="5463" spans="1:45" x14ac:dyDescent="0.35">
      <c r="A5463" t="s">
        <v>45</v>
      </c>
      <c r="B5463" t="s">
        <v>12365</v>
      </c>
      <c r="C5463" t="s">
        <v>139</v>
      </c>
      <c r="D5463" t="s">
        <v>11961</v>
      </c>
      <c r="E5463" t="s">
        <v>11962</v>
      </c>
      <c r="F5463" t="s">
        <v>142</v>
      </c>
      <c r="G5463" t="s">
        <v>12471</v>
      </c>
      <c r="H5463" t="s">
        <v>12472</v>
      </c>
      <c r="J5463" t="str">
        <f>HYPERLINK("https://twitter.com/Sacheti2Sacheti/status/1744285831135682692","https://twitter.com/Sacheti2Sacheti/status/1744285831135682692")</f>
        <v>https://twitter.com/Sacheti2Sacheti/status/1744285831135682692</v>
      </c>
      <c r="K5463" t="s">
        <v>145</v>
      </c>
      <c r="O5463">
        <v>0</v>
      </c>
      <c r="P5463">
        <v>0</v>
      </c>
      <c r="Q5463">
        <v>3</v>
      </c>
      <c r="S5463">
        <v>0</v>
      </c>
      <c r="T5463">
        <v>0</v>
      </c>
      <c r="U5463">
        <v>0</v>
      </c>
      <c r="W5463" t="s">
        <v>146</v>
      </c>
      <c r="AP5463" t="s">
        <v>147</v>
      </c>
    </row>
    <row r="5464" spans="1:45" x14ac:dyDescent="0.35">
      <c r="A5464" t="s">
        <v>45</v>
      </c>
      <c r="B5464" t="s">
        <v>12365</v>
      </c>
      <c r="C5464" t="s">
        <v>47</v>
      </c>
      <c r="D5464" t="s">
        <v>12473</v>
      </c>
      <c r="E5464" t="s">
        <v>12473</v>
      </c>
      <c r="F5464" t="s">
        <v>49</v>
      </c>
      <c r="G5464" t="s">
        <v>253</v>
      </c>
      <c r="H5464" t="s">
        <v>12474</v>
      </c>
      <c r="J5464" t="str">
        <f>HYPERLINK("https://www.facebook.com/357267201017935/inbox/6897094880368435/","https://www.facebook.com/357267201017935/inbox/6897094880368435/")</f>
        <v>https://www.facebook.com/357267201017935/inbox/6897094880368435/</v>
      </c>
      <c r="O5464">
        <v>0</v>
      </c>
      <c r="P5464">
        <v>0</v>
      </c>
      <c r="Q5464">
        <v>0</v>
      </c>
      <c r="S5464">
        <v>0</v>
      </c>
      <c r="T5464">
        <v>0</v>
      </c>
      <c r="U5464">
        <v>0</v>
      </c>
      <c r="W5464" t="s">
        <v>52</v>
      </c>
    </row>
    <row r="5465" spans="1:45" x14ac:dyDescent="0.35">
      <c r="A5465" t="s">
        <v>45</v>
      </c>
      <c r="B5465" t="s">
        <v>12365</v>
      </c>
      <c r="C5465" t="s">
        <v>139</v>
      </c>
      <c r="D5465" t="s">
        <v>12475</v>
      </c>
      <c r="E5465" t="s">
        <v>12476</v>
      </c>
      <c r="F5465" t="s">
        <v>76</v>
      </c>
      <c r="G5465" t="s">
        <v>12477</v>
      </c>
      <c r="H5465" t="s">
        <v>12478</v>
      </c>
      <c r="J5465" t="str">
        <f>HYPERLINK("https://twitter.com/jackcallil19209/status/1744274991670075401","https://twitter.com/jackcallil19209/status/1744274991670075401")</f>
        <v>https://twitter.com/jackcallil19209/status/1744274991670075401</v>
      </c>
      <c r="O5465">
        <v>0</v>
      </c>
      <c r="P5465">
        <v>0</v>
      </c>
      <c r="Q5465">
        <v>0</v>
      </c>
      <c r="S5465">
        <v>0</v>
      </c>
      <c r="T5465">
        <v>0</v>
      </c>
      <c r="U5465">
        <v>0</v>
      </c>
      <c r="W5465" t="s">
        <v>146</v>
      </c>
    </row>
    <row r="5466" spans="1:45" x14ac:dyDescent="0.35">
      <c r="A5466" t="s">
        <v>45</v>
      </c>
      <c r="B5466" t="s">
        <v>12365</v>
      </c>
      <c r="C5466" t="s">
        <v>58</v>
      </c>
      <c r="D5466" t="s">
        <v>2705</v>
      </c>
      <c r="E5466" t="s">
        <v>2705</v>
      </c>
      <c r="F5466" t="s">
        <v>76</v>
      </c>
      <c r="G5466" t="s">
        <v>12479</v>
      </c>
      <c r="H5466" t="s">
        <v>12480</v>
      </c>
      <c r="J5466" t="str">
        <f>HYPERLINK("https://www.youtube.com/watch?v=qAZ8CgW2cRk","https://www.youtube.com/watch?v=qAZ8CgW2cRk")</f>
        <v>https://www.youtube.com/watch?v=qAZ8CgW2cRk</v>
      </c>
      <c r="O5466">
        <v>0</v>
      </c>
      <c r="P5466">
        <v>0</v>
      </c>
      <c r="Q5466">
        <v>0</v>
      </c>
      <c r="S5466">
        <v>0</v>
      </c>
      <c r="T5466">
        <v>0</v>
      </c>
      <c r="U5466">
        <v>0</v>
      </c>
      <c r="W5466" t="s">
        <v>106</v>
      </c>
    </row>
    <row r="5467" spans="1:45" x14ac:dyDescent="0.35">
      <c r="A5467" t="s">
        <v>45</v>
      </c>
      <c r="B5467" t="s">
        <v>12365</v>
      </c>
      <c r="C5467" t="s">
        <v>139</v>
      </c>
      <c r="D5467" t="s">
        <v>6987</v>
      </c>
      <c r="E5467" t="s">
        <v>10322</v>
      </c>
      <c r="F5467" t="s">
        <v>49</v>
      </c>
      <c r="G5467" t="s">
        <v>12481</v>
      </c>
      <c r="H5467" t="s">
        <v>12482</v>
      </c>
      <c r="J5467" t="str">
        <f>HYPERLINK("https://twitter.com/Ashiesh24/status/1744261108654043496","https://twitter.com/Ashiesh24/status/1744261108654043496")</f>
        <v>https://twitter.com/Ashiesh24/status/1744261108654043496</v>
      </c>
      <c r="K5467" t="s">
        <v>145</v>
      </c>
      <c r="O5467">
        <v>0</v>
      </c>
      <c r="P5467">
        <v>0</v>
      </c>
      <c r="Q5467">
        <v>2</v>
      </c>
      <c r="R5467" t="s">
        <v>6991</v>
      </c>
      <c r="S5467">
        <v>0</v>
      </c>
      <c r="T5467">
        <v>0</v>
      </c>
      <c r="U5467">
        <v>0</v>
      </c>
      <c r="W5467" t="s">
        <v>146</v>
      </c>
    </row>
    <row r="5468" spans="1:45" x14ac:dyDescent="0.35">
      <c r="A5468" t="s">
        <v>45</v>
      </c>
      <c r="B5468" t="s">
        <v>12365</v>
      </c>
      <c r="C5468" t="s">
        <v>58</v>
      </c>
      <c r="D5468" t="s">
        <v>10873</v>
      </c>
      <c r="E5468" t="s">
        <v>10873</v>
      </c>
      <c r="F5468" t="s">
        <v>49</v>
      </c>
      <c r="G5468" t="s">
        <v>12483</v>
      </c>
      <c r="H5468" t="s">
        <v>12484</v>
      </c>
      <c r="J5468" t="str">
        <f>HYPERLINK("https://www.youtube.com/watch?v=qYF8Thwhk88","https://www.youtube.com/watch?v=qYF8Thwhk88")</f>
        <v>https://www.youtube.com/watch?v=qYF8Thwhk88</v>
      </c>
      <c r="O5468">
        <v>0</v>
      </c>
      <c r="P5468">
        <v>0</v>
      </c>
      <c r="Q5468">
        <v>0</v>
      </c>
      <c r="S5468">
        <v>0</v>
      </c>
      <c r="T5468">
        <v>0</v>
      </c>
      <c r="U5468">
        <v>0</v>
      </c>
      <c r="W5468" t="s">
        <v>106</v>
      </c>
    </row>
    <row r="5469" spans="1:45" x14ac:dyDescent="0.35">
      <c r="A5469" t="s">
        <v>45</v>
      </c>
      <c r="B5469" t="s">
        <v>12365</v>
      </c>
      <c r="C5469" t="s">
        <v>139</v>
      </c>
      <c r="D5469" t="s">
        <v>12467</v>
      </c>
      <c r="E5469" t="s">
        <v>12468</v>
      </c>
      <c r="F5469" t="s">
        <v>49</v>
      </c>
      <c r="G5469" t="s">
        <v>12485</v>
      </c>
      <c r="H5469" t="s">
        <v>12486</v>
      </c>
      <c r="J5469" t="str">
        <f>HYPERLINK("https://twitter.com/HDFCB_Vinay/status/1744251256863068566","https://twitter.com/HDFCB_Vinay/status/1744251256863068566")</f>
        <v>https://twitter.com/HDFCB_Vinay/status/1744251256863068566</v>
      </c>
      <c r="O5469">
        <v>0</v>
      </c>
      <c r="P5469">
        <v>0</v>
      </c>
      <c r="Q5469">
        <v>1</v>
      </c>
      <c r="S5469">
        <v>0</v>
      </c>
      <c r="T5469">
        <v>0</v>
      </c>
      <c r="U5469">
        <v>0</v>
      </c>
      <c r="W5469" t="s">
        <v>146</v>
      </c>
    </row>
    <row r="5470" spans="1:45" x14ac:dyDescent="0.35">
      <c r="A5470" t="s">
        <v>45</v>
      </c>
      <c r="B5470" t="s">
        <v>12365</v>
      </c>
      <c r="C5470" t="s">
        <v>139</v>
      </c>
      <c r="D5470" t="s">
        <v>12487</v>
      </c>
      <c r="E5470" t="s">
        <v>12488</v>
      </c>
      <c r="F5470" t="s">
        <v>142</v>
      </c>
      <c r="G5470" t="s">
        <v>12489</v>
      </c>
      <c r="H5470" t="s">
        <v>12490</v>
      </c>
      <c r="J5470" t="str">
        <f>HYPERLINK("https://twitter.com/KINGxYASH24/status/1744251175753637905","https://twitter.com/KINGxYASH24/status/1744251175753637905")</f>
        <v>https://twitter.com/KINGxYASH24/status/1744251175753637905</v>
      </c>
      <c r="K5470" t="s">
        <v>145</v>
      </c>
      <c r="O5470">
        <v>0</v>
      </c>
      <c r="P5470">
        <v>0</v>
      </c>
      <c r="Q5470">
        <v>5</v>
      </c>
      <c r="R5470" t="s">
        <v>12491</v>
      </c>
      <c r="S5470">
        <v>0</v>
      </c>
      <c r="T5470">
        <v>0</v>
      </c>
      <c r="U5470">
        <v>0</v>
      </c>
      <c r="W5470" t="s">
        <v>146</v>
      </c>
    </row>
    <row r="5471" spans="1:45" x14ac:dyDescent="0.35">
      <c r="A5471" t="s">
        <v>45</v>
      </c>
      <c r="B5471" t="s">
        <v>12365</v>
      </c>
      <c r="C5471" t="s">
        <v>47</v>
      </c>
      <c r="D5471" t="s">
        <v>12236</v>
      </c>
      <c r="E5471" t="s">
        <v>12236</v>
      </c>
      <c r="F5471" t="s">
        <v>49</v>
      </c>
      <c r="G5471" t="s">
        <v>12492</v>
      </c>
      <c r="H5471" t="s">
        <v>12493</v>
      </c>
      <c r="J5471" t="str">
        <f>HYPERLINK("https://www.facebook.com/454965103328545/posts/734812295343823?comment_id=400494915732653","https://www.facebook.com/454965103328545/posts/734812295343823?comment_id=400494915732653")</f>
        <v>https://www.facebook.com/454965103328545/posts/734812295343823?comment_id=400494915732653</v>
      </c>
      <c r="O5471">
        <v>0</v>
      </c>
      <c r="P5471">
        <v>0</v>
      </c>
      <c r="Q5471">
        <v>0</v>
      </c>
      <c r="S5471">
        <v>0</v>
      </c>
      <c r="T5471">
        <v>0</v>
      </c>
      <c r="U5471">
        <v>0</v>
      </c>
      <c r="W5471" t="s">
        <v>62</v>
      </c>
      <c r="AS5471" t="s">
        <v>375</v>
      </c>
    </row>
    <row r="5472" spans="1:45" x14ac:dyDescent="0.35">
      <c r="A5472" t="s">
        <v>45</v>
      </c>
      <c r="B5472" t="s">
        <v>12365</v>
      </c>
      <c r="C5472" t="s">
        <v>47</v>
      </c>
      <c r="D5472" t="s">
        <v>12236</v>
      </c>
      <c r="E5472" t="s">
        <v>12236</v>
      </c>
      <c r="F5472" t="s">
        <v>142</v>
      </c>
      <c r="G5472" t="s">
        <v>12494</v>
      </c>
      <c r="H5472" t="s">
        <v>12495</v>
      </c>
      <c r="J5472" t="str">
        <f>HYPERLINK("https://www.facebook.com/454965103328545/posts/734812295343823?comment_id=222844650877181","https://www.facebook.com/454965103328545/posts/734812295343823?comment_id=222844650877181")</f>
        <v>https://www.facebook.com/454965103328545/posts/734812295343823?comment_id=222844650877181</v>
      </c>
      <c r="O5472">
        <v>0</v>
      </c>
      <c r="P5472">
        <v>0</v>
      </c>
      <c r="Q5472">
        <v>0</v>
      </c>
      <c r="S5472">
        <v>0</v>
      </c>
      <c r="T5472">
        <v>0</v>
      </c>
      <c r="U5472">
        <v>0</v>
      </c>
      <c r="W5472" t="s">
        <v>62</v>
      </c>
    </row>
    <row r="5473" spans="1:45" x14ac:dyDescent="0.35">
      <c r="A5473" t="s">
        <v>45</v>
      </c>
      <c r="B5473" t="s">
        <v>12365</v>
      </c>
      <c r="C5473" t="s">
        <v>139</v>
      </c>
      <c r="D5473" t="s">
        <v>10132</v>
      </c>
      <c r="E5473" t="s">
        <v>10133</v>
      </c>
      <c r="F5473" t="s">
        <v>49</v>
      </c>
      <c r="G5473" t="s">
        <v>12324</v>
      </c>
      <c r="H5473" t="s">
        <v>12496</v>
      </c>
      <c r="J5473" t="str">
        <f>HYPERLINK("https://twitter.com/moneycontrolcom/status/1744239588644946407","https://twitter.com/moneycontrolcom/status/1744239588644946407")</f>
        <v>https://twitter.com/moneycontrolcom/status/1744239588644946407</v>
      </c>
      <c r="O5473">
        <v>0</v>
      </c>
      <c r="P5473">
        <v>0</v>
      </c>
      <c r="Q5473">
        <v>1424348</v>
      </c>
      <c r="R5473" t="s">
        <v>1868</v>
      </c>
      <c r="S5473">
        <v>0</v>
      </c>
      <c r="T5473">
        <v>0</v>
      </c>
      <c r="U5473">
        <v>0</v>
      </c>
      <c r="V5473" t="s">
        <v>642</v>
      </c>
      <c r="W5473" t="s">
        <v>146</v>
      </c>
    </row>
    <row r="5474" spans="1:45" x14ac:dyDescent="0.35">
      <c r="A5474" t="s">
        <v>45</v>
      </c>
      <c r="B5474" t="s">
        <v>12365</v>
      </c>
      <c r="C5474" t="s">
        <v>47</v>
      </c>
      <c r="D5474" t="s">
        <v>12497</v>
      </c>
      <c r="E5474" t="s">
        <v>12497</v>
      </c>
      <c r="F5474" t="s">
        <v>49</v>
      </c>
      <c r="G5474" t="s">
        <v>12498</v>
      </c>
      <c r="H5474" t="s">
        <v>12499</v>
      </c>
      <c r="J5474" t="str">
        <f>HYPERLINK("https://www.facebook.com/404425031860898/posts/686593983644000","https://www.facebook.com/404425031860898/posts/686593983644000")</f>
        <v>https://www.facebook.com/404425031860898/posts/686593983644000</v>
      </c>
      <c r="O5474">
        <v>0</v>
      </c>
      <c r="P5474">
        <v>0</v>
      </c>
      <c r="Q5474">
        <v>0</v>
      </c>
      <c r="S5474">
        <v>0</v>
      </c>
      <c r="T5474">
        <v>3</v>
      </c>
      <c r="U5474">
        <v>0</v>
      </c>
      <c r="W5474" t="s">
        <v>106</v>
      </c>
    </row>
    <row r="5475" spans="1:45" x14ac:dyDescent="0.35">
      <c r="A5475" t="s">
        <v>45</v>
      </c>
      <c r="B5475" t="s">
        <v>12365</v>
      </c>
      <c r="C5475" t="s">
        <v>47</v>
      </c>
      <c r="D5475" t="s">
        <v>12142</v>
      </c>
      <c r="E5475" t="s">
        <v>12142</v>
      </c>
      <c r="F5475" t="s">
        <v>49</v>
      </c>
      <c r="G5475" t="s">
        <v>12500</v>
      </c>
      <c r="H5475" t="s">
        <v>12501</v>
      </c>
      <c r="J5475" t="str">
        <f>HYPERLINK("https://www.facebook.com/454965103328545/posts/744159567742429?comment_id=893024875883411","https://www.facebook.com/454965103328545/posts/744159567742429?comment_id=893024875883411")</f>
        <v>https://www.facebook.com/454965103328545/posts/744159567742429?comment_id=893024875883411</v>
      </c>
      <c r="O5475">
        <v>0</v>
      </c>
      <c r="P5475">
        <v>0</v>
      </c>
      <c r="Q5475">
        <v>0</v>
      </c>
      <c r="S5475">
        <v>0</v>
      </c>
      <c r="T5475">
        <v>0</v>
      </c>
      <c r="U5475">
        <v>0</v>
      </c>
      <c r="W5475" t="s">
        <v>62</v>
      </c>
      <c r="AS5475" t="s">
        <v>375</v>
      </c>
    </row>
    <row r="5476" spans="1:45" x14ac:dyDescent="0.35">
      <c r="A5476" t="s">
        <v>45</v>
      </c>
      <c r="B5476" t="s">
        <v>12365</v>
      </c>
      <c r="C5476" t="s">
        <v>58</v>
      </c>
      <c r="D5476" t="s">
        <v>12502</v>
      </c>
      <c r="E5476" t="s">
        <v>12502</v>
      </c>
      <c r="F5476" t="s">
        <v>49</v>
      </c>
      <c r="G5476" t="s">
        <v>12503</v>
      </c>
      <c r="H5476" t="s">
        <v>12504</v>
      </c>
      <c r="J5476" t="str">
        <f>HYPERLINK("https://www.youtube.com/watch?v=4Wh-eTwxHUw","https://www.youtube.com/watch?v=4Wh-eTwxHUw")</f>
        <v>https://www.youtube.com/watch?v=4Wh-eTwxHUw</v>
      </c>
      <c r="O5476">
        <v>0</v>
      </c>
      <c r="P5476">
        <v>0</v>
      </c>
      <c r="Q5476">
        <v>0</v>
      </c>
      <c r="S5476">
        <v>0</v>
      </c>
      <c r="T5476">
        <v>0</v>
      </c>
      <c r="U5476">
        <v>0</v>
      </c>
      <c r="W5476" t="s">
        <v>106</v>
      </c>
    </row>
    <row r="5477" spans="1:45" x14ac:dyDescent="0.35">
      <c r="A5477" t="s">
        <v>45</v>
      </c>
      <c r="B5477" t="s">
        <v>12365</v>
      </c>
      <c r="C5477" t="s">
        <v>58</v>
      </c>
      <c r="D5477" t="s">
        <v>12505</v>
      </c>
      <c r="E5477" t="s">
        <v>12505</v>
      </c>
      <c r="F5477" t="s">
        <v>49</v>
      </c>
      <c r="G5477" t="s">
        <v>12506</v>
      </c>
      <c r="H5477" t="s">
        <v>12507</v>
      </c>
      <c r="J5477" t="str">
        <f>HYPERLINK("https://www.youtube.com/watch?v=9h2vI9n4bpg&amp;lc=Ugx-4BKRX4Yer7chMPR4AaABAg","https://www.youtube.com/watch?v=9h2vI9n4bpg&amp;lc=Ugx-4BKRX4Yer7chMPR4AaABAg")</f>
        <v>https://www.youtube.com/watch?v=9h2vI9n4bpg&amp;lc=Ugx-4BKRX4Yer7chMPR4AaABAg</v>
      </c>
      <c r="O5477">
        <v>0</v>
      </c>
      <c r="P5477">
        <v>0</v>
      </c>
      <c r="Q5477">
        <v>0</v>
      </c>
      <c r="S5477">
        <v>0</v>
      </c>
      <c r="T5477">
        <v>0</v>
      </c>
      <c r="U5477">
        <v>0</v>
      </c>
      <c r="W5477" t="s">
        <v>62</v>
      </c>
      <c r="AP5477" t="s">
        <v>94</v>
      </c>
    </row>
    <row r="5478" spans="1:45" x14ac:dyDescent="0.35">
      <c r="A5478" t="s">
        <v>45</v>
      </c>
      <c r="B5478" t="s">
        <v>12365</v>
      </c>
      <c r="C5478" t="s">
        <v>47</v>
      </c>
      <c r="D5478" t="s">
        <v>12508</v>
      </c>
      <c r="E5478" t="s">
        <v>12508</v>
      </c>
      <c r="F5478" t="s">
        <v>49</v>
      </c>
      <c r="G5478" t="s">
        <v>7294</v>
      </c>
      <c r="H5478" t="s">
        <v>12509</v>
      </c>
      <c r="J5478" t="str">
        <f>HYPERLINK("https://www.facebook.com/454965103328545/posts/734812295343823?comment_id=712361460869748","https://www.facebook.com/454965103328545/posts/734812295343823?comment_id=712361460869748")</f>
        <v>https://www.facebook.com/454965103328545/posts/734812295343823?comment_id=712361460869748</v>
      </c>
      <c r="O5478">
        <v>0</v>
      </c>
      <c r="P5478">
        <v>0</v>
      </c>
      <c r="Q5478">
        <v>0</v>
      </c>
      <c r="S5478">
        <v>0</v>
      </c>
      <c r="T5478">
        <v>0</v>
      </c>
      <c r="U5478">
        <v>0</v>
      </c>
      <c r="W5478" t="s">
        <v>62</v>
      </c>
    </row>
    <row r="5479" spans="1:45" x14ac:dyDescent="0.35">
      <c r="A5479" t="s">
        <v>45</v>
      </c>
      <c r="B5479" t="s">
        <v>12510</v>
      </c>
      <c r="C5479" t="s">
        <v>47</v>
      </c>
      <c r="D5479" t="s">
        <v>12511</v>
      </c>
      <c r="E5479" t="s">
        <v>12511</v>
      </c>
      <c r="F5479" t="s">
        <v>49</v>
      </c>
      <c r="G5479" t="s">
        <v>12512</v>
      </c>
      <c r="H5479" t="s">
        <v>12513</v>
      </c>
      <c r="J5479" t="str">
        <f>HYPERLINK("https://www.facebook.com/FinoPaymentsBank/manager/messages/?threadid=122103045542173881&amp;amp;folder=inbox","https://www.facebook.com/FinoPaymentsBank/manager/messages/?threadid=122103045542173881&amp;amp;folder=inbox")</f>
        <v>https://www.facebook.com/FinoPaymentsBank/manager/messages/?threadid=122103045542173881&amp;amp;folder=inbox</v>
      </c>
      <c r="O5479">
        <v>0</v>
      </c>
      <c r="P5479">
        <v>0</v>
      </c>
      <c r="Q5479">
        <v>0</v>
      </c>
      <c r="S5479">
        <v>0</v>
      </c>
      <c r="T5479">
        <v>0</v>
      </c>
      <c r="U5479">
        <v>0</v>
      </c>
      <c r="W5479" t="s">
        <v>52</v>
      </c>
    </row>
    <row r="5480" spans="1:45" x14ac:dyDescent="0.35">
      <c r="A5480" t="s">
        <v>45</v>
      </c>
      <c r="B5480" t="s">
        <v>12510</v>
      </c>
      <c r="C5480" t="s">
        <v>47</v>
      </c>
      <c r="D5480" t="s">
        <v>10049</v>
      </c>
      <c r="E5480" t="s">
        <v>10049</v>
      </c>
      <c r="F5480" t="s">
        <v>142</v>
      </c>
      <c r="G5480" t="s">
        <v>12514</v>
      </c>
      <c r="H5480" t="s">
        <v>12515</v>
      </c>
      <c r="J5480" t="str">
        <f>HYPERLINK("https://www.facebook.com/530505755340218/posts/919249206465869","https://www.facebook.com/530505755340218/posts/919249206465869")</f>
        <v>https://www.facebook.com/530505755340218/posts/919249206465869</v>
      </c>
      <c r="O5480">
        <v>0</v>
      </c>
      <c r="P5480">
        <v>0</v>
      </c>
      <c r="Q5480">
        <v>0</v>
      </c>
      <c r="S5480">
        <v>0</v>
      </c>
      <c r="T5480">
        <v>21</v>
      </c>
      <c r="U5480">
        <v>0</v>
      </c>
      <c r="W5480" t="s">
        <v>106</v>
      </c>
    </row>
    <row r="5481" spans="1:45" x14ac:dyDescent="0.35">
      <c r="A5481" t="s">
        <v>45</v>
      </c>
      <c r="B5481" t="s">
        <v>12510</v>
      </c>
      <c r="C5481" t="s">
        <v>47</v>
      </c>
      <c r="D5481" t="s">
        <v>2335</v>
      </c>
      <c r="E5481" t="s">
        <v>2335</v>
      </c>
      <c r="F5481" t="s">
        <v>76</v>
      </c>
      <c r="G5481" t="s">
        <v>12516</v>
      </c>
      <c r="H5481" t="s">
        <v>12517</v>
      </c>
      <c r="J5481" t="str">
        <f>HYPERLINK("https://www.facebook.com/454965103328545/posts/744159567742429?comment_id=1104578380535624","https://www.facebook.com/454965103328545/posts/744159567742429?comment_id=1104578380535624")</f>
        <v>https://www.facebook.com/454965103328545/posts/744159567742429?comment_id=1104578380535624</v>
      </c>
      <c r="O5481">
        <v>0</v>
      </c>
      <c r="P5481">
        <v>0</v>
      </c>
      <c r="Q5481">
        <v>0</v>
      </c>
      <c r="S5481">
        <v>0</v>
      </c>
      <c r="T5481">
        <v>0</v>
      </c>
      <c r="U5481">
        <v>0</v>
      </c>
      <c r="W5481" t="s">
        <v>62</v>
      </c>
    </row>
    <row r="5482" spans="1:45" x14ac:dyDescent="0.35">
      <c r="A5482" t="s">
        <v>45</v>
      </c>
      <c r="B5482" t="s">
        <v>12510</v>
      </c>
      <c r="C5482" t="s">
        <v>58</v>
      </c>
      <c r="D5482" t="s">
        <v>12518</v>
      </c>
      <c r="E5482" t="s">
        <v>12518</v>
      </c>
      <c r="F5482" t="s">
        <v>49</v>
      </c>
      <c r="G5482" t="s">
        <v>12519</v>
      </c>
      <c r="H5482" t="s">
        <v>12520</v>
      </c>
      <c r="J5482" t="str">
        <f>HYPERLINK("https://www.youtube.com/watch?v=mqx848gTbU0","https://www.youtube.com/watch?v=mqx848gTbU0")</f>
        <v>https://www.youtube.com/watch?v=mqx848gTbU0</v>
      </c>
      <c r="O5482">
        <v>0</v>
      </c>
      <c r="P5482">
        <v>0</v>
      </c>
      <c r="Q5482">
        <v>0</v>
      </c>
      <c r="S5482">
        <v>0</v>
      </c>
      <c r="T5482">
        <v>0</v>
      </c>
      <c r="U5482">
        <v>0</v>
      </c>
      <c r="W5482" t="s">
        <v>106</v>
      </c>
    </row>
    <row r="5483" spans="1:45" x14ac:dyDescent="0.35">
      <c r="A5483" t="s">
        <v>45</v>
      </c>
      <c r="B5483" t="s">
        <v>12510</v>
      </c>
      <c r="C5483" t="s">
        <v>58</v>
      </c>
      <c r="D5483" t="s">
        <v>12521</v>
      </c>
      <c r="E5483" t="s">
        <v>12521</v>
      </c>
      <c r="F5483" t="s">
        <v>49</v>
      </c>
      <c r="G5483" t="s">
        <v>12522</v>
      </c>
      <c r="H5483" t="s">
        <v>12523</v>
      </c>
      <c r="J5483" t="str">
        <f>HYPERLINK("https://www.youtube.com/watch?v=wvefozPep6A","https://www.youtube.com/watch?v=wvefozPep6A")</f>
        <v>https://www.youtube.com/watch?v=wvefozPep6A</v>
      </c>
      <c r="O5483">
        <v>0</v>
      </c>
      <c r="P5483">
        <v>0</v>
      </c>
      <c r="Q5483">
        <v>0</v>
      </c>
      <c r="S5483">
        <v>0</v>
      </c>
      <c r="T5483">
        <v>0</v>
      </c>
      <c r="U5483">
        <v>0</v>
      </c>
      <c r="W5483" t="s">
        <v>106</v>
      </c>
    </row>
    <row r="5484" spans="1:45" x14ac:dyDescent="0.35">
      <c r="A5484" t="s">
        <v>45</v>
      </c>
      <c r="B5484" t="s">
        <v>12510</v>
      </c>
      <c r="C5484" t="s">
        <v>58</v>
      </c>
      <c r="D5484" t="s">
        <v>12524</v>
      </c>
      <c r="E5484" t="s">
        <v>12524</v>
      </c>
      <c r="F5484" t="s">
        <v>49</v>
      </c>
      <c r="G5484" t="s">
        <v>12525</v>
      </c>
      <c r="H5484" t="s">
        <v>12526</v>
      </c>
      <c r="J5484" t="str">
        <f>HYPERLINK("https://www.youtube.com/watch?v=VGAqIyqKnVk","https://www.youtube.com/watch?v=VGAqIyqKnVk")</f>
        <v>https://www.youtube.com/watch?v=VGAqIyqKnVk</v>
      </c>
      <c r="O5484">
        <v>0</v>
      </c>
      <c r="P5484">
        <v>0</v>
      </c>
      <c r="Q5484">
        <v>0</v>
      </c>
      <c r="S5484">
        <v>0</v>
      </c>
      <c r="T5484">
        <v>0</v>
      </c>
      <c r="U5484">
        <v>0</v>
      </c>
      <c r="W5484" t="s">
        <v>106</v>
      </c>
    </row>
    <row r="5485" spans="1:45" x14ac:dyDescent="0.35">
      <c r="A5485" t="s">
        <v>45</v>
      </c>
      <c r="B5485" t="s">
        <v>12510</v>
      </c>
      <c r="C5485" t="s">
        <v>58</v>
      </c>
      <c r="D5485" t="s">
        <v>12527</v>
      </c>
      <c r="E5485" t="s">
        <v>12527</v>
      </c>
      <c r="F5485" t="s">
        <v>49</v>
      </c>
      <c r="G5485" t="s">
        <v>12528</v>
      </c>
      <c r="H5485" t="s">
        <v>12529</v>
      </c>
      <c r="J5485" t="str">
        <f>HYPERLINK("https://www.youtube.com/watch?v=zf9oNBZcbw0","https://www.youtube.com/watch?v=zf9oNBZcbw0")</f>
        <v>https://www.youtube.com/watch?v=zf9oNBZcbw0</v>
      </c>
      <c r="O5485">
        <v>0</v>
      </c>
      <c r="P5485">
        <v>0</v>
      </c>
      <c r="Q5485">
        <v>0</v>
      </c>
      <c r="S5485">
        <v>0</v>
      </c>
      <c r="T5485">
        <v>0</v>
      </c>
      <c r="U5485">
        <v>0</v>
      </c>
      <c r="W5485" t="s">
        <v>106</v>
      </c>
    </row>
    <row r="5486" spans="1:45" x14ac:dyDescent="0.35">
      <c r="A5486" t="s">
        <v>45</v>
      </c>
      <c r="B5486" t="s">
        <v>12510</v>
      </c>
      <c r="C5486" t="s">
        <v>58</v>
      </c>
      <c r="D5486" t="s">
        <v>12530</v>
      </c>
      <c r="E5486" t="s">
        <v>12530</v>
      </c>
      <c r="F5486" t="s">
        <v>49</v>
      </c>
      <c r="G5486" t="s">
        <v>12531</v>
      </c>
      <c r="H5486" t="s">
        <v>12532</v>
      </c>
      <c r="J5486" t="str">
        <f>HYPERLINK("https://www.youtube.com/watch?v=ND81langRak","https://www.youtube.com/watch?v=ND81langRak")</f>
        <v>https://www.youtube.com/watch?v=ND81langRak</v>
      </c>
      <c r="O5486">
        <v>0</v>
      </c>
      <c r="P5486">
        <v>0</v>
      </c>
      <c r="Q5486">
        <v>0</v>
      </c>
      <c r="S5486">
        <v>0</v>
      </c>
      <c r="T5486">
        <v>0</v>
      </c>
      <c r="U5486">
        <v>0</v>
      </c>
      <c r="W5486" t="s">
        <v>106</v>
      </c>
    </row>
    <row r="5487" spans="1:45" x14ac:dyDescent="0.35">
      <c r="A5487" t="s">
        <v>45</v>
      </c>
      <c r="B5487" t="s">
        <v>12510</v>
      </c>
      <c r="C5487" t="s">
        <v>47</v>
      </c>
      <c r="D5487" t="s">
        <v>4488</v>
      </c>
      <c r="E5487" t="s">
        <v>4488</v>
      </c>
      <c r="F5487" t="s">
        <v>49</v>
      </c>
      <c r="G5487" t="s">
        <v>8347</v>
      </c>
      <c r="H5487" t="s">
        <v>12533</v>
      </c>
      <c r="J5487" t="str">
        <f>HYPERLINK("https://www.facebook.com/454965103328545/posts/725672139591172?comment_id=2017029535330404","https://www.facebook.com/454965103328545/posts/725672139591172?comment_id=2017029535330404")</f>
        <v>https://www.facebook.com/454965103328545/posts/725672139591172?comment_id=2017029535330404</v>
      </c>
      <c r="O5487">
        <v>0</v>
      </c>
      <c r="P5487">
        <v>0</v>
      </c>
      <c r="Q5487">
        <v>0</v>
      </c>
      <c r="S5487">
        <v>0</v>
      </c>
      <c r="T5487">
        <v>0</v>
      </c>
      <c r="U5487">
        <v>0</v>
      </c>
      <c r="W5487" t="s">
        <v>62</v>
      </c>
      <c r="AS5487" t="s">
        <v>375</v>
      </c>
    </row>
    <row r="5488" spans="1:45" x14ac:dyDescent="0.35">
      <c r="A5488" t="s">
        <v>45</v>
      </c>
      <c r="B5488" t="s">
        <v>12510</v>
      </c>
      <c r="C5488" t="s">
        <v>58</v>
      </c>
      <c r="D5488" t="s">
        <v>10873</v>
      </c>
      <c r="E5488" t="s">
        <v>10873</v>
      </c>
      <c r="F5488" t="s">
        <v>49</v>
      </c>
      <c r="G5488" t="s">
        <v>12534</v>
      </c>
      <c r="H5488" t="s">
        <v>12535</v>
      </c>
      <c r="J5488" t="str">
        <f>HYPERLINK("https://www.youtube.com/watch?v=ArFbWrTPsVk","https://www.youtube.com/watch?v=ArFbWrTPsVk")</f>
        <v>https://www.youtube.com/watch?v=ArFbWrTPsVk</v>
      </c>
      <c r="O5488">
        <v>0</v>
      </c>
      <c r="P5488">
        <v>0</v>
      </c>
      <c r="Q5488">
        <v>0</v>
      </c>
      <c r="S5488">
        <v>0</v>
      </c>
      <c r="T5488">
        <v>0</v>
      </c>
      <c r="U5488">
        <v>0</v>
      </c>
      <c r="W5488" t="s">
        <v>106</v>
      </c>
    </row>
    <row r="5489" spans="1:45" x14ac:dyDescent="0.35">
      <c r="A5489" t="s">
        <v>45</v>
      </c>
      <c r="B5489" t="s">
        <v>12510</v>
      </c>
      <c r="C5489" t="s">
        <v>58</v>
      </c>
      <c r="D5489" t="s">
        <v>12536</v>
      </c>
      <c r="E5489" t="s">
        <v>12536</v>
      </c>
      <c r="F5489" t="s">
        <v>49</v>
      </c>
      <c r="G5489" t="s">
        <v>12537</v>
      </c>
      <c r="H5489" t="s">
        <v>12538</v>
      </c>
      <c r="J5489" t="str">
        <f>HYPERLINK("https://www.youtube.com/watch?v=zgoSFN-ibtI","https://www.youtube.com/watch?v=zgoSFN-ibtI")</f>
        <v>https://www.youtube.com/watch?v=zgoSFN-ibtI</v>
      </c>
      <c r="O5489">
        <v>0</v>
      </c>
      <c r="P5489">
        <v>0</v>
      </c>
      <c r="Q5489">
        <v>0</v>
      </c>
      <c r="S5489">
        <v>0</v>
      </c>
      <c r="T5489">
        <v>0</v>
      </c>
      <c r="U5489">
        <v>0</v>
      </c>
      <c r="W5489" t="s">
        <v>106</v>
      </c>
    </row>
    <row r="5490" spans="1:45" x14ac:dyDescent="0.35">
      <c r="A5490" t="s">
        <v>45</v>
      </c>
      <c r="B5490" t="s">
        <v>12510</v>
      </c>
      <c r="C5490" t="s">
        <v>58</v>
      </c>
      <c r="D5490" t="s">
        <v>12539</v>
      </c>
      <c r="E5490" t="s">
        <v>12539</v>
      </c>
      <c r="F5490" t="s">
        <v>49</v>
      </c>
      <c r="G5490" t="s">
        <v>12540</v>
      </c>
      <c r="H5490" t="s">
        <v>12541</v>
      </c>
      <c r="J5490" t="str">
        <f>HYPERLINK("https://www.youtube.com/watch?v=iyN2AYYeBoY","https://www.youtube.com/watch?v=iyN2AYYeBoY")</f>
        <v>https://www.youtube.com/watch?v=iyN2AYYeBoY</v>
      </c>
      <c r="O5490">
        <v>0</v>
      </c>
      <c r="P5490">
        <v>0</v>
      </c>
      <c r="Q5490">
        <v>0</v>
      </c>
      <c r="S5490">
        <v>0</v>
      </c>
      <c r="T5490">
        <v>0</v>
      </c>
      <c r="U5490">
        <v>0</v>
      </c>
      <c r="W5490" t="s">
        <v>106</v>
      </c>
    </row>
    <row r="5491" spans="1:45" x14ac:dyDescent="0.35">
      <c r="A5491" t="s">
        <v>45</v>
      </c>
      <c r="B5491" t="s">
        <v>12510</v>
      </c>
      <c r="C5491" t="s">
        <v>58</v>
      </c>
      <c r="D5491" t="s">
        <v>2320</v>
      </c>
      <c r="E5491" t="s">
        <v>2320</v>
      </c>
      <c r="F5491" t="s">
        <v>49</v>
      </c>
      <c r="G5491" t="s">
        <v>12542</v>
      </c>
      <c r="H5491" t="s">
        <v>12543</v>
      </c>
      <c r="J5491" t="str">
        <f>HYPERLINK("https://www.youtube.com/watch?v=xfRKVe4DyTI","https://www.youtube.com/watch?v=xfRKVe4DyTI")</f>
        <v>https://www.youtube.com/watch?v=xfRKVe4DyTI</v>
      </c>
      <c r="O5491">
        <v>0</v>
      </c>
      <c r="P5491">
        <v>0</v>
      </c>
      <c r="Q5491">
        <v>0</v>
      </c>
      <c r="S5491">
        <v>0</v>
      </c>
      <c r="T5491">
        <v>0</v>
      </c>
      <c r="U5491">
        <v>0</v>
      </c>
      <c r="W5491" t="s">
        <v>106</v>
      </c>
      <c r="AO5491" t="s">
        <v>67</v>
      </c>
    </row>
    <row r="5492" spans="1:45" x14ac:dyDescent="0.35">
      <c r="A5492" t="s">
        <v>45</v>
      </c>
      <c r="B5492" t="s">
        <v>12510</v>
      </c>
      <c r="C5492" t="s">
        <v>58</v>
      </c>
      <c r="D5492" t="s">
        <v>12544</v>
      </c>
      <c r="E5492" t="s">
        <v>12544</v>
      </c>
      <c r="F5492" t="s">
        <v>49</v>
      </c>
      <c r="G5492" t="s">
        <v>12545</v>
      </c>
      <c r="H5492" t="s">
        <v>12546</v>
      </c>
      <c r="J5492" t="str">
        <f>HYPERLINK("https://www.youtube.com/watch?v=h0bepiiaMS8&amp;lc=UgyGZHfGUaobXk5bEfR4AaABAg","https://www.youtube.com/watch?v=h0bepiiaMS8&amp;lc=UgyGZHfGUaobXk5bEfR4AaABAg")</f>
        <v>https://www.youtube.com/watch?v=h0bepiiaMS8&amp;lc=UgyGZHfGUaobXk5bEfR4AaABAg</v>
      </c>
      <c r="O5492">
        <v>0</v>
      </c>
      <c r="P5492">
        <v>0</v>
      </c>
      <c r="Q5492">
        <v>0</v>
      </c>
      <c r="S5492">
        <v>0</v>
      </c>
      <c r="T5492">
        <v>0</v>
      </c>
      <c r="U5492">
        <v>0</v>
      </c>
      <c r="W5492" t="s">
        <v>62</v>
      </c>
    </row>
    <row r="5493" spans="1:45" x14ac:dyDescent="0.35">
      <c r="A5493" t="s">
        <v>45</v>
      </c>
      <c r="B5493" t="s">
        <v>12510</v>
      </c>
      <c r="C5493" t="s">
        <v>58</v>
      </c>
      <c r="D5493" t="s">
        <v>12544</v>
      </c>
      <c r="E5493" t="s">
        <v>12544</v>
      </c>
      <c r="F5493" t="s">
        <v>142</v>
      </c>
      <c r="G5493" t="s">
        <v>12547</v>
      </c>
      <c r="H5493" t="s">
        <v>12548</v>
      </c>
      <c r="J5493" t="str">
        <f>HYPERLINK("https://www.youtube.com/watch?v=nNTi7GPdTsw&amp;lc=UgwudL8VRjOrT2iiqoZ4AaABAg","https://www.youtube.com/watch?v=nNTi7GPdTsw&amp;lc=UgwudL8VRjOrT2iiqoZ4AaABAg")</f>
        <v>https://www.youtube.com/watch?v=nNTi7GPdTsw&amp;lc=UgwudL8VRjOrT2iiqoZ4AaABAg</v>
      </c>
      <c r="O5493">
        <v>0</v>
      </c>
      <c r="P5493">
        <v>0</v>
      </c>
      <c r="Q5493">
        <v>0</v>
      </c>
      <c r="S5493">
        <v>0</v>
      </c>
      <c r="T5493">
        <v>0</v>
      </c>
      <c r="U5493">
        <v>0</v>
      </c>
      <c r="W5493" t="s">
        <v>62</v>
      </c>
    </row>
    <row r="5494" spans="1:45" x14ac:dyDescent="0.35">
      <c r="A5494" t="s">
        <v>45</v>
      </c>
      <c r="B5494" t="s">
        <v>12510</v>
      </c>
      <c r="C5494" t="s">
        <v>47</v>
      </c>
      <c r="D5494" t="s">
        <v>12549</v>
      </c>
      <c r="E5494" t="s">
        <v>12549</v>
      </c>
      <c r="F5494" t="s">
        <v>49</v>
      </c>
      <c r="G5494" t="s">
        <v>12550</v>
      </c>
      <c r="H5494" t="s">
        <v>12551</v>
      </c>
      <c r="J5494" t="str">
        <f>HYPERLINK("https://www.facebook.com/357267201017935/inbox/6892199500857973/","https://www.facebook.com/357267201017935/inbox/6892199500857973/")</f>
        <v>https://www.facebook.com/357267201017935/inbox/6892199500857973/</v>
      </c>
      <c r="O5494">
        <v>0</v>
      </c>
      <c r="P5494">
        <v>0</v>
      </c>
      <c r="Q5494">
        <v>0</v>
      </c>
      <c r="S5494">
        <v>0</v>
      </c>
      <c r="T5494">
        <v>0</v>
      </c>
      <c r="U5494">
        <v>0</v>
      </c>
      <c r="W5494" t="s">
        <v>52</v>
      </c>
      <c r="AS5494" t="s">
        <v>375</v>
      </c>
    </row>
    <row r="5495" spans="1:45" x14ac:dyDescent="0.35">
      <c r="A5495" t="s">
        <v>45</v>
      </c>
      <c r="B5495" t="s">
        <v>12552</v>
      </c>
      <c r="C5495" t="s">
        <v>47</v>
      </c>
      <c r="D5495" t="s">
        <v>12553</v>
      </c>
      <c r="E5495" t="s">
        <v>12553</v>
      </c>
      <c r="F5495" t="s">
        <v>49</v>
      </c>
      <c r="G5495" t="s">
        <v>12554</v>
      </c>
      <c r="H5495" t="s">
        <v>12555</v>
      </c>
      <c r="J5495" t="str">
        <f>HYPERLINK("https://www.facebook.com/357267201017935/posts/3069910089753619/?comment_id=1531987180974165","https://www.facebook.com/357267201017935/posts/3069910089753619/?comment_id=1531987180974165")</f>
        <v>https://www.facebook.com/357267201017935/posts/3069910089753619/?comment_id=1531987180974165</v>
      </c>
      <c r="O5495">
        <v>0</v>
      </c>
      <c r="P5495">
        <v>0</v>
      </c>
      <c r="Q5495">
        <v>0</v>
      </c>
      <c r="S5495">
        <v>0</v>
      </c>
      <c r="T5495">
        <v>0</v>
      </c>
      <c r="U5495">
        <v>0</v>
      </c>
      <c r="W5495" t="s">
        <v>62</v>
      </c>
    </row>
    <row r="5496" spans="1:45" x14ac:dyDescent="0.35">
      <c r="A5496" t="s">
        <v>45</v>
      </c>
      <c r="B5496" t="s">
        <v>12552</v>
      </c>
      <c r="C5496" t="s">
        <v>58</v>
      </c>
      <c r="D5496" t="s">
        <v>3237</v>
      </c>
      <c r="E5496" t="s">
        <v>3237</v>
      </c>
      <c r="F5496" t="s">
        <v>49</v>
      </c>
      <c r="G5496" t="s">
        <v>12212</v>
      </c>
      <c r="H5496" t="s">
        <v>12556</v>
      </c>
      <c r="J5496" t="str">
        <f>HYPERLINK("https://www.youtube.com/watch?v=FBF26fiVahs","https://www.youtube.com/watch?v=FBF26fiVahs")</f>
        <v>https://www.youtube.com/watch?v=FBF26fiVahs</v>
      </c>
      <c r="O5496">
        <v>0</v>
      </c>
      <c r="P5496">
        <v>0</v>
      </c>
      <c r="Q5496">
        <v>0</v>
      </c>
      <c r="S5496">
        <v>0</v>
      </c>
      <c r="T5496">
        <v>0</v>
      </c>
      <c r="U5496">
        <v>0</v>
      </c>
      <c r="W5496" t="s">
        <v>106</v>
      </c>
    </row>
    <row r="5497" spans="1:45" x14ac:dyDescent="0.35">
      <c r="A5497" t="s">
        <v>45</v>
      </c>
      <c r="B5497" t="s">
        <v>12552</v>
      </c>
      <c r="C5497" t="s">
        <v>58</v>
      </c>
      <c r="D5497" t="s">
        <v>1217</v>
      </c>
      <c r="E5497" t="s">
        <v>1217</v>
      </c>
      <c r="F5497" t="s">
        <v>49</v>
      </c>
      <c r="G5497" t="s">
        <v>12557</v>
      </c>
      <c r="H5497" t="s">
        <v>12558</v>
      </c>
      <c r="J5497" t="str">
        <f>HYPERLINK("https://www.youtube.com/watch?v=TsQ49XYhKGE","https://www.youtube.com/watch?v=TsQ49XYhKGE")</f>
        <v>https://www.youtube.com/watch?v=TsQ49XYhKGE</v>
      </c>
      <c r="O5497">
        <v>0</v>
      </c>
      <c r="P5497">
        <v>0</v>
      </c>
      <c r="Q5497">
        <v>0</v>
      </c>
      <c r="S5497">
        <v>0</v>
      </c>
      <c r="T5497">
        <v>0</v>
      </c>
      <c r="U5497">
        <v>0</v>
      </c>
      <c r="W5497" t="s">
        <v>106</v>
      </c>
      <c r="AP5497" t="s">
        <v>101</v>
      </c>
    </row>
    <row r="5498" spans="1:45" x14ac:dyDescent="0.35">
      <c r="A5498" t="s">
        <v>45</v>
      </c>
      <c r="B5498" t="s">
        <v>12552</v>
      </c>
      <c r="C5498" t="s">
        <v>58</v>
      </c>
      <c r="D5498" t="s">
        <v>5628</v>
      </c>
      <c r="E5498" t="s">
        <v>5628</v>
      </c>
      <c r="F5498" t="s">
        <v>49</v>
      </c>
      <c r="G5498" t="s">
        <v>12559</v>
      </c>
      <c r="H5498" t="s">
        <v>12560</v>
      </c>
      <c r="J5498" t="str">
        <f>HYPERLINK("https://www.youtube.com/watch?v=LdmhKj7Qw18","https://www.youtube.com/watch?v=LdmhKj7Qw18")</f>
        <v>https://www.youtube.com/watch?v=LdmhKj7Qw18</v>
      </c>
      <c r="O5498">
        <v>0</v>
      </c>
      <c r="P5498">
        <v>0</v>
      </c>
      <c r="Q5498">
        <v>0</v>
      </c>
      <c r="S5498">
        <v>0</v>
      </c>
      <c r="T5498">
        <v>0</v>
      </c>
      <c r="U5498">
        <v>0</v>
      </c>
      <c r="W5498" t="s">
        <v>106</v>
      </c>
      <c r="AP5498" t="s">
        <v>101</v>
      </c>
    </row>
    <row r="5499" spans="1:45" x14ac:dyDescent="0.35">
      <c r="A5499" t="s">
        <v>45</v>
      </c>
      <c r="B5499" t="s">
        <v>12552</v>
      </c>
      <c r="C5499" t="s">
        <v>58</v>
      </c>
      <c r="D5499" t="s">
        <v>1142</v>
      </c>
      <c r="E5499" t="s">
        <v>1142</v>
      </c>
      <c r="F5499" t="s">
        <v>49</v>
      </c>
      <c r="G5499" t="s">
        <v>12561</v>
      </c>
      <c r="H5499" t="s">
        <v>12562</v>
      </c>
      <c r="J5499" t="str">
        <f>HYPERLINK("https://www.youtube.com/watch?v=XM2TZyWHo-A","https://www.youtube.com/watch?v=XM2TZyWHo-A")</f>
        <v>https://www.youtube.com/watch?v=XM2TZyWHo-A</v>
      </c>
      <c r="O5499">
        <v>0</v>
      </c>
      <c r="P5499">
        <v>0</v>
      </c>
      <c r="Q5499">
        <v>0</v>
      </c>
      <c r="S5499">
        <v>0</v>
      </c>
      <c r="T5499">
        <v>0</v>
      </c>
      <c r="U5499">
        <v>0</v>
      </c>
      <c r="W5499" t="s">
        <v>106</v>
      </c>
      <c r="AP5499" t="s">
        <v>101</v>
      </c>
    </row>
    <row r="5500" spans="1:45" x14ac:dyDescent="0.35">
      <c r="A5500" t="s">
        <v>45</v>
      </c>
      <c r="B5500" t="s">
        <v>12552</v>
      </c>
      <c r="C5500" t="s">
        <v>58</v>
      </c>
      <c r="D5500" t="s">
        <v>12563</v>
      </c>
      <c r="E5500" t="s">
        <v>12563</v>
      </c>
      <c r="F5500" t="s">
        <v>49</v>
      </c>
      <c r="G5500" t="s">
        <v>12564</v>
      </c>
      <c r="H5500" t="s">
        <v>12565</v>
      </c>
      <c r="J5500" t="str">
        <f>HYPERLINK("https://www.youtube.com/watch?v=67xlHn2-p6A","https://www.youtube.com/watch?v=67xlHn2-p6A")</f>
        <v>https://www.youtube.com/watch?v=67xlHn2-p6A</v>
      </c>
      <c r="O5500">
        <v>0</v>
      </c>
      <c r="P5500">
        <v>0</v>
      </c>
      <c r="Q5500">
        <v>0</v>
      </c>
      <c r="S5500">
        <v>0</v>
      </c>
      <c r="T5500">
        <v>0</v>
      </c>
      <c r="U5500">
        <v>0</v>
      </c>
      <c r="W5500" t="s">
        <v>106</v>
      </c>
    </row>
    <row r="5501" spans="1:45" x14ac:dyDescent="0.35">
      <c r="A5501" t="s">
        <v>45</v>
      </c>
      <c r="B5501" t="s">
        <v>12552</v>
      </c>
      <c r="C5501" t="s">
        <v>58</v>
      </c>
      <c r="D5501" t="s">
        <v>4297</v>
      </c>
      <c r="E5501" t="s">
        <v>4297</v>
      </c>
      <c r="F5501" t="s">
        <v>49</v>
      </c>
      <c r="G5501" t="s">
        <v>12566</v>
      </c>
      <c r="H5501" t="s">
        <v>12567</v>
      </c>
      <c r="J5501" t="str">
        <f>HYPERLINK("https://www.youtube.com/watch?v=nNTi7GPdTsw&amp;lc=UgyewzD0wGFySc8oA_B4AaABAg","https://www.youtube.com/watch?v=nNTi7GPdTsw&amp;lc=UgyewzD0wGFySc8oA_B4AaABAg")</f>
        <v>https://www.youtube.com/watch?v=nNTi7GPdTsw&amp;lc=UgyewzD0wGFySc8oA_B4AaABAg</v>
      </c>
      <c r="O5501">
        <v>0</v>
      </c>
      <c r="P5501">
        <v>0</v>
      </c>
      <c r="Q5501">
        <v>0</v>
      </c>
      <c r="S5501">
        <v>0</v>
      </c>
      <c r="T5501">
        <v>0</v>
      </c>
      <c r="U5501">
        <v>0</v>
      </c>
      <c r="W5501" t="s">
        <v>62</v>
      </c>
    </row>
    <row r="5502" spans="1:45" x14ac:dyDescent="0.35">
      <c r="A5502" t="s">
        <v>45</v>
      </c>
      <c r="B5502" t="s">
        <v>12552</v>
      </c>
      <c r="C5502" t="s">
        <v>58</v>
      </c>
      <c r="D5502" t="s">
        <v>12568</v>
      </c>
      <c r="E5502" t="s">
        <v>12568</v>
      </c>
      <c r="F5502" t="s">
        <v>49</v>
      </c>
      <c r="G5502" t="s">
        <v>12569</v>
      </c>
      <c r="H5502" t="s">
        <v>12570</v>
      </c>
      <c r="J5502" t="str">
        <f>HYPERLINK("https://www.youtube.com/watch?v=APQDQNagOwo","https://www.youtube.com/watch?v=APQDQNagOwo")</f>
        <v>https://www.youtube.com/watch?v=APQDQNagOwo</v>
      </c>
      <c r="O5502">
        <v>0</v>
      </c>
      <c r="P5502">
        <v>0</v>
      </c>
      <c r="Q5502">
        <v>0</v>
      </c>
      <c r="S5502">
        <v>0</v>
      </c>
      <c r="T5502">
        <v>0</v>
      </c>
      <c r="U5502">
        <v>0</v>
      </c>
      <c r="W5502" t="s">
        <v>106</v>
      </c>
    </row>
    <row r="5503" spans="1:45" x14ac:dyDescent="0.35">
      <c r="A5503" t="s">
        <v>45</v>
      </c>
      <c r="B5503" t="s">
        <v>12552</v>
      </c>
      <c r="C5503" t="s">
        <v>139</v>
      </c>
      <c r="D5503" t="s">
        <v>12571</v>
      </c>
      <c r="E5503" t="s">
        <v>12572</v>
      </c>
      <c r="F5503" t="s">
        <v>49</v>
      </c>
      <c r="G5503" t="s">
        <v>12573</v>
      </c>
      <c r="H5503" t="s">
        <v>12574</v>
      </c>
      <c r="J5503" t="str">
        <f>HYPERLINK("https://twitter.com/MinjarulM/status/1743610758850617523","https://twitter.com/MinjarulM/status/1743610758850617523")</f>
        <v>https://twitter.com/MinjarulM/status/1743610758850617523</v>
      </c>
      <c r="O5503">
        <v>0</v>
      </c>
      <c r="P5503">
        <v>0</v>
      </c>
      <c r="Q5503">
        <v>16</v>
      </c>
      <c r="S5503">
        <v>0</v>
      </c>
      <c r="T5503">
        <v>0</v>
      </c>
      <c r="U5503">
        <v>0</v>
      </c>
      <c r="W5503" t="s">
        <v>146</v>
      </c>
    </row>
    <row r="5504" spans="1:45" x14ac:dyDescent="0.35">
      <c r="A5504" t="s">
        <v>45</v>
      </c>
      <c r="B5504" t="s">
        <v>12552</v>
      </c>
      <c r="C5504" t="s">
        <v>139</v>
      </c>
      <c r="D5504" t="s">
        <v>12571</v>
      </c>
      <c r="E5504" t="s">
        <v>12572</v>
      </c>
      <c r="F5504" t="s">
        <v>49</v>
      </c>
      <c r="G5504" t="s">
        <v>12575</v>
      </c>
      <c r="H5504" t="s">
        <v>12576</v>
      </c>
      <c r="J5504" t="str">
        <f>HYPERLINK("https://twitter.com/MinjarulM/status/1743610729432023216","https://twitter.com/MinjarulM/status/1743610729432023216")</f>
        <v>https://twitter.com/MinjarulM/status/1743610729432023216</v>
      </c>
      <c r="O5504">
        <v>0</v>
      </c>
      <c r="P5504">
        <v>0</v>
      </c>
      <c r="Q5504">
        <v>16</v>
      </c>
      <c r="S5504">
        <v>0</v>
      </c>
      <c r="T5504">
        <v>0</v>
      </c>
      <c r="U5504">
        <v>0</v>
      </c>
      <c r="W5504" t="s">
        <v>146</v>
      </c>
    </row>
    <row r="5505" spans="1:45" x14ac:dyDescent="0.35">
      <c r="A5505" t="s">
        <v>45</v>
      </c>
      <c r="B5505" t="s">
        <v>12552</v>
      </c>
      <c r="C5505" t="s">
        <v>139</v>
      </c>
      <c r="D5505" t="s">
        <v>12571</v>
      </c>
      <c r="E5505" t="s">
        <v>12572</v>
      </c>
      <c r="F5505" t="s">
        <v>49</v>
      </c>
      <c r="G5505" t="s">
        <v>12577</v>
      </c>
      <c r="H5505" t="s">
        <v>12578</v>
      </c>
      <c r="J5505" t="str">
        <f>HYPERLINK("https://twitter.com/MinjarulM/status/1743610697324601754","https://twitter.com/MinjarulM/status/1743610697324601754")</f>
        <v>https://twitter.com/MinjarulM/status/1743610697324601754</v>
      </c>
      <c r="O5505">
        <v>0</v>
      </c>
      <c r="P5505">
        <v>0</v>
      </c>
      <c r="Q5505">
        <v>16</v>
      </c>
      <c r="S5505">
        <v>0</v>
      </c>
      <c r="T5505">
        <v>0</v>
      </c>
      <c r="U5505">
        <v>0</v>
      </c>
      <c r="W5505" t="s">
        <v>146</v>
      </c>
    </row>
    <row r="5506" spans="1:45" x14ac:dyDescent="0.35">
      <c r="A5506" t="s">
        <v>45</v>
      </c>
      <c r="B5506" t="s">
        <v>12552</v>
      </c>
      <c r="C5506" t="s">
        <v>139</v>
      </c>
      <c r="D5506" t="s">
        <v>12571</v>
      </c>
      <c r="E5506" t="s">
        <v>12572</v>
      </c>
      <c r="F5506" t="s">
        <v>49</v>
      </c>
      <c r="G5506" t="s">
        <v>12579</v>
      </c>
      <c r="H5506" t="s">
        <v>12580</v>
      </c>
      <c r="J5506" t="str">
        <f>HYPERLINK("https://twitter.com/MinjarulM/status/1743610657210343587","https://twitter.com/MinjarulM/status/1743610657210343587")</f>
        <v>https://twitter.com/MinjarulM/status/1743610657210343587</v>
      </c>
      <c r="O5506">
        <v>0</v>
      </c>
      <c r="P5506">
        <v>0</v>
      </c>
      <c r="Q5506">
        <v>16</v>
      </c>
      <c r="S5506">
        <v>0</v>
      </c>
      <c r="T5506">
        <v>0</v>
      </c>
      <c r="U5506">
        <v>0</v>
      </c>
      <c r="W5506" t="s">
        <v>146</v>
      </c>
    </row>
    <row r="5507" spans="1:45" x14ac:dyDescent="0.35">
      <c r="A5507" t="s">
        <v>45</v>
      </c>
      <c r="B5507" t="s">
        <v>12552</v>
      </c>
      <c r="C5507" t="s">
        <v>139</v>
      </c>
      <c r="D5507" t="s">
        <v>12571</v>
      </c>
      <c r="E5507" t="s">
        <v>12572</v>
      </c>
      <c r="F5507" t="s">
        <v>49</v>
      </c>
      <c r="G5507" t="s">
        <v>12581</v>
      </c>
      <c r="H5507" t="s">
        <v>12582</v>
      </c>
      <c r="J5507" t="str">
        <f>HYPERLINK("https://twitter.com/MinjarulM/status/1743610621407777156","https://twitter.com/MinjarulM/status/1743610621407777156")</f>
        <v>https://twitter.com/MinjarulM/status/1743610621407777156</v>
      </c>
      <c r="O5507">
        <v>0</v>
      </c>
      <c r="P5507">
        <v>0</v>
      </c>
      <c r="Q5507">
        <v>16</v>
      </c>
      <c r="S5507">
        <v>0</v>
      </c>
      <c r="T5507">
        <v>0</v>
      </c>
      <c r="U5507">
        <v>0</v>
      </c>
      <c r="W5507" t="s">
        <v>146</v>
      </c>
    </row>
    <row r="5508" spans="1:45" x14ac:dyDescent="0.35">
      <c r="A5508" t="s">
        <v>45</v>
      </c>
      <c r="B5508" t="s">
        <v>12552</v>
      </c>
      <c r="C5508" t="s">
        <v>139</v>
      </c>
      <c r="D5508" t="s">
        <v>12571</v>
      </c>
      <c r="E5508" t="s">
        <v>12572</v>
      </c>
      <c r="F5508" t="s">
        <v>142</v>
      </c>
      <c r="G5508" t="s">
        <v>12583</v>
      </c>
      <c r="H5508" t="s">
        <v>12584</v>
      </c>
      <c r="J5508" t="str">
        <f>HYPERLINK("https://twitter.com/MinjarulM/status/1743610364309250215","https://twitter.com/MinjarulM/status/1743610364309250215")</f>
        <v>https://twitter.com/MinjarulM/status/1743610364309250215</v>
      </c>
      <c r="O5508">
        <v>0</v>
      </c>
      <c r="P5508">
        <v>0</v>
      </c>
      <c r="Q5508">
        <v>16</v>
      </c>
      <c r="S5508">
        <v>0</v>
      </c>
      <c r="T5508">
        <v>0</v>
      </c>
      <c r="U5508">
        <v>0</v>
      </c>
      <c r="W5508" t="s">
        <v>146</v>
      </c>
    </row>
    <row r="5509" spans="1:45" x14ac:dyDescent="0.35">
      <c r="A5509" t="s">
        <v>45</v>
      </c>
      <c r="B5509" t="s">
        <v>12552</v>
      </c>
      <c r="C5509" t="s">
        <v>139</v>
      </c>
      <c r="D5509" t="s">
        <v>12571</v>
      </c>
      <c r="E5509" t="s">
        <v>12572</v>
      </c>
      <c r="F5509" t="s">
        <v>49</v>
      </c>
      <c r="G5509" t="s">
        <v>12585</v>
      </c>
      <c r="H5509" t="s">
        <v>12586</v>
      </c>
      <c r="J5509" t="str">
        <f>HYPERLINK("https://twitter.com/MinjarulM/status/1743609787621974191","https://twitter.com/MinjarulM/status/1743609787621974191")</f>
        <v>https://twitter.com/MinjarulM/status/1743609787621974191</v>
      </c>
      <c r="O5509">
        <v>0</v>
      </c>
      <c r="P5509">
        <v>0</v>
      </c>
      <c r="Q5509">
        <v>16</v>
      </c>
      <c r="S5509">
        <v>0</v>
      </c>
      <c r="T5509">
        <v>0</v>
      </c>
      <c r="U5509">
        <v>0</v>
      </c>
      <c r="W5509" t="s">
        <v>146</v>
      </c>
    </row>
    <row r="5510" spans="1:45" x14ac:dyDescent="0.35">
      <c r="A5510" t="s">
        <v>45</v>
      </c>
      <c r="B5510" t="s">
        <v>12552</v>
      </c>
      <c r="C5510" t="s">
        <v>139</v>
      </c>
      <c r="D5510" t="s">
        <v>12571</v>
      </c>
      <c r="E5510" t="s">
        <v>12572</v>
      </c>
      <c r="F5510" t="s">
        <v>49</v>
      </c>
      <c r="G5510" t="s">
        <v>12587</v>
      </c>
      <c r="H5510" t="s">
        <v>12588</v>
      </c>
      <c r="J5510" t="str">
        <f>HYPERLINK("https://twitter.com/MinjarulM/status/1743605041880277199","https://twitter.com/MinjarulM/status/1743605041880277199")</f>
        <v>https://twitter.com/MinjarulM/status/1743605041880277199</v>
      </c>
      <c r="O5510">
        <v>0</v>
      </c>
      <c r="P5510">
        <v>0</v>
      </c>
      <c r="Q5510">
        <v>16</v>
      </c>
      <c r="S5510">
        <v>0</v>
      </c>
      <c r="T5510">
        <v>0</v>
      </c>
      <c r="U5510">
        <v>0</v>
      </c>
      <c r="W5510" t="s">
        <v>146</v>
      </c>
    </row>
    <row r="5511" spans="1:45" x14ac:dyDescent="0.35">
      <c r="A5511" t="s">
        <v>45</v>
      </c>
      <c r="B5511" t="s">
        <v>12552</v>
      </c>
      <c r="C5511" t="s">
        <v>139</v>
      </c>
      <c r="D5511" t="s">
        <v>12571</v>
      </c>
      <c r="E5511" t="s">
        <v>12572</v>
      </c>
      <c r="F5511" t="s">
        <v>49</v>
      </c>
      <c r="G5511" t="s">
        <v>12589</v>
      </c>
      <c r="H5511" t="s">
        <v>12590</v>
      </c>
      <c r="J5511" t="str">
        <f>HYPERLINK("https://twitter.com/MinjarulM/status/1743604263107039248","https://twitter.com/MinjarulM/status/1743604263107039248")</f>
        <v>https://twitter.com/MinjarulM/status/1743604263107039248</v>
      </c>
      <c r="O5511">
        <v>0</v>
      </c>
      <c r="P5511">
        <v>0</v>
      </c>
      <c r="Q5511">
        <v>16</v>
      </c>
      <c r="S5511">
        <v>0</v>
      </c>
      <c r="T5511">
        <v>0</v>
      </c>
      <c r="U5511">
        <v>0</v>
      </c>
      <c r="W5511" t="s">
        <v>146</v>
      </c>
    </row>
    <row r="5512" spans="1:45" x14ac:dyDescent="0.35">
      <c r="A5512" t="s">
        <v>45</v>
      </c>
      <c r="B5512" t="s">
        <v>12552</v>
      </c>
      <c r="C5512" t="s">
        <v>139</v>
      </c>
      <c r="D5512" t="s">
        <v>4902</v>
      </c>
      <c r="E5512" t="s">
        <v>4903</v>
      </c>
      <c r="F5512" t="s">
        <v>49</v>
      </c>
      <c r="G5512" t="s">
        <v>12591</v>
      </c>
      <c r="H5512" t="s">
        <v>12592</v>
      </c>
      <c r="J5512" t="str">
        <f>HYPERLINK("https://twitter.com/lovepartner_1/status/1743587093970854117","https://twitter.com/lovepartner_1/status/1743587093970854117")</f>
        <v>https://twitter.com/lovepartner_1/status/1743587093970854117</v>
      </c>
      <c r="K5512" t="s">
        <v>145</v>
      </c>
      <c r="O5512">
        <v>0</v>
      </c>
      <c r="P5512">
        <v>0</v>
      </c>
      <c r="Q5512">
        <v>16</v>
      </c>
      <c r="R5512" t="s">
        <v>4587</v>
      </c>
      <c r="S5512">
        <v>0</v>
      </c>
      <c r="T5512">
        <v>0</v>
      </c>
      <c r="U5512">
        <v>0</v>
      </c>
      <c r="W5512" t="s">
        <v>146</v>
      </c>
    </row>
    <row r="5513" spans="1:45" x14ac:dyDescent="0.35">
      <c r="A5513" t="s">
        <v>45</v>
      </c>
      <c r="B5513" t="s">
        <v>12552</v>
      </c>
      <c r="C5513" t="s">
        <v>58</v>
      </c>
      <c r="D5513" t="s">
        <v>1556</v>
      </c>
      <c r="E5513" t="s">
        <v>1556</v>
      </c>
      <c r="F5513" t="s">
        <v>49</v>
      </c>
      <c r="G5513" t="s">
        <v>12593</v>
      </c>
      <c r="H5513" t="s">
        <v>12594</v>
      </c>
      <c r="J5513" t="str">
        <f>HYPERLINK("https://www.youtube.com/watch?v=mEsYCaBZ3Zo","https://www.youtube.com/watch?v=mEsYCaBZ3Zo")</f>
        <v>https://www.youtube.com/watch?v=mEsYCaBZ3Zo</v>
      </c>
      <c r="O5513">
        <v>0</v>
      </c>
      <c r="P5513">
        <v>0</v>
      </c>
      <c r="Q5513">
        <v>0</v>
      </c>
      <c r="S5513">
        <v>0</v>
      </c>
      <c r="T5513">
        <v>0</v>
      </c>
      <c r="U5513">
        <v>0</v>
      </c>
      <c r="W5513" t="s">
        <v>106</v>
      </c>
      <c r="AP5513" t="s">
        <v>101</v>
      </c>
    </row>
    <row r="5514" spans="1:45" x14ac:dyDescent="0.35">
      <c r="A5514" t="s">
        <v>45</v>
      </c>
      <c r="B5514" t="s">
        <v>12552</v>
      </c>
      <c r="C5514" t="s">
        <v>58</v>
      </c>
      <c r="D5514" t="s">
        <v>1569</v>
      </c>
      <c r="E5514" t="s">
        <v>1569</v>
      </c>
      <c r="F5514" t="s">
        <v>49</v>
      </c>
      <c r="G5514" t="s">
        <v>12593</v>
      </c>
      <c r="H5514" t="s">
        <v>12595</v>
      </c>
      <c r="J5514" t="str">
        <f>HYPERLINK("https://www.youtube.com/watch?v=XhUq-7_mmMw","https://www.youtube.com/watch?v=XhUq-7_mmMw")</f>
        <v>https://www.youtube.com/watch?v=XhUq-7_mmMw</v>
      </c>
      <c r="O5514">
        <v>0</v>
      </c>
      <c r="P5514">
        <v>0</v>
      </c>
      <c r="Q5514">
        <v>0</v>
      </c>
      <c r="S5514">
        <v>0</v>
      </c>
      <c r="T5514">
        <v>0</v>
      </c>
      <c r="U5514">
        <v>0</v>
      </c>
      <c r="W5514" t="s">
        <v>106</v>
      </c>
      <c r="AP5514" t="s">
        <v>101</v>
      </c>
    </row>
    <row r="5515" spans="1:45" x14ac:dyDescent="0.35">
      <c r="A5515" t="s">
        <v>45</v>
      </c>
      <c r="B5515" t="s">
        <v>12552</v>
      </c>
      <c r="C5515" t="s">
        <v>47</v>
      </c>
      <c r="D5515" t="s">
        <v>45</v>
      </c>
      <c r="E5515" t="s">
        <v>45</v>
      </c>
      <c r="F5515" t="s">
        <v>49</v>
      </c>
      <c r="G5515" t="s">
        <v>12596</v>
      </c>
      <c r="H5515" t="s">
        <v>12597</v>
      </c>
      <c r="J5515" t="str">
        <f>HYPERLINK("https://www.facebook.com/357267201017935/inbox/6888120801265843/","https://www.facebook.com/357267201017935/inbox/6888120801265843/")</f>
        <v>https://www.facebook.com/357267201017935/inbox/6888120801265843/</v>
      </c>
      <c r="O5515">
        <v>0</v>
      </c>
      <c r="P5515">
        <v>0</v>
      </c>
      <c r="Q5515">
        <v>0</v>
      </c>
      <c r="S5515">
        <v>0</v>
      </c>
      <c r="T5515">
        <v>0</v>
      </c>
      <c r="U5515">
        <v>0</v>
      </c>
      <c r="W5515" t="s">
        <v>52</v>
      </c>
    </row>
    <row r="5516" spans="1:45" x14ac:dyDescent="0.35">
      <c r="A5516" t="s">
        <v>45</v>
      </c>
      <c r="B5516" t="s">
        <v>12552</v>
      </c>
      <c r="C5516" t="s">
        <v>139</v>
      </c>
      <c r="D5516" t="s">
        <v>190</v>
      </c>
      <c r="E5516" t="s">
        <v>45</v>
      </c>
      <c r="F5516" t="s">
        <v>49</v>
      </c>
      <c r="G5516" t="s">
        <v>12598</v>
      </c>
      <c r="H5516" t="s">
        <v>12599</v>
      </c>
      <c r="J5516" t="str">
        <f>HYPERLINK("https://twitter.com/FinoPaymntsBank/status/1743567554164252699","https://twitter.com/FinoPaymntsBank/status/1743567554164252699")</f>
        <v>https://twitter.com/FinoPaymntsBank/status/1743567554164252699</v>
      </c>
      <c r="K5516" t="s">
        <v>145</v>
      </c>
      <c r="O5516">
        <v>0</v>
      </c>
      <c r="P5516">
        <v>0</v>
      </c>
      <c r="Q5516">
        <v>8291</v>
      </c>
      <c r="R5516" t="s">
        <v>193</v>
      </c>
      <c r="S5516">
        <v>0</v>
      </c>
      <c r="T5516">
        <v>0</v>
      </c>
      <c r="U5516">
        <v>0</v>
      </c>
      <c r="W5516" t="s">
        <v>146</v>
      </c>
    </row>
    <row r="5517" spans="1:45" x14ac:dyDescent="0.35">
      <c r="A5517" t="s">
        <v>45</v>
      </c>
      <c r="B5517" t="s">
        <v>12552</v>
      </c>
      <c r="C5517" t="s">
        <v>139</v>
      </c>
      <c r="D5517" t="s">
        <v>4902</v>
      </c>
      <c r="E5517" t="s">
        <v>4903</v>
      </c>
      <c r="F5517" t="s">
        <v>49</v>
      </c>
      <c r="G5517" t="s">
        <v>12600</v>
      </c>
      <c r="H5517" t="s">
        <v>12601</v>
      </c>
      <c r="J5517" t="str">
        <f>HYPERLINK("https://twitter.com/lovepartner_1/status/1743533869976944651","https://twitter.com/lovepartner_1/status/1743533869976944651")</f>
        <v>https://twitter.com/lovepartner_1/status/1743533869976944651</v>
      </c>
      <c r="K5517" t="s">
        <v>145</v>
      </c>
      <c r="O5517">
        <v>0</v>
      </c>
      <c r="P5517">
        <v>0</v>
      </c>
      <c r="Q5517">
        <v>16</v>
      </c>
      <c r="R5517" t="s">
        <v>4587</v>
      </c>
      <c r="S5517">
        <v>0</v>
      </c>
      <c r="T5517">
        <v>0</v>
      </c>
      <c r="U5517">
        <v>0</v>
      </c>
      <c r="W5517" t="s">
        <v>146</v>
      </c>
      <c r="AS5517" t="s">
        <v>375</v>
      </c>
    </row>
    <row r="5518" spans="1:45" x14ac:dyDescent="0.35">
      <c r="A5518" t="s">
        <v>45</v>
      </c>
      <c r="B5518" t="s">
        <v>12552</v>
      </c>
      <c r="C5518" t="s">
        <v>47</v>
      </c>
      <c r="D5518" t="s">
        <v>8442</v>
      </c>
      <c r="E5518" t="s">
        <v>8442</v>
      </c>
      <c r="F5518" t="s">
        <v>49</v>
      </c>
      <c r="G5518" t="s">
        <v>12602</v>
      </c>
      <c r="H5518" t="s">
        <v>12603</v>
      </c>
      <c r="J5518" t="str">
        <f>HYPERLINK("https://www.facebook.com/357267201017935/inbox/6822399801171277/","https://www.facebook.com/357267201017935/inbox/6822399801171277/")</f>
        <v>https://www.facebook.com/357267201017935/inbox/6822399801171277/</v>
      </c>
      <c r="O5518">
        <v>0</v>
      </c>
      <c r="P5518">
        <v>0</v>
      </c>
      <c r="Q5518">
        <v>0</v>
      </c>
      <c r="S5518">
        <v>0</v>
      </c>
      <c r="T5518">
        <v>0</v>
      </c>
      <c r="U5518">
        <v>0</v>
      </c>
      <c r="W5518" t="s">
        <v>52</v>
      </c>
    </row>
    <row r="5519" spans="1:45" x14ac:dyDescent="0.35">
      <c r="A5519" t="s">
        <v>45</v>
      </c>
      <c r="B5519" t="s">
        <v>12552</v>
      </c>
      <c r="C5519" t="s">
        <v>47</v>
      </c>
      <c r="D5519" t="s">
        <v>12604</v>
      </c>
      <c r="E5519" t="s">
        <v>12604</v>
      </c>
      <c r="F5519" t="s">
        <v>49</v>
      </c>
      <c r="G5519">
        <v>8780705259</v>
      </c>
      <c r="H5519" t="s">
        <v>12605</v>
      </c>
      <c r="J5519" t="str">
        <f>HYPERLINK("https://www.facebook.com/357267201017935/posts/3069910089753619/?comment_id=297415136189207","https://www.facebook.com/357267201017935/posts/3069910089753619/?comment_id=297415136189207")</f>
        <v>https://www.facebook.com/357267201017935/posts/3069910089753619/?comment_id=297415136189207</v>
      </c>
      <c r="O5519">
        <v>0</v>
      </c>
      <c r="P5519">
        <v>0</v>
      </c>
      <c r="Q5519">
        <v>0</v>
      </c>
      <c r="S5519">
        <v>0</v>
      </c>
      <c r="T5519">
        <v>0</v>
      </c>
      <c r="U5519">
        <v>0</v>
      </c>
      <c r="W5519" t="s">
        <v>62</v>
      </c>
    </row>
    <row r="5520" spans="1:45" x14ac:dyDescent="0.35">
      <c r="A5520" t="s">
        <v>45</v>
      </c>
      <c r="B5520" t="s">
        <v>12552</v>
      </c>
      <c r="C5520" t="s">
        <v>58</v>
      </c>
      <c r="D5520" t="s">
        <v>10873</v>
      </c>
      <c r="E5520" t="s">
        <v>10873</v>
      </c>
      <c r="F5520" t="s">
        <v>49</v>
      </c>
      <c r="G5520" t="s">
        <v>12606</v>
      </c>
      <c r="H5520" t="s">
        <v>12607</v>
      </c>
      <c r="J5520" t="str">
        <f>HYPERLINK("https://www.youtube.com/watch?v=TEZ8GB5vkiQ","https://www.youtube.com/watch?v=TEZ8GB5vkiQ")</f>
        <v>https://www.youtube.com/watch?v=TEZ8GB5vkiQ</v>
      </c>
      <c r="O5520">
        <v>0</v>
      </c>
      <c r="P5520">
        <v>0</v>
      </c>
      <c r="Q5520">
        <v>0</v>
      </c>
      <c r="S5520">
        <v>0</v>
      </c>
      <c r="T5520">
        <v>0</v>
      </c>
      <c r="U5520">
        <v>0</v>
      </c>
      <c r="W5520" t="s">
        <v>106</v>
      </c>
      <c r="AP5520" t="s">
        <v>101</v>
      </c>
    </row>
    <row r="5521" spans="1:45" x14ac:dyDescent="0.35">
      <c r="A5521" t="s">
        <v>45</v>
      </c>
      <c r="B5521" t="s">
        <v>12552</v>
      </c>
      <c r="C5521" t="s">
        <v>47</v>
      </c>
      <c r="D5521" t="s">
        <v>12608</v>
      </c>
      <c r="E5521" t="s">
        <v>12608</v>
      </c>
      <c r="F5521" t="s">
        <v>49</v>
      </c>
      <c r="G5521" t="s">
        <v>12609</v>
      </c>
      <c r="H5521" t="s">
        <v>12610</v>
      </c>
      <c r="J5521" t="str">
        <f>HYPERLINK("https://www.facebook.com/454965103328545/posts/734812295343823?comment_id=1099018461112088","https://www.facebook.com/454965103328545/posts/734812295343823?comment_id=1099018461112088")</f>
        <v>https://www.facebook.com/454965103328545/posts/734812295343823?comment_id=1099018461112088</v>
      </c>
      <c r="O5521">
        <v>0</v>
      </c>
      <c r="P5521">
        <v>0</v>
      </c>
      <c r="Q5521">
        <v>0</v>
      </c>
      <c r="S5521">
        <v>0</v>
      </c>
      <c r="T5521">
        <v>0</v>
      </c>
      <c r="U5521">
        <v>0</v>
      </c>
      <c r="W5521" t="s">
        <v>62</v>
      </c>
    </row>
    <row r="5522" spans="1:45" x14ac:dyDescent="0.35">
      <c r="A5522" t="s">
        <v>45</v>
      </c>
      <c r="B5522" t="s">
        <v>12552</v>
      </c>
      <c r="C5522" t="s">
        <v>47</v>
      </c>
      <c r="D5522" t="s">
        <v>12611</v>
      </c>
      <c r="E5522" t="s">
        <v>12611</v>
      </c>
      <c r="F5522" t="s">
        <v>49</v>
      </c>
      <c r="G5522" t="s">
        <v>12612</v>
      </c>
      <c r="H5522" t="s">
        <v>12613</v>
      </c>
      <c r="J5522" t="str">
        <f>HYPERLINK("https://www.facebook.com/454965103328545/posts/741713277987058?comment_id=6935590703215756","https://www.facebook.com/454965103328545/posts/741713277987058?comment_id=6935590703215756")</f>
        <v>https://www.facebook.com/454965103328545/posts/741713277987058?comment_id=6935590703215756</v>
      </c>
      <c r="O5522">
        <v>0</v>
      </c>
      <c r="P5522">
        <v>0</v>
      </c>
      <c r="Q5522">
        <v>0</v>
      </c>
      <c r="S5522">
        <v>0</v>
      </c>
      <c r="T5522">
        <v>0</v>
      </c>
      <c r="U5522">
        <v>0</v>
      </c>
      <c r="W5522" t="s">
        <v>62</v>
      </c>
    </row>
    <row r="5523" spans="1:45" x14ac:dyDescent="0.35">
      <c r="A5523" t="s">
        <v>45</v>
      </c>
      <c r="B5523" t="s">
        <v>12552</v>
      </c>
      <c r="C5523" t="s">
        <v>47</v>
      </c>
      <c r="D5523" t="s">
        <v>12614</v>
      </c>
      <c r="E5523" t="s">
        <v>12614</v>
      </c>
      <c r="F5523" t="s">
        <v>49</v>
      </c>
      <c r="G5523">
        <v>9675470528</v>
      </c>
      <c r="H5523" t="s">
        <v>12615</v>
      </c>
      <c r="J5523" t="str">
        <f>HYPERLINK("https://www.facebook.com/357267201017935/posts/3069910089753619/?comment_id=1306778416686963","https://www.facebook.com/357267201017935/posts/3069910089753619/?comment_id=1306778416686963")</f>
        <v>https://www.facebook.com/357267201017935/posts/3069910089753619/?comment_id=1306778416686963</v>
      </c>
      <c r="O5523">
        <v>0</v>
      </c>
      <c r="P5523">
        <v>0</v>
      </c>
      <c r="Q5523">
        <v>0</v>
      </c>
      <c r="S5523">
        <v>0</v>
      </c>
      <c r="T5523">
        <v>0</v>
      </c>
      <c r="U5523">
        <v>0</v>
      </c>
      <c r="W5523" t="s">
        <v>62</v>
      </c>
    </row>
    <row r="5524" spans="1:45" x14ac:dyDescent="0.35">
      <c r="A5524" t="s">
        <v>45</v>
      </c>
      <c r="B5524" t="s">
        <v>12552</v>
      </c>
      <c r="C5524" t="s">
        <v>58</v>
      </c>
      <c r="D5524" t="s">
        <v>10749</v>
      </c>
      <c r="E5524" t="s">
        <v>10749</v>
      </c>
      <c r="F5524" t="s">
        <v>142</v>
      </c>
      <c r="G5524" t="s">
        <v>12616</v>
      </c>
      <c r="H5524" t="s">
        <v>12617</v>
      </c>
      <c r="J5524" t="str">
        <f>HYPERLINK("https://www.youtube.com/watch?v=Q8j5CsTIZeQ","https://www.youtube.com/watch?v=Q8j5CsTIZeQ")</f>
        <v>https://www.youtube.com/watch?v=Q8j5CsTIZeQ</v>
      </c>
      <c r="O5524">
        <v>0</v>
      </c>
      <c r="P5524">
        <v>0</v>
      </c>
      <c r="Q5524">
        <v>0</v>
      </c>
      <c r="S5524">
        <v>0</v>
      </c>
      <c r="T5524">
        <v>0</v>
      </c>
      <c r="U5524">
        <v>0</v>
      </c>
      <c r="W5524" t="s">
        <v>106</v>
      </c>
    </row>
    <row r="5525" spans="1:45" x14ac:dyDescent="0.35">
      <c r="A5525" t="s">
        <v>45</v>
      </c>
      <c r="B5525" t="s">
        <v>12552</v>
      </c>
      <c r="C5525" t="s">
        <v>139</v>
      </c>
      <c r="D5525" t="s">
        <v>12618</v>
      </c>
      <c r="E5525" t="s">
        <v>12619</v>
      </c>
      <c r="F5525" t="s">
        <v>49</v>
      </c>
      <c r="G5525" t="s">
        <v>12620</v>
      </c>
      <c r="H5525" t="s">
        <v>12621</v>
      </c>
      <c r="J5525" t="str">
        <f>HYPERLINK("https://twitter.com/gestuchipj58676/status/1743344842191548592","https://twitter.com/gestuchipj58676/status/1743344842191548592")</f>
        <v>https://twitter.com/gestuchipj58676/status/1743344842191548592</v>
      </c>
      <c r="O5525">
        <v>0</v>
      </c>
      <c r="P5525">
        <v>0</v>
      </c>
      <c r="Q5525">
        <v>0</v>
      </c>
      <c r="S5525">
        <v>0</v>
      </c>
      <c r="T5525">
        <v>0</v>
      </c>
      <c r="U5525">
        <v>0</v>
      </c>
      <c r="W5525" t="s">
        <v>146</v>
      </c>
    </row>
    <row r="5526" spans="1:45" x14ac:dyDescent="0.35">
      <c r="A5526" t="s">
        <v>45</v>
      </c>
      <c r="B5526" t="s">
        <v>12622</v>
      </c>
      <c r="C5526" t="s">
        <v>47</v>
      </c>
      <c r="D5526" t="s">
        <v>11193</v>
      </c>
      <c r="E5526" t="s">
        <v>11193</v>
      </c>
      <c r="F5526" t="s">
        <v>49</v>
      </c>
      <c r="G5526" t="s">
        <v>2769</v>
      </c>
      <c r="H5526" t="s">
        <v>12623</v>
      </c>
      <c r="J5526" t="str">
        <f>HYPERLINK("https://www.facebook.com/357267201017935/inbox/6888120801265843/","https://www.facebook.com/357267201017935/inbox/6888120801265843/")</f>
        <v>https://www.facebook.com/357267201017935/inbox/6888120801265843/</v>
      </c>
      <c r="O5526">
        <v>0</v>
      </c>
      <c r="P5526">
        <v>0</v>
      </c>
      <c r="Q5526">
        <v>0</v>
      </c>
      <c r="S5526">
        <v>0</v>
      </c>
      <c r="T5526">
        <v>0</v>
      </c>
      <c r="U5526">
        <v>0</v>
      </c>
      <c r="W5526" t="s">
        <v>52</v>
      </c>
      <c r="AS5526" t="s">
        <v>375</v>
      </c>
    </row>
    <row r="5527" spans="1:45" x14ac:dyDescent="0.35">
      <c r="A5527" t="s">
        <v>45</v>
      </c>
      <c r="B5527" t="s">
        <v>12622</v>
      </c>
      <c r="C5527" t="s">
        <v>139</v>
      </c>
      <c r="D5527" t="s">
        <v>12624</v>
      </c>
      <c r="E5527" t="s">
        <v>12625</v>
      </c>
      <c r="F5527" t="s">
        <v>49</v>
      </c>
      <c r="G5527" t="s">
        <v>12626</v>
      </c>
      <c r="H5527" t="s">
        <v>12627</v>
      </c>
      <c r="J5527" t="str">
        <f>HYPERLINK("https://twitter.com/PessimismBuyer/status/1743299264065974323","https://twitter.com/PessimismBuyer/status/1743299264065974323")</f>
        <v>https://twitter.com/PessimismBuyer/status/1743299264065974323</v>
      </c>
      <c r="K5527" t="s">
        <v>145</v>
      </c>
      <c r="O5527">
        <v>0</v>
      </c>
      <c r="P5527">
        <v>0</v>
      </c>
      <c r="Q5527">
        <v>2</v>
      </c>
      <c r="S5527">
        <v>0</v>
      </c>
      <c r="T5527">
        <v>0</v>
      </c>
      <c r="U5527">
        <v>0</v>
      </c>
      <c r="W5527" t="s">
        <v>552</v>
      </c>
      <c r="AP5527" t="s">
        <v>101</v>
      </c>
    </row>
    <row r="5528" spans="1:45" x14ac:dyDescent="0.35">
      <c r="A5528" t="s">
        <v>45</v>
      </c>
      <c r="B5528" t="s">
        <v>12622</v>
      </c>
      <c r="C5528" t="s">
        <v>58</v>
      </c>
      <c r="D5528" t="s">
        <v>12536</v>
      </c>
      <c r="E5528" t="s">
        <v>12536</v>
      </c>
      <c r="F5528" t="s">
        <v>49</v>
      </c>
      <c r="G5528" t="s">
        <v>12628</v>
      </c>
      <c r="H5528" t="s">
        <v>12629</v>
      </c>
      <c r="J5528" t="str">
        <f>HYPERLINK("https://www.youtube.com/watch?v=KX9uPX0L3KE","https://www.youtube.com/watch?v=KX9uPX0L3KE")</f>
        <v>https://www.youtube.com/watch?v=KX9uPX0L3KE</v>
      </c>
      <c r="O5528">
        <v>0</v>
      </c>
      <c r="P5528">
        <v>0</v>
      </c>
      <c r="Q5528">
        <v>0</v>
      </c>
      <c r="S5528">
        <v>0</v>
      </c>
      <c r="T5528">
        <v>0</v>
      </c>
      <c r="U5528">
        <v>0</v>
      </c>
      <c r="W5528" t="s">
        <v>106</v>
      </c>
    </row>
    <row r="5529" spans="1:45" x14ac:dyDescent="0.35">
      <c r="A5529" t="s">
        <v>45</v>
      </c>
      <c r="B5529" t="s">
        <v>12622</v>
      </c>
      <c r="C5529" t="s">
        <v>58</v>
      </c>
      <c r="D5529" t="s">
        <v>12630</v>
      </c>
      <c r="E5529" t="s">
        <v>12630</v>
      </c>
      <c r="F5529" t="s">
        <v>49</v>
      </c>
      <c r="G5529" t="s">
        <v>12631</v>
      </c>
      <c r="H5529" t="s">
        <v>12632</v>
      </c>
      <c r="J5529" t="str">
        <f>HYPERLINK("https://www.youtube.com/watch?v=s7cpUn75opA","https://www.youtube.com/watch?v=s7cpUn75opA")</f>
        <v>https://www.youtube.com/watch?v=s7cpUn75opA</v>
      </c>
      <c r="O5529">
        <v>0</v>
      </c>
      <c r="P5529">
        <v>0</v>
      </c>
      <c r="Q5529">
        <v>0</v>
      </c>
      <c r="S5529">
        <v>0</v>
      </c>
      <c r="T5529">
        <v>0</v>
      </c>
      <c r="U5529">
        <v>0</v>
      </c>
      <c r="W5529" t="s">
        <v>106</v>
      </c>
    </row>
    <row r="5530" spans="1:45" x14ac:dyDescent="0.35">
      <c r="A5530" t="s">
        <v>45</v>
      </c>
      <c r="B5530" t="s">
        <v>12622</v>
      </c>
      <c r="C5530" t="s">
        <v>47</v>
      </c>
      <c r="D5530" t="s">
        <v>12633</v>
      </c>
      <c r="E5530" t="s">
        <v>12633</v>
      </c>
      <c r="F5530" t="s">
        <v>49</v>
      </c>
      <c r="G5530" t="s">
        <v>12634</v>
      </c>
      <c r="H5530" t="s">
        <v>12635</v>
      </c>
      <c r="J5530" t="str">
        <f>HYPERLINK("https://www.facebook.com/357267201017935/posts/3069910089753619/?comment_id=858651182610344","https://www.facebook.com/357267201017935/posts/3069910089753619/?comment_id=858651182610344")</f>
        <v>https://www.facebook.com/357267201017935/posts/3069910089753619/?comment_id=858651182610344</v>
      </c>
      <c r="O5530">
        <v>0</v>
      </c>
      <c r="P5530">
        <v>0</v>
      </c>
      <c r="Q5530">
        <v>0</v>
      </c>
      <c r="S5530">
        <v>0</v>
      </c>
      <c r="T5530">
        <v>0</v>
      </c>
      <c r="U5530">
        <v>0</v>
      </c>
      <c r="W5530" t="s">
        <v>62</v>
      </c>
      <c r="AO5530" t="s">
        <v>67</v>
      </c>
    </row>
    <row r="5531" spans="1:45" x14ac:dyDescent="0.35">
      <c r="A5531" t="s">
        <v>45</v>
      </c>
      <c r="B5531" t="s">
        <v>12622</v>
      </c>
      <c r="C5531" t="s">
        <v>47</v>
      </c>
      <c r="D5531" t="s">
        <v>12633</v>
      </c>
      <c r="E5531" t="s">
        <v>12633</v>
      </c>
      <c r="F5531" t="s">
        <v>49</v>
      </c>
      <c r="G5531" t="s">
        <v>12636</v>
      </c>
      <c r="H5531" t="s">
        <v>12637</v>
      </c>
      <c r="J5531" t="str">
        <f>HYPERLINK("https://www.facebook.com/357267201017935/posts/3069910089753619/?comment_id=286579894391937","https://www.facebook.com/357267201017935/posts/3069910089753619/?comment_id=286579894391937")</f>
        <v>https://www.facebook.com/357267201017935/posts/3069910089753619/?comment_id=286579894391937</v>
      </c>
      <c r="O5531">
        <v>0</v>
      </c>
      <c r="P5531">
        <v>0</v>
      </c>
      <c r="Q5531">
        <v>0</v>
      </c>
      <c r="S5531">
        <v>0</v>
      </c>
      <c r="T5531">
        <v>0</v>
      </c>
      <c r="U5531">
        <v>0</v>
      </c>
      <c r="W5531" t="s">
        <v>62</v>
      </c>
      <c r="AP5531" t="s">
        <v>94</v>
      </c>
    </row>
    <row r="5532" spans="1:45" x14ac:dyDescent="0.35">
      <c r="A5532" t="s">
        <v>45</v>
      </c>
      <c r="B5532" t="s">
        <v>12622</v>
      </c>
      <c r="C5532" t="s">
        <v>47</v>
      </c>
      <c r="D5532" t="s">
        <v>12638</v>
      </c>
      <c r="E5532" t="s">
        <v>12638</v>
      </c>
      <c r="F5532" t="s">
        <v>49</v>
      </c>
      <c r="G5532" t="s">
        <v>12639</v>
      </c>
      <c r="H5532" t="s">
        <v>12640</v>
      </c>
      <c r="J5532" t="str">
        <f>HYPERLINK("https://www.facebook.com/357267201017935/inbox/6887903284620928/","https://www.facebook.com/357267201017935/inbox/6887903284620928/")</f>
        <v>https://www.facebook.com/357267201017935/inbox/6887903284620928/</v>
      </c>
      <c r="O5532">
        <v>0</v>
      </c>
      <c r="P5532">
        <v>0</v>
      </c>
      <c r="Q5532">
        <v>0</v>
      </c>
      <c r="S5532">
        <v>0</v>
      </c>
      <c r="T5532">
        <v>0</v>
      </c>
      <c r="U5532">
        <v>0</v>
      </c>
      <c r="W5532" t="s">
        <v>52</v>
      </c>
    </row>
    <row r="5533" spans="1:45" x14ac:dyDescent="0.35">
      <c r="A5533" t="s">
        <v>45</v>
      </c>
      <c r="B5533" t="s">
        <v>12622</v>
      </c>
      <c r="C5533" t="s">
        <v>47</v>
      </c>
      <c r="D5533" t="s">
        <v>12638</v>
      </c>
      <c r="E5533" t="s">
        <v>12638</v>
      </c>
      <c r="F5533" t="s">
        <v>49</v>
      </c>
      <c r="G5533" t="s">
        <v>12641</v>
      </c>
      <c r="H5533" t="s">
        <v>12642</v>
      </c>
      <c r="J5533" t="str">
        <f>HYPERLINK("https://www.facebook.com/357267201017935/inbox/6887903284620928/","https://www.facebook.com/357267201017935/inbox/6887903284620928/")</f>
        <v>https://www.facebook.com/357267201017935/inbox/6887903284620928/</v>
      </c>
      <c r="O5533">
        <v>0</v>
      </c>
      <c r="P5533">
        <v>0</v>
      </c>
      <c r="Q5533">
        <v>0</v>
      </c>
      <c r="S5533">
        <v>0</v>
      </c>
      <c r="T5533">
        <v>0</v>
      </c>
      <c r="U5533">
        <v>0</v>
      </c>
      <c r="W5533" t="s">
        <v>52</v>
      </c>
      <c r="AP5533" t="s">
        <v>101</v>
      </c>
    </row>
    <row r="5534" spans="1:45" x14ac:dyDescent="0.35">
      <c r="A5534" t="s">
        <v>45</v>
      </c>
      <c r="B5534" t="s">
        <v>12622</v>
      </c>
      <c r="C5534" t="s">
        <v>47</v>
      </c>
      <c r="D5534" t="s">
        <v>12638</v>
      </c>
      <c r="E5534" t="s">
        <v>12638</v>
      </c>
      <c r="F5534" t="s">
        <v>49</v>
      </c>
      <c r="G5534" t="s">
        <v>7426</v>
      </c>
      <c r="H5534" t="s">
        <v>12643</v>
      </c>
      <c r="J5534" t="str">
        <f>HYPERLINK("https://www.facebook.com/357267201017935/inbox/6887903284620928/","https://www.facebook.com/357267201017935/inbox/6887903284620928/")</f>
        <v>https://www.facebook.com/357267201017935/inbox/6887903284620928/</v>
      </c>
      <c r="O5534">
        <v>0</v>
      </c>
      <c r="P5534">
        <v>0</v>
      </c>
      <c r="Q5534">
        <v>0</v>
      </c>
      <c r="S5534">
        <v>0</v>
      </c>
      <c r="T5534">
        <v>0</v>
      </c>
      <c r="U5534">
        <v>0</v>
      </c>
      <c r="W5534" t="s">
        <v>52</v>
      </c>
    </row>
    <row r="5535" spans="1:45" x14ac:dyDescent="0.35">
      <c r="A5535" t="s">
        <v>45</v>
      </c>
      <c r="B5535" t="s">
        <v>12622</v>
      </c>
      <c r="C5535" t="s">
        <v>58</v>
      </c>
      <c r="D5535" t="s">
        <v>1556</v>
      </c>
      <c r="E5535" t="s">
        <v>1556</v>
      </c>
      <c r="F5535" t="s">
        <v>49</v>
      </c>
      <c r="G5535" t="s">
        <v>12644</v>
      </c>
      <c r="H5535" t="s">
        <v>12645</v>
      </c>
      <c r="J5535" t="str">
        <f>HYPERLINK("https://www.youtube.com/watch?v=S84sAgbfBL0","https://www.youtube.com/watch?v=S84sAgbfBL0")</f>
        <v>https://www.youtube.com/watch?v=S84sAgbfBL0</v>
      </c>
      <c r="O5535">
        <v>0</v>
      </c>
      <c r="P5535">
        <v>0</v>
      </c>
      <c r="Q5535">
        <v>0</v>
      </c>
      <c r="S5535">
        <v>0</v>
      </c>
      <c r="T5535">
        <v>0</v>
      </c>
      <c r="U5535">
        <v>0</v>
      </c>
      <c r="W5535" t="s">
        <v>106</v>
      </c>
      <c r="AP5535" t="s">
        <v>101</v>
      </c>
    </row>
    <row r="5536" spans="1:45" x14ac:dyDescent="0.35">
      <c r="A5536" t="s">
        <v>45</v>
      </c>
      <c r="B5536" t="s">
        <v>12622</v>
      </c>
      <c r="C5536" t="s">
        <v>47</v>
      </c>
      <c r="D5536" t="s">
        <v>12646</v>
      </c>
      <c r="E5536" t="s">
        <v>12646</v>
      </c>
      <c r="F5536" t="s">
        <v>49</v>
      </c>
      <c r="G5536" t="s">
        <v>12647</v>
      </c>
      <c r="H5536" t="s">
        <v>12648</v>
      </c>
      <c r="J5536" t="str">
        <f>HYPERLINK("https://www.facebook.com/357267201017935/inbox/6887783154632941/","https://www.facebook.com/357267201017935/inbox/6887783154632941/")</f>
        <v>https://www.facebook.com/357267201017935/inbox/6887783154632941/</v>
      </c>
      <c r="O5536">
        <v>0</v>
      </c>
      <c r="P5536">
        <v>0</v>
      </c>
      <c r="Q5536">
        <v>0</v>
      </c>
      <c r="S5536">
        <v>0</v>
      </c>
      <c r="T5536">
        <v>0</v>
      </c>
      <c r="U5536">
        <v>0</v>
      </c>
      <c r="W5536" t="s">
        <v>52</v>
      </c>
    </row>
    <row r="5537" spans="1:42" x14ac:dyDescent="0.35">
      <c r="A5537" t="s">
        <v>45</v>
      </c>
      <c r="B5537" t="s">
        <v>12622</v>
      </c>
      <c r="C5537" t="s">
        <v>47</v>
      </c>
      <c r="D5537" t="s">
        <v>12646</v>
      </c>
      <c r="E5537" t="s">
        <v>12646</v>
      </c>
      <c r="F5537" t="s">
        <v>49</v>
      </c>
      <c r="G5537" t="s">
        <v>253</v>
      </c>
      <c r="H5537" t="s">
        <v>12648</v>
      </c>
      <c r="J5537" t="str">
        <f>HYPERLINK("https://www.facebook.com/357267201017935/inbox/6887783154632941/","https://www.facebook.com/357267201017935/inbox/6887783154632941/")</f>
        <v>https://www.facebook.com/357267201017935/inbox/6887783154632941/</v>
      </c>
      <c r="O5537">
        <v>0</v>
      </c>
      <c r="P5537">
        <v>0</v>
      </c>
      <c r="Q5537">
        <v>0</v>
      </c>
      <c r="S5537">
        <v>0</v>
      </c>
      <c r="T5537">
        <v>0</v>
      </c>
      <c r="U5537">
        <v>0</v>
      </c>
      <c r="W5537" t="s">
        <v>52</v>
      </c>
    </row>
    <row r="5538" spans="1:42" x14ac:dyDescent="0.35">
      <c r="A5538" t="s">
        <v>45</v>
      </c>
      <c r="B5538" t="s">
        <v>12622</v>
      </c>
      <c r="C5538" t="s">
        <v>58</v>
      </c>
      <c r="D5538" t="s">
        <v>1569</v>
      </c>
      <c r="E5538" t="s">
        <v>1569</v>
      </c>
      <c r="F5538" t="s">
        <v>49</v>
      </c>
      <c r="G5538" t="s">
        <v>12644</v>
      </c>
      <c r="H5538" t="s">
        <v>12649</v>
      </c>
      <c r="J5538" t="str">
        <f>HYPERLINK("https://www.youtube.com/watch?v=Vz0bV6Htt-k","https://www.youtube.com/watch?v=Vz0bV6Htt-k")</f>
        <v>https://www.youtube.com/watch?v=Vz0bV6Htt-k</v>
      </c>
      <c r="O5538">
        <v>0</v>
      </c>
      <c r="P5538">
        <v>0</v>
      </c>
      <c r="Q5538">
        <v>0</v>
      </c>
      <c r="S5538">
        <v>0</v>
      </c>
      <c r="T5538">
        <v>0</v>
      </c>
      <c r="U5538">
        <v>0</v>
      </c>
      <c r="W5538" t="s">
        <v>106</v>
      </c>
      <c r="AP5538" t="s">
        <v>101</v>
      </c>
    </row>
    <row r="5539" spans="1:42" x14ac:dyDescent="0.35">
      <c r="A5539" t="s">
        <v>45</v>
      </c>
      <c r="B5539" t="s">
        <v>12622</v>
      </c>
      <c r="C5539" t="s">
        <v>139</v>
      </c>
      <c r="D5539" t="s">
        <v>12650</v>
      </c>
      <c r="E5539" t="s">
        <v>12651</v>
      </c>
      <c r="F5539" t="s">
        <v>49</v>
      </c>
      <c r="G5539" t="s">
        <v>12652</v>
      </c>
      <c r="H5539" t="s">
        <v>12653</v>
      </c>
      <c r="J5539" t="str">
        <f>HYPERLINK("https://twitter.com/PPC_t841785/status/1743276773377515957","https://twitter.com/PPC_t841785/status/1743276773377515957")</f>
        <v>https://twitter.com/PPC_t841785/status/1743276773377515957</v>
      </c>
      <c r="K5539" t="s">
        <v>145</v>
      </c>
      <c r="O5539">
        <v>0</v>
      </c>
      <c r="P5539">
        <v>0</v>
      </c>
      <c r="Q5539">
        <v>23</v>
      </c>
      <c r="R5539" t="s">
        <v>12654</v>
      </c>
      <c r="S5539">
        <v>0</v>
      </c>
      <c r="T5539">
        <v>0</v>
      </c>
      <c r="U5539">
        <v>0</v>
      </c>
      <c r="W5539" t="s">
        <v>146</v>
      </c>
    </row>
    <row r="5540" spans="1:42" x14ac:dyDescent="0.35">
      <c r="A5540" t="s">
        <v>45</v>
      </c>
      <c r="B5540" t="s">
        <v>12622</v>
      </c>
      <c r="C5540" t="s">
        <v>139</v>
      </c>
      <c r="D5540" t="s">
        <v>12650</v>
      </c>
      <c r="E5540" t="s">
        <v>12651</v>
      </c>
      <c r="F5540" t="s">
        <v>49</v>
      </c>
      <c r="G5540" t="s">
        <v>12652</v>
      </c>
      <c r="H5540" t="s">
        <v>12655</v>
      </c>
      <c r="J5540" t="str">
        <f>HYPERLINK("https://twitter.com/PPC_t841785/status/1743276746026447359","https://twitter.com/PPC_t841785/status/1743276746026447359")</f>
        <v>https://twitter.com/PPC_t841785/status/1743276746026447359</v>
      </c>
      <c r="K5540" t="s">
        <v>145</v>
      </c>
      <c r="O5540">
        <v>0</v>
      </c>
      <c r="P5540">
        <v>0</v>
      </c>
      <c r="Q5540">
        <v>23</v>
      </c>
      <c r="R5540" t="s">
        <v>12654</v>
      </c>
      <c r="S5540">
        <v>0</v>
      </c>
      <c r="T5540">
        <v>0</v>
      </c>
      <c r="U5540">
        <v>0</v>
      </c>
      <c r="W5540" t="s">
        <v>146</v>
      </c>
    </row>
    <row r="5541" spans="1:42" x14ac:dyDescent="0.35">
      <c r="A5541" t="s">
        <v>45</v>
      </c>
      <c r="B5541" t="s">
        <v>12622</v>
      </c>
      <c r="C5541" t="s">
        <v>139</v>
      </c>
      <c r="D5541" t="s">
        <v>12650</v>
      </c>
      <c r="E5541" t="s">
        <v>12651</v>
      </c>
      <c r="F5541" t="s">
        <v>49</v>
      </c>
      <c r="G5541" t="s">
        <v>12656</v>
      </c>
      <c r="H5541" t="s">
        <v>12657</v>
      </c>
      <c r="J5541" t="str">
        <f>HYPERLINK("https://twitter.com/PPC_t841785/status/1743275538918392287","https://twitter.com/PPC_t841785/status/1743275538918392287")</f>
        <v>https://twitter.com/PPC_t841785/status/1743275538918392287</v>
      </c>
      <c r="K5541" t="s">
        <v>145</v>
      </c>
      <c r="O5541">
        <v>0</v>
      </c>
      <c r="P5541">
        <v>0</v>
      </c>
      <c r="Q5541">
        <v>23</v>
      </c>
      <c r="R5541" t="s">
        <v>12654</v>
      </c>
      <c r="S5541">
        <v>0</v>
      </c>
      <c r="T5541">
        <v>0</v>
      </c>
      <c r="U5541">
        <v>0</v>
      </c>
      <c r="W5541" t="s">
        <v>146</v>
      </c>
    </row>
    <row r="5542" spans="1:42" x14ac:dyDescent="0.35">
      <c r="A5542" t="s">
        <v>45</v>
      </c>
      <c r="B5542" t="s">
        <v>12622</v>
      </c>
      <c r="C5542" t="s">
        <v>58</v>
      </c>
      <c r="D5542" t="s">
        <v>12658</v>
      </c>
      <c r="E5542" t="s">
        <v>12658</v>
      </c>
      <c r="F5542" t="s">
        <v>142</v>
      </c>
      <c r="G5542" t="s">
        <v>12659</v>
      </c>
      <c r="H5542" t="s">
        <v>12660</v>
      </c>
      <c r="J5542" t="str">
        <f>HYPERLINK("https://www.youtube.com/watch?v=HXsTdipPi-Y","https://www.youtube.com/watch?v=HXsTdipPi-Y")</f>
        <v>https://www.youtube.com/watch?v=HXsTdipPi-Y</v>
      </c>
      <c r="O5542">
        <v>0</v>
      </c>
      <c r="P5542">
        <v>0</v>
      </c>
      <c r="Q5542">
        <v>0</v>
      </c>
      <c r="S5542">
        <v>0</v>
      </c>
      <c r="T5542">
        <v>0</v>
      </c>
      <c r="U5542">
        <v>0</v>
      </c>
      <c r="W5542" t="s">
        <v>106</v>
      </c>
    </row>
    <row r="5543" spans="1:42" x14ac:dyDescent="0.35">
      <c r="A5543" t="s">
        <v>45</v>
      </c>
      <c r="B5543" t="s">
        <v>12622</v>
      </c>
      <c r="C5543" t="s">
        <v>58</v>
      </c>
      <c r="D5543" t="s">
        <v>12568</v>
      </c>
      <c r="E5543" t="s">
        <v>12568</v>
      </c>
      <c r="F5543" t="s">
        <v>49</v>
      </c>
      <c r="G5543" t="s">
        <v>12661</v>
      </c>
      <c r="H5543" t="s">
        <v>12662</v>
      </c>
      <c r="J5543" t="str">
        <f>HYPERLINK("https://www.youtube.com/watch?v=_dHefmg_gSs","https://www.youtube.com/watch?v=_dHefmg_gSs")</f>
        <v>https://www.youtube.com/watch?v=_dHefmg_gSs</v>
      </c>
      <c r="O5543">
        <v>0</v>
      </c>
      <c r="P5543">
        <v>0</v>
      </c>
      <c r="Q5543">
        <v>0</v>
      </c>
      <c r="S5543">
        <v>0</v>
      </c>
      <c r="T5543">
        <v>0</v>
      </c>
      <c r="U5543">
        <v>0</v>
      </c>
      <c r="W5543" t="s">
        <v>106</v>
      </c>
    </row>
    <row r="5544" spans="1:42" x14ac:dyDescent="0.35">
      <c r="A5544" t="s">
        <v>45</v>
      </c>
      <c r="B5544" t="s">
        <v>12622</v>
      </c>
      <c r="C5544" t="s">
        <v>58</v>
      </c>
      <c r="D5544" t="s">
        <v>2258</v>
      </c>
      <c r="E5544" t="s">
        <v>2258</v>
      </c>
      <c r="F5544" t="s">
        <v>49</v>
      </c>
      <c r="G5544" t="s">
        <v>12663</v>
      </c>
      <c r="H5544" t="s">
        <v>12664</v>
      </c>
      <c r="J5544" t="str">
        <f>HYPERLINK("https://www.youtube.com/watch?v=pMDvNAkiavo","https://www.youtube.com/watch?v=pMDvNAkiavo")</f>
        <v>https://www.youtube.com/watch?v=pMDvNAkiavo</v>
      </c>
      <c r="O5544">
        <v>0</v>
      </c>
      <c r="P5544">
        <v>0</v>
      </c>
      <c r="Q5544">
        <v>0</v>
      </c>
      <c r="S5544">
        <v>0</v>
      </c>
      <c r="T5544">
        <v>0</v>
      </c>
      <c r="U5544">
        <v>0</v>
      </c>
      <c r="W5544" t="s">
        <v>106</v>
      </c>
      <c r="AP5544" t="s">
        <v>101</v>
      </c>
    </row>
    <row r="5545" spans="1:42" x14ac:dyDescent="0.35">
      <c r="A5545" t="s">
        <v>45</v>
      </c>
      <c r="B5545" t="s">
        <v>12622</v>
      </c>
      <c r="C5545" t="s">
        <v>139</v>
      </c>
      <c r="D5545" t="s">
        <v>12460</v>
      </c>
      <c r="E5545" t="s">
        <v>11439</v>
      </c>
      <c r="F5545" t="s">
        <v>49</v>
      </c>
      <c r="G5545" t="s">
        <v>12084</v>
      </c>
      <c r="H5545" t="s">
        <v>12665</v>
      </c>
      <c r="J5545" t="str">
        <f>HYPERLINK("https://twitter.com/MdNaseem248015/status/1743261064039743935","https://twitter.com/MdNaseem248015/status/1743261064039743935")</f>
        <v>https://twitter.com/MdNaseem248015/status/1743261064039743935</v>
      </c>
      <c r="O5545">
        <v>0</v>
      </c>
      <c r="P5545">
        <v>0</v>
      </c>
      <c r="Q5545">
        <v>0</v>
      </c>
      <c r="S5545">
        <v>0</v>
      </c>
      <c r="T5545">
        <v>0</v>
      </c>
      <c r="U5545">
        <v>0</v>
      </c>
      <c r="W5545" t="s">
        <v>146</v>
      </c>
    </row>
    <row r="5546" spans="1:42" x14ac:dyDescent="0.35">
      <c r="A5546" t="s">
        <v>45</v>
      </c>
      <c r="B5546" t="s">
        <v>12622</v>
      </c>
      <c r="C5546" t="s">
        <v>47</v>
      </c>
      <c r="D5546" t="s">
        <v>4588</v>
      </c>
      <c r="E5546" t="s">
        <v>4588</v>
      </c>
      <c r="F5546" t="s">
        <v>49</v>
      </c>
      <c r="G5546" t="s">
        <v>12666</v>
      </c>
      <c r="H5546" t="s">
        <v>12667</v>
      </c>
      <c r="J5546" t="str">
        <f>HYPERLINK("https://www.facebook.com/357267201017935/inbox/2528254640585836/","https://www.facebook.com/357267201017935/inbox/2528254640585836/")</f>
        <v>https://www.facebook.com/357267201017935/inbox/2528254640585836/</v>
      </c>
      <c r="O5546">
        <v>0</v>
      </c>
      <c r="P5546">
        <v>0</v>
      </c>
      <c r="Q5546">
        <v>0</v>
      </c>
      <c r="S5546">
        <v>0</v>
      </c>
      <c r="T5546">
        <v>0</v>
      </c>
      <c r="U5546">
        <v>0</v>
      </c>
      <c r="W5546" t="s">
        <v>52</v>
      </c>
      <c r="AP5546" t="s">
        <v>101</v>
      </c>
    </row>
    <row r="5547" spans="1:42" x14ac:dyDescent="0.35">
      <c r="A5547" t="s">
        <v>45</v>
      </c>
      <c r="B5547" t="s">
        <v>12622</v>
      </c>
      <c r="C5547" t="s">
        <v>139</v>
      </c>
      <c r="D5547" t="s">
        <v>12668</v>
      </c>
      <c r="E5547" t="s">
        <v>12669</v>
      </c>
      <c r="F5547" t="s">
        <v>49</v>
      </c>
      <c r="G5547" t="s">
        <v>12670</v>
      </c>
      <c r="H5547" t="s">
        <v>12671</v>
      </c>
      <c r="J5547" t="str">
        <f>HYPERLINK("https://twitter.com/HANSRAJ81236027/status/1743248150947910086","https://twitter.com/HANSRAJ81236027/status/1743248150947910086")</f>
        <v>https://twitter.com/HANSRAJ81236027/status/1743248150947910086</v>
      </c>
      <c r="K5547" t="s">
        <v>145</v>
      </c>
      <c r="O5547">
        <v>0</v>
      </c>
      <c r="P5547">
        <v>0</v>
      </c>
      <c r="Q5547">
        <v>0</v>
      </c>
      <c r="S5547">
        <v>0</v>
      </c>
      <c r="T5547">
        <v>0</v>
      </c>
      <c r="U5547">
        <v>0</v>
      </c>
      <c r="W5547" t="s">
        <v>146</v>
      </c>
    </row>
    <row r="5548" spans="1:42" x14ac:dyDescent="0.35">
      <c r="A5548" t="s">
        <v>45</v>
      </c>
      <c r="B5548" t="s">
        <v>12622</v>
      </c>
      <c r="C5548" t="s">
        <v>102</v>
      </c>
      <c r="D5548" t="s">
        <v>12672</v>
      </c>
      <c r="E5548" t="s">
        <v>12672</v>
      </c>
      <c r="F5548" t="s">
        <v>49</v>
      </c>
      <c r="G5548" t="s">
        <v>12673</v>
      </c>
      <c r="H5548" t="s">
        <v>12674</v>
      </c>
      <c r="J5548" t="str">
        <f>HYPERLINK("https://www.linkedin.com/feed/update/urn:li:share:7146482801830277120/?commentUrn=urn:li:comment:(urn:li:activity:7146482802480365568,7149009139011149826)","https://www.linkedin.com/feed/update/urn:li:share:7146482801830277120/?commentUrn=urn:li:comment:(urn:li:activity:7146482802480365568,7149009139011149826)")</f>
        <v>https://www.linkedin.com/feed/update/urn:li:share:7146482801830277120/?commentUrn=urn:li:comment:(urn:li:activity:7146482802480365568,7149009139011149826)</v>
      </c>
      <c r="K5548" t="s">
        <v>145</v>
      </c>
      <c r="O5548">
        <v>0</v>
      </c>
      <c r="P5548">
        <v>0</v>
      </c>
      <c r="Q5548">
        <v>0</v>
      </c>
      <c r="S5548">
        <v>0</v>
      </c>
      <c r="T5548">
        <v>0</v>
      </c>
      <c r="U5548">
        <v>0</v>
      </c>
      <c r="W5548" t="s">
        <v>62</v>
      </c>
    </row>
    <row r="5549" spans="1:42" x14ac:dyDescent="0.35">
      <c r="A5549" t="s">
        <v>45</v>
      </c>
      <c r="B5549" t="s">
        <v>12622</v>
      </c>
      <c r="C5549" t="s">
        <v>139</v>
      </c>
      <c r="D5549" t="s">
        <v>4902</v>
      </c>
      <c r="E5549" t="s">
        <v>4903</v>
      </c>
      <c r="F5549" t="s">
        <v>49</v>
      </c>
      <c r="G5549" t="s">
        <v>12675</v>
      </c>
      <c r="H5549" t="s">
        <v>12676</v>
      </c>
      <c r="J5549" t="str">
        <f>HYPERLINK("https://twitter.com/lovepartner_1/status/1743235133656715704","https://twitter.com/lovepartner_1/status/1743235133656715704")</f>
        <v>https://twitter.com/lovepartner_1/status/1743235133656715704</v>
      </c>
      <c r="K5549" t="s">
        <v>145</v>
      </c>
      <c r="O5549">
        <v>0</v>
      </c>
      <c r="P5549">
        <v>0</v>
      </c>
      <c r="Q5549">
        <v>16</v>
      </c>
      <c r="R5549" t="s">
        <v>4587</v>
      </c>
      <c r="S5549">
        <v>0</v>
      </c>
      <c r="T5549">
        <v>0</v>
      </c>
      <c r="U5549">
        <v>0</v>
      </c>
      <c r="W5549" t="s">
        <v>146</v>
      </c>
      <c r="AP5549" t="s">
        <v>101</v>
      </c>
    </row>
    <row r="5550" spans="1:42" x14ac:dyDescent="0.35">
      <c r="A5550" t="s">
        <v>45</v>
      </c>
      <c r="B5550" t="s">
        <v>12622</v>
      </c>
      <c r="C5550" t="s">
        <v>47</v>
      </c>
      <c r="D5550" t="s">
        <v>12677</v>
      </c>
      <c r="E5550" t="s">
        <v>12677</v>
      </c>
      <c r="F5550" t="s">
        <v>49</v>
      </c>
      <c r="G5550" t="s">
        <v>12678</v>
      </c>
      <c r="H5550" t="s">
        <v>12679</v>
      </c>
      <c r="J5550" t="str">
        <f>HYPERLINK("https://www.facebook.com/454965103328545/posts/734813295343723?comment_id=1131494278234328","https://www.facebook.com/454965103328545/posts/734813295343723?comment_id=1131494278234328")</f>
        <v>https://www.facebook.com/454965103328545/posts/734813295343723?comment_id=1131494278234328</v>
      </c>
      <c r="O5550">
        <v>0</v>
      </c>
      <c r="P5550">
        <v>0</v>
      </c>
      <c r="Q5550">
        <v>0</v>
      </c>
      <c r="S5550">
        <v>0</v>
      </c>
      <c r="T5550">
        <v>0</v>
      </c>
      <c r="U5550">
        <v>0</v>
      </c>
      <c r="W5550" t="s">
        <v>62</v>
      </c>
      <c r="AO5550" t="s">
        <v>119</v>
      </c>
    </row>
    <row r="5551" spans="1:42" x14ac:dyDescent="0.35">
      <c r="A5551" t="s">
        <v>45</v>
      </c>
      <c r="B5551" t="s">
        <v>12622</v>
      </c>
      <c r="C5551" t="s">
        <v>139</v>
      </c>
      <c r="D5551" t="s">
        <v>6987</v>
      </c>
      <c r="E5551" t="s">
        <v>10322</v>
      </c>
      <c r="F5551" t="s">
        <v>49</v>
      </c>
      <c r="G5551" t="s">
        <v>12680</v>
      </c>
      <c r="H5551" t="s">
        <v>12681</v>
      </c>
      <c r="J5551" t="str">
        <f>HYPERLINK("https://twitter.com/Ashiesh24/status/1743205232451203323","https://twitter.com/Ashiesh24/status/1743205232451203323")</f>
        <v>https://twitter.com/Ashiesh24/status/1743205232451203323</v>
      </c>
      <c r="K5551" t="s">
        <v>145</v>
      </c>
      <c r="O5551">
        <v>0</v>
      </c>
      <c r="P5551">
        <v>0</v>
      </c>
      <c r="Q5551">
        <v>2</v>
      </c>
      <c r="R5551" t="s">
        <v>6991</v>
      </c>
      <c r="S5551">
        <v>0</v>
      </c>
      <c r="T5551">
        <v>0</v>
      </c>
      <c r="U5551">
        <v>0</v>
      </c>
      <c r="W5551" t="s">
        <v>146</v>
      </c>
    </row>
    <row r="5552" spans="1:42" x14ac:dyDescent="0.35">
      <c r="A5552" t="s">
        <v>45</v>
      </c>
      <c r="B5552" t="s">
        <v>12622</v>
      </c>
      <c r="C5552" t="s">
        <v>47</v>
      </c>
      <c r="D5552" t="s">
        <v>4313</v>
      </c>
      <c r="E5552" t="s">
        <v>4313</v>
      </c>
      <c r="F5552" t="s">
        <v>49</v>
      </c>
      <c r="G5552" t="s">
        <v>12682</v>
      </c>
      <c r="H5552" t="s">
        <v>12683</v>
      </c>
      <c r="J5552" t="str">
        <f>HYPERLINK("https://www.facebook.com/357267201017935/posts/3069910089753619/?comment_id=3070143516396943&amp;reply_comment_id=1408911426707713","https://www.facebook.com/357267201017935/posts/3069910089753619/?comment_id=3070143516396943&amp;reply_comment_id=1408911426707713")</f>
        <v>https://www.facebook.com/357267201017935/posts/3069910089753619/?comment_id=3070143516396943&amp;reply_comment_id=1408911426707713</v>
      </c>
      <c r="O5552">
        <v>0</v>
      </c>
      <c r="P5552">
        <v>0</v>
      </c>
      <c r="Q5552">
        <v>0</v>
      </c>
      <c r="S5552">
        <v>0</v>
      </c>
      <c r="T5552">
        <v>0</v>
      </c>
      <c r="U5552">
        <v>0</v>
      </c>
      <c r="W5552" t="s">
        <v>62</v>
      </c>
    </row>
    <row r="5553" spans="1:41" x14ac:dyDescent="0.35">
      <c r="A5553" t="s">
        <v>45</v>
      </c>
      <c r="B5553" t="s">
        <v>12622</v>
      </c>
      <c r="C5553" t="s">
        <v>58</v>
      </c>
      <c r="D5553" t="s">
        <v>12684</v>
      </c>
      <c r="E5553" t="s">
        <v>12684</v>
      </c>
      <c r="F5553" t="s">
        <v>49</v>
      </c>
      <c r="G5553" t="s">
        <v>12685</v>
      </c>
      <c r="H5553" t="s">
        <v>12686</v>
      </c>
      <c r="J5553" t="str">
        <f>HYPERLINK("https://www.youtube.com/watch?v=e6mxPMp4FWA","https://www.youtube.com/watch?v=e6mxPMp4FWA")</f>
        <v>https://www.youtube.com/watch?v=e6mxPMp4FWA</v>
      </c>
      <c r="O5553">
        <v>0</v>
      </c>
      <c r="P5553">
        <v>0</v>
      </c>
      <c r="Q5553">
        <v>0</v>
      </c>
      <c r="S5553">
        <v>0</v>
      </c>
      <c r="T5553">
        <v>0</v>
      </c>
      <c r="U5553">
        <v>0</v>
      </c>
      <c r="W5553" t="s">
        <v>106</v>
      </c>
    </row>
    <row r="5554" spans="1:41" x14ac:dyDescent="0.35">
      <c r="A5554" t="s">
        <v>45</v>
      </c>
      <c r="B5554" t="s">
        <v>12622</v>
      </c>
      <c r="C5554" t="s">
        <v>47</v>
      </c>
      <c r="D5554" t="s">
        <v>12687</v>
      </c>
      <c r="E5554" t="s">
        <v>12687</v>
      </c>
      <c r="F5554" t="s">
        <v>49</v>
      </c>
      <c r="G5554" t="s">
        <v>12688</v>
      </c>
      <c r="H5554" t="s">
        <v>12689</v>
      </c>
      <c r="J5554" t="str">
        <f>HYPERLINK("https://www.facebook.com/357267201017935/posts/3069910089753619/?comment_id=3070143516396943&amp;reply_comment_id=338702075630450","https://www.facebook.com/357267201017935/posts/3069910089753619/?comment_id=3070143516396943&amp;reply_comment_id=338702075630450")</f>
        <v>https://www.facebook.com/357267201017935/posts/3069910089753619/?comment_id=3070143516396943&amp;reply_comment_id=338702075630450</v>
      </c>
      <c r="O5554">
        <v>0</v>
      </c>
      <c r="P5554">
        <v>0</v>
      </c>
      <c r="Q5554">
        <v>0</v>
      </c>
      <c r="S5554">
        <v>0</v>
      </c>
      <c r="T5554">
        <v>0</v>
      </c>
      <c r="U5554">
        <v>0</v>
      </c>
      <c r="W5554" t="s">
        <v>62</v>
      </c>
    </row>
    <row r="5555" spans="1:41" x14ac:dyDescent="0.35">
      <c r="A5555" t="s">
        <v>45</v>
      </c>
      <c r="B5555" t="s">
        <v>12622</v>
      </c>
      <c r="C5555" t="s">
        <v>47</v>
      </c>
      <c r="D5555" t="s">
        <v>12687</v>
      </c>
      <c r="E5555" t="s">
        <v>12687</v>
      </c>
      <c r="F5555" t="s">
        <v>49</v>
      </c>
      <c r="G5555" t="s">
        <v>12690</v>
      </c>
      <c r="H5555" t="s">
        <v>12691</v>
      </c>
      <c r="J5555" t="str">
        <f>HYPERLINK("https://www.facebook.com/357267201017935/posts/3069910089753619/?comment_id=813510607201429","https://www.facebook.com/357267201017935/posts/3069910089753619/?comment_id=813510607201429")</f>
        <v>https://www.facebook.com/357267201017935/posts/3069910089753619/?comment_id=813510607201429</v>
      </c>
      <c r="O5555">
        <v>0</v>
      </c>
      <c r="P5555">
        <v>0</v>
      </c>
      <c r="Q5555">
        <v>0</v>
      </c>
      <c r="S5555">
        <v>0</v>
      </c>
      <c r="T5555">
        <v>0</v>
      </c>
      <c r="U5555">
        <v>0</v>
      </c>
      <c r="W5555" t="s">
        <v>62</v>
      </c>
    </row>
    <row r="5556" spans="1:41" x14ac:dyDescent="0.35">
      <c r="A5556" t="s">
        <v>45</v>
      </c>
      <c r="B5556" t="s">
        <v>12622</v>
      </c>
      <c r="C5556" t="s">
        <v>47</v>
      </c>
      <c r="D5556" t="s">
        <v>12687</v>
      </c>
      <c r="E5556" t="s">
        <v>12687</v>
      </c>
      <c r="F5556" t="s">
        <v>49</v>
      </c>
      <c r="G5556" t="s">
        <v>12692</v>
      </c>
      <c r="H5556" t="s">
        <v>12693</v>
      </c>
      <c r="J5556" t="str">
        <f>HYPERLINK("https://www.facebook.com/357267201017935/posts/3069910089753619/?comment_id=1571507313674396","https://www.facebook.com/357267201017935/posts/3069910089753619/?comment_id=1571507313674396")</f>
        <v>https://www.facebook.com/357267201017935/posts/3069910089753619/?comment_id=1571507313674396</v>
      </c>
      <c r="O5556">
        <v>0</v>
      </c>
      <c r="P5556">
        <v>0</v>
      </c>
      <c r="Q5556">
        <v>0</v>
      </c>
      <c r="S5556">
        <v>0</v>
      </c>
      <c r="T5556">
        <v>0</v>
      </c>
      <c r="U5556">
        <v>0</v>
      </c>
      <c r="W5556" t="s">
        <v>62</v>
      </c>
    </row>
    <row r="5557" spans="1:41" x14ac:dyDescent="0.35">
      <c r="A5557" t="s">
        <v>45</v>
      </c>
      <c r="B5557" t="s">
        <v>12622</v>
      </c>
      <c r="C5557" t="s">
        <v>139</v>
      </c>
      <c r="D5557" t="s">
        <v>681</v>
      </c>
      <c r="E5557" t="s">
        <v>682</v>
      </c>
      <c r="F5557" t="s">
        <v>142</v>
      </c>
      <c r="G5557" t="s">
        <v>12694</v>
      </c>
      <c r="H5557" t="s">
        <v>12695</v>
      </c>
      <c r="J5557" t="str">
        <f>HYPERLINK("https://twitter.com/Shadab55481483/status/1743167960200495316","https://twitter.com/Shadab55481483/status/1743167960200495316")</f>
        <v>https://twitter.com/Shadab55481483/status/1743167960200495316</v>
      </c>
      <c r="K5557" t="s">
        <v>145</v>
      </c>
      <c r="O5557">
        <v>0</v>
      </c>
      <c r="P5557">
        <v>0</v>
      </c>
      <c r="Q5557">
        <v>0</v>
      </c>
      <c r="S5557">
        <v>0</v>
      </c>
      <c r="T5557">
        <v>0</v>
      </c>
      <c r="U5557">
        <v>0</v>
      </c>
      <c r="W5557" t="s">
        <v>146</v>
      </c>
    </row>
    <row r="5558" spans="1:41" x14ac:dyDescent="0.35">
      <c r="A5558" t="s">
        <v>45</v>
      </c>
      <c r="B5558" t="s">
        <v>12622</v>
      </c>
      <c r="C5558" t="s">
        <v>47</v>
      </c>
      <c r="D5558" t="s">
        <v>12696</v>
      </c>
      <c r="E5558" t="s">
        <v>12696</v>
      </c>
      <c r="F5558" t="s">
        <v>49</v>
      </c>
      <c r="G5558" t="s">
        <v>12697</v>
      </c>
      <c r="H5558" t="s">
        <v>12698</v>
      </c>
      <c r="J5558" t="str">
        <f>HYPERLINK("https://www.facebook.com/454965103328545/posts/742976151194104?comment_id=737933625063626","https://www.facebook.com/454965103328545/posts/742976151194104?comment_id=737933625063626")</f>
        <v>https://www.facebook.com/454965103328545/posts/742976151194104?comment_id=737933625063626</v>
      </c>
      <c r="O5558">
        <v>0</v>
      </c>
      <c r="P5558">
        <v>0</v>
      </c>
      <c r="Q5558">
        <v>0</v>
      </c>
      <c r="S5558">
        <v>0</v>
      </c>
      <c r="T5558">
        <v>0</v>
      </c>
      <c r="U5558">
        <v>0</v>
      </c>
      <c r="W5558" t="s">
        <v>62</v>
      </c>
    </row>
    <row r="5559" spans="1:41" x14ac:dyDescent="0.35">
      <c r="A5559" t="s">
        <v>45</v>
      </c>
      <c r="B5559" t="s">
        <v>12622</v>
      </c>
      <c r="C5559" t="s">
        <v>47</v>
      </c>
      <c r="D5559" t="s">
        <v>10581</v>
      </c>
      <c r="E5559" t="s">
        <v>10581</v>
      </c>
      <c r="F5559" t="s">
        <v>49</v>
      </c>
      <c r="G5559" t="s">
        <v>2769</v>
      </c>
      <c r="H5559" t="s">
        <v>12699</v>
      </c>
      <c r="J5559" t="str">
        <f>HYPERLINK("https://www.facebook.com/357267201017935/inbox/6886451058099484/","https://www.facebook.com/357267201017935/inbox/6886451058099484/")</f>
        <v>https://www.facebook.com/357267201017935/inbox/6886451058099484/</v>
      </c>
      <c r="O5559">
        <v>0</v>
      </c>
      <c r="P5559">
        <v>0</v>
      </c>
      <c r="Q5559">
        <v>0</v>
      </c>
      <c r="S5559">
        <v>0</v>
      </c>
      <c r="T5559">
        <v>0</v>
      </c>
      <c r="U5559">
        <v>0</v>
      </c>
      <c r="W5559" t="s">
        <v>52</v>
      </c>
    </row>
    <row r="5560" spans="1:41" x14ac:dyDescent="0.35">
      <c r="A5560" t="s">
        <v>45</v>
      </c>
      <c r="B5560" t="s">
        <v>12622</v>
      </c>
      <c r="C5560" t="s">
        <v>58</v>
      </c>
      <c r="D5560" t="s">
        <v>2705</v>
      </c>
      <c r="E5560" t="s">
        <v>2705</v>
      </c>
      <c r="F5560" t="s">
        <v>76</v>
      </c>
      <c r="G5560" t="s">
        <v>12700</v>
      </c>
      <c r="H5560" t="s">
        <v>12701</v>
      </c>
      <c r="J5560" t="str">
        <f>HYPERLINK("https://www.youtube.com/watch?v=Hf5OQt7rSFk","https://www.youtube.com/watch?v=Hf5OQt7rSFk")</f>
        <v>https://www.youtube.com/watch?v=Hf5OQt7rSFk</v>
      </c>
      <c r="O5560">
        <v>0</v>
      </c>
      <c r="P5560">
        <v>0</v>
      </c>
      <c r="Q5560">
        <v>0</v>
      </c>
      <c r="S5560">
        <v>0</v>
      </c>
      <c r="T5560">
        <v>0</v>
      </c>
      <c r="U5560">
        <v>0</v>
      </c>
      <c r="W5560" t="s">
        <v>106</v>
      </c>
    </row>
    <row r="5561" spans="1:41" x14ac:dyDescent="0.35">
      <c r="A5561" t="s">
        <v>45</v>
      </c>
      <c r="B5561" t="s">
        <v>12622</v>
      </c>
      <c r="C5561" t="s">
        <v>58</v>
      </c>
      <c r="D5561" t="s">
        <v>5323</v>
      </c>
      <c r="E5561" t="s">
        <v>5323</v>
      </c>
      <c r="F5561" t="s">
        <v>49</v>
      </c>
      <c r="G5561" t="s">
        <v>12702</v>
      </c>
      <c r="H5561" t="s">
        <v>12703</v>
      </c>
      <c r="J5561" t="str">
        <f>HYPERLINK("https://www.youtube.com/watch?v=wodDebEd1Mw","https://www.youtube.com/watch?v=wodDebEd1Mw")</f>
        <v>https://www.youtube.com/watch?v=wodDebEd1Mw</v>
      </c>
      <c r="O5561">
        <v>0</v>
      </c>
      <c r="P5561">
        <v>0</v>
      </c>
      <c r="Q5561">
        <v>0</v>
      </c>
      <c r="S5561">
        <v>0</v>
      </c>
      <c r="T5561">
        <v>0</v>
      </c>
      <c r="U5561">
        <v>0</v>
      </c>
      <c r="W5561" t="s">
        <v>106</v>
      </c>
    </row>
    <row r="5562" spans="1:41" x14ac:dyDescent="0.35">
      <c r="A5562" t="s">
        <v>45</v>
      </c>
      <c r="B5562" t="s">
        <v>12622</v>
      </c>
      <c r="C5562" t="s">
        <v>58</v>
      </c>
      <c r="D5562" t="s">
        <v>5323</v>
      </c>
      <c r="E5562" t="s">
        <v>5323</v>
      </c>
      <c r="F5562" t="s">
        <v>49</v>
      </c>
      <c r="G5562" t="s">
        <v>12704</v>
      </c>
      <c r="H5562" t="s">
        <v>12705</v>
      </c>
      <c r="J5562" t="str">
        <f>HYPERLINK("https://www.youtube.com/watch?v=Ptwr3ctuhMU","https://www.youtube.com/watch?v=Ptwr3ctuhMU")</f>
        <v>https://www.youtube.com/watch?v=Ptwr3ctuhMU</v>
      </c>
      <c r="O5562">
        <v>0</v>
      </c>
      <c r="P5562">
        <v>0</v>
      </c>
      <c r="Q5562">
        <v>0</v>
      </c>
      <c r="S5562">
        <v>0</v>
      </c>
      <c r="T5562">
        <v>0</v>
      </c>
      <c r="U5562">
        <v>0</v>
      </c>
      <c r="W5562" t="s">
        <v>106</v>
      </c>
    </row>
    <row r="5563" spans="1:41" x14ac:dyDescent="0.35">
      <c r="A5563" t="s">
        <v>45</v>
      </c>
      <c r="B5563" t="s">
        <v>12622</v>
      </c>
      <c r="C5563" t="s">
        <v>58</v>
      </c>
      <c r="D5563" t="s">
        <v>1240</v>
      </c>
      <c r="E5563" t="s">
        <v>1240</v>
      </c>
      <c r="F5563" t="s">
        <v>49</v>
      </c>
      <c r="G5563" t="s">
        <v>12706</v>
      </c>
      <c r="H5563" t="s">
        <v>12707</v>
      </c>
      <c r="J5563" t="str">
        <f>HYPERLINK("https://www.youtube.com/watch?v=9DHK4a_blqg","https://www.youtube.com/watch?v=9DHK4a_blqg")</f>
        <v>https://www.youtube.com/watch?v=9DHK4a_blqg</v>
      </c>
      <c r="O5563">
        <v>0</v>
      </c>
      <c r="P5563">
        <v>0</v>
      </c>
      <c r="Q5563">
        <v>0</v>
      </c>
      <c r="S5563">
        <v>0</v>
      </c>
      <c r="T5563">
        <v>0</v>
      </c>
      <c r="U5563">
        <v>0</v>
      </c>
      <c r="W5563" t="s">
        <v>106</v>
      </c>
    </row>
    <row r="5564" spans="1:41" x14ac:dyDescent="0.35">
      <c r="A5564" t="s">
        <v>45</v>
      </c>
      <c r="B5564" t="s">
        <v>12622</v>
      </c>
      <c r="C5564" t="s">
        <v>139</v>
      </c>
      <c r="D5564" t="s">
        <v>12708</v>
      </c>
      <c r="E5564" t="s">
        <v>12709</v>
      </c>
      <c r="F5564" t="s">
        <v>49</v>
      </c>
      <c r="G5564" t="s">
        <v>12710</v>
      </c>
      <c r="H5564" t="s">
        <v>12711</v>
      </c>
      <c r="J5564" t="str">
        <f>HYPERLINK("https://twitter.com/alok_nayak/status/1743092794984694152","https://twitter.com/alok_nayak/status/1743092794984694152")</f>
        <v>https://twitter.com/alok_nayak/status/1743092794984694152</v>
      </c>
      <c r="K5564" t="s">
        <v>145</v>
      </c>
      <c r="O5564">
        <v>0</v>
      </c>
      <c r="P5564">
        <v>0</v>
      </c>
      <c r="Q5564">
        <v>829</v>
      </c>
      <c r="R5564" t="s">
        <v>1810</v>
      </c>
      <c r="S5564">
        <v>0</v>
      </c>
      <c r="T5564">
        <v>0</v>
      </c>
      <c r="U5564">
        <v>0</v>
      </c>
      <c r="W5564" t="s">
        <v>552</v>
      </c>
    </row>
    <row r="5565" spans="1:41" x14ac:dyDescent="0.35">
      <c r="A5565" t="s">
        <v>45</v>
      </c>
      <c r="B5565" t="s">
        <v>12622</v>
      </c>
      <c r="C5565" t="s">
        <v>139</v>
      </c>
      <c r="D5565" t="s">
        <v>12712</v>
      </c>
      <c r="E5565" t="s">
        <v>12713</v>
      </c>
      <c r="F5565" t="s">
        <v>49</v>
      </c>
      <c r="G5565" t="s">
        <v>12710</v>
      </c>
      <c r="H5565" t="s">
        <v>12714</v>
      </c>
      <c r="J5565" t="str">
        <f>HYPERLINK("https://twitter.com/tiwmedia/status/1743091887089807392","https://twitter.com/tiwmedia/status/1743091887089807392")</f>
        <v>https://twitter.com/tiwmedia/status/1743091887089807392</v>
      </c>
      <c r="O5565">
        <v>0</v>
      </c>
      <c r="P5565">
        <v>0</v>
      </c>
      <c r="Q5565">
        <v>21</v>
      </c>
      <c r="R5565" t="s">
        <v>1810</v>
      </c>
      <c r="S5565">
        <v>0</v>
      </c>
      <c r="T5565">
        <v>0</v>
      </c>
      <c r="U5565">
        <v>0</v>
      </c>
      <c r="W5565" t="s">
        <v>146</v>
      </c>
    </row>
    <row r="5566" spans="1:41" x14ac:dyDescent="0.35">
      <c r="A5566" t="s">
        <v>45</v>
      </c>
      <c r="B5566" t="s">
        <v>12715</v>
      </c>
      <c r="C5566" t="s">
        <v>47</v>
      </c>
      <c r="D5566" t="s">
        <v>12716</v>
      </c>
      <c r="E5566" t="s">
        <v>12716</v>
      </c>
      <c r="F5566" t="s">
        <v>49</v>
      </c>
      <c r="G5566" t="s">
        <v>50</v>
      </c>
      <c r="H5566" t="s">
        <v>12717</v>
      </c>
      <c r="J5566" t="str">
        <f>HYPERLINK("https://www.facebook.com/357267201017935/inbox/6884293638315226/","https://www.facebook.com/357267201017935/inbox/6884293638315226/")</f>
        <v>https://www.facebook.com/357267201017935/inbox/6884293638315226/</v>
      </c>
      <c r="O5566">
        <v>0</v>
      </c>
      <c r="P5566">
        <v>0</v>
      </c>
      <c r="Q5566">
        <v>0</v>
      </c>
      <c r="S5566">
        <v>0</v>
      </c>
      <c r="T5566">
        <v>0</v>
      </c>
      <c r="U5566">
        <v>0</v>
      </c>
      <c r="W5566" t="s">
        <v>52</v>
      </c>
    </row>
    <row r="5567" spans="1:41" x14ac:dyDescent="0.35">
      <c r="A5567" t="s">
        <v>45</v>
      </c>
      <c r="B5567" t="s">
        <v>12715</v>
      </c>
      <c r="C5567" t="s">
        <v>58</v>
      </c>
      <c r="D5567" t="s">
        <v>12718</v>
      </c>
      <c r="E5567" t="s">
        <v>12718</v>
      </c>
      <c r="F5567" t="s">
        <v>49</v>
      </c>
      <c r="G5567" t="s">
        <v>12719</v>
      </c>
      <c r="H5567" t="s">
        <v>12720</v>
      </c>
      <c r="J5567" t="str">
        <f>HYPERLINK("https://www.youtube.com/watch?v=T7ih5oOwhYk","https://www.youtube.com/watch?v=T7ih5oOwhYk")</f>
        <v>https://www.youtube.com/watch?v=T7ih5oOwhYk</v>
      </c>
      <c r="O5567">
        <v>0</v>
      </c>
      <c r="P5567">
        <v>0</v>
      </c>
      <c r="Q5567">
        <v>0</v>
      </c>
      <c r="S5567">
        <v>0</v>
      </c>
      <c r="T5567">
        <v>0</v>
      </c>
      <c r="U5567">
        <v>0</v>
      </c>
      <c r="W5567" t="s">
        <v>106</v>
      </c>
      <c r="AO5567" t="s">
        <v>67</v>
      </c>
    </row>
    <row r="5568" spans="1:41" x14ac:dyDescent="0.35">
      <c r="A5568" t="s">
        <v>45</v>
      </c>
      <c r="B5568" t="s">
        <v>12715</v>
      </c>
      <c r="C5568" t="s">
        <v>139</v>
      </c>
      <c r="D5568" t="s">
        <v>12721</v>
      </c>
      <c r="E5568" t="s">
        <v>12722</v>
      </c>
      <c r="F5568" t="s">
        <v>49</v>
      </c>
      <c r="G5568" t="s">
        <v>12723</v>
      </c>
      <c r="H5568" t="s">
        <v>12724</v>
      </c>
      <c r="J5568" t="str">
        <f>HYPERLINK("https://twitter.com/MdZahiruddinAn7/status/1742937844501606452","https://twitter.com/MdZahiruddinAn7/status/1742937844501606452")</f>
        <v>https://twitter.com/MdZahiruddinAn7/status/1742937844501606452</v>
      </c>
      <c r="O5568">
        <v>0</v>
      </c>
      <c r="P5568">
        <v>0</v>
      </c>
      <c r="Q5568">
        <v>2081</v>
      </c>
      <c r="R5568" t="s">
        <v>12725</v>
      </c>
      <c r="S5568">
        <v>0</v>
      </c>
      <c r="T5568">
        <v>0</v>
      </c>
      <c r="U5568">
        <v>0</v>
      </c>
      <c r="W5568" t="s">
        <v>146</v>
      </c>
    </row>
    <row r="5569" spans="1:42" x14ac:dyDescent="0.35">
      <c r="A5569" t="s">
        <v>45</v>
      </c>
      <c r="B5569" t="s">
        <v>12715</v>
      </c>
      <c r="C5569" t="s">
        <v>58</v>
      </c>
      <c r="D5569" t="s">
        <v>12726</v>
      </c>
      <c r="E5569" t="s">
        <v>12726</v>
      </c>
      <c r="F5569" t="s">
        <v>49</v>
      </c>
      <c r="G5569" t="s">
        <v>12727</v>
      </c>
      <c r="H5569" t="s">
        <v>12728</v>
      </c>
      <c r="J5569" t="str">
        <f>HYPERLINK("https://www.youtube.com/watch?v=mFZ1Cbic4CU&amp;lc=Ugz0U4Y8yK2PRufekU14AaABAg","https://www.youtube.com/watch?v=mFZ1Cbic4CU&amp;lc=Ugz0U4Y8yK2PRufekU14AaABAg")</f>
        <v>https://www.youtube.com/watch?v=mFZ1Cbic4CU&amp;lc=Ugz0U4Y8yK2PRufekU14AaABAg</v>
      </c>
      <c r="O5569">
        <v>0</v>
      </c>
      <c r="P5569">
        <v>0</v>
      </c>
      <c r="Q5569">
        <v>0</v>
      </c>
      <c r="S5569">
        <v>0</v>
      </c>
      <c r="T5569">
        <v>0</v>
      </c>
      <c r="U5569">
        <v>0</v>
      </c>
      <c r="W5569" t="s">
        <v>62</v>
      </c>
    </row>
    <row r="5570" spans="1:42" x14ac:dyDescent="0.35">
      <c r="A5570" t="s">
        <v>45</v>
      </c>
      <c r="B5570" t="s">
        <v>12715</v>
      </c>
      <c r="C5570" t="s">
        <v>102</v>
      </c>
      <c r="D5570" t="s">
        <v>12729</v>
      </c>
      <c r="E5570" t="s">
        <v>12729</v>
      </c>
      <c r="F5570" t="s">
        <v>49</v>
      </c>
      <c r="G5570" t="s">
        <v>12730</v>
      </c>
      <c r="H5570" t="s">
        <v>12731</v>
      </c>
      <c r="J5570" t="str">
        <f>HYPERLINK("https://www.linkedin.com/feed/update/urn:li:ugcPost:7147911480334598144/?commentUrn=urn:li:comment:(urn:li:ugcPost:7147911480334598144,7148693579312386048)","https://www.linkedin.com/feed/update/urn:li:ugcPost:7147911480334598144/?commentUrn=urn:li:comment:(urn:li:ugcPost:7147911480334598144,7148693579312386048)")</f>
        <v>https://www.linkedin.com/feed/update/urn:li:ugcPost:7147911480334598144/?commentUrn=urn:li:comment:(urn:li:ugcPost:7147911480334598144,7148693579312386048)</v>
      </c>
      <c r="K5570" t="s">
        <v>145</v>
      </c>
      <c r="O5570">
        <v>0</v>
      </c>
      <c r="P5570">
        <v>0</v>
      </c>
      <c r="Q5570">
        <v>0</v>
      </c>
      <c r="S5570">
        <v>0</v>
      </c>
      <c r="T5570">
        <v>0</v>
      </c>
      <c r="U5570">
        <v>0</v>
      </c>
      <c r="W5570" t="s">
        <v>62</v>
      </c>
    </row>
    <row r="5571" spans="1:42" x14ac:dyDescent="0.35">
      <c r="A5571" t="s">
        <v>45</v>
      </c>
      <c r="B5571" t="s">
        <v>12715</v>
      </c>
      <c r="C5571" t="s">
        <v>58</v>
      </c>
      <c r="D5571" t="s">
        <v>1142</v>
      </c>
      <c r="E5571" t="s">
        <v>1142</v>
      </c>
      <c r="F5571" t="s">
        <v>49</v>
      </c>
      <c r="G5571" t="s">
        <v>12732</v>
      </c>
      <c r="H5571" t="s">
        <v>12733</v>
      </c>
      <c r="J5571" t="str">
        <f>HYPERLINK("https://www.youtube.com/watch?v=cRckwLOoStU","https://www.youtube.com/watch?v=cRckwLOoStU")</f>
        <v>https://www.youtube.com/watch?v=cRckwLOoStU</v>
      </c>
      <c r="O5571">
        <v>0</v>
      </c>
      <c r="P5571">
        <v>0</v>
      </c>
      <c r="Q5571">
        <v>0</v>
      </c>
      <c r="S5571">
        <v>0</v>
      </c>
      <c r="T5571">
        <v>0</v>
      </c>
      <c r="U5571">
        <v>0</v>
      </c>
      <c r="W5571" t="s">
        <v>106</v>
      </c>
      <c r="AP5571" t="s">
        <v>101</v>
      </c>
    </row>
    <row r="5572" spans="1:42" x14ac:dyDescent="0.35">
      <c r="A5572" t="s">
        <v>45</v>
      </c>
      <c r="B5572" t="s">
        <v>12715</v>
      </c>
      <c r="C5572" t="s">
        <v>58</v>
      </c>
      <c r="D5572" t="s">
        <v>1217</v>
      </c>
      <c r="E5572" t="s">
        <v>1217</v>
      </c>
      <c r="F5572" t="s">
        <v>49</v>
      </c>
      <c r="G5572" t="s">
        <v>12734</v>
      </c>
      <c r="H5572" t="s">
        <v>12735</v>
      </c>
      <c r="J5572" t="str">
        <f>HYPERLINK("https://www.youtube.com/watch?v=PLr0lckS050","https://www.youtube.com/watch?v=PLr0lckS050")</f>
        <v>https://www.youtube.com/watch?v=PLr0lckS050</v>
      </c>
      <c r="O5572">
        <v>0</v>
      </c>
      <c r="P5572">
        <v>0</v>
      </c>
      <c r="Q5572">
        <v>0</v>
      </c>
      <c r="S5572">
        <v>0</v>
      </c>
      <c r="T5572">
        <v>0</v>
      </c>
      <c r="U5572">
        <v>0</v>
      </c>
      <c r="W5572" t="s">
        <v>106</v>
      </c>
      <c r="AP5572" t="s">
        <v>101</v>
      </c>
    </row>
    <row r="5573" spans="1:42" x14ac:dyDescent="0.35">
      <c r="A5573" t="s">
        <v>45</v>
      </c>
      <c r="B5573" t="s">
        <v>12715</v>
      </c>
      <c r="C5573" t="s">
        <v>47</v>
      </c>
      <c r="D5573" t="s">
        <v>12736</v>
      </c>
      <c r="E5573" t="s">
        <v>12736</v>
      </c>
      <c r="F5573" t="s">
        <v>49</v>
      </c>
      <c r="G5573" t="s">
        <v>50</v>
      </c>
      <c r="H5573" t="s">
        <v>12737</v>
      </c>
      <c r="J5573" t="str">
        <f>HYPERLINK("https://www.facebook.com/357267201017935/inbox/6883985051679418/","https://www.facebook.com/357267201017935/inbox/6883985051679418/")</f>
        <v>https://www.facebook.com/357267201017935/inbox/6883985051679418/</v>
      </c>
      <c r="O5573">
        <v>0</v>
      </c>
      <c r="P5573">
        <v>0</v>
      </c>
      <c r="Q5573">
        <v>0</v>
      </c>
      <c r="S5573">
        <v>0</v>
      </c>
      <c r="T5573">
        <v>0</v>
      </c>
      <c r="U5573">
        <v>0</v>
      </c>
      <c r="W5573" t="s">
        <v>52</v>
      </c>
    </row>
    <row r="5574" spans="1:42" x14ac:dyDescent="0.35">
      <c r="A5574" t="s">
        <v>45</v>
      </c>
      <c r="B5574" t="s">
        <v>12715</v>
      </c>
      <c r="C5574" t="s">
        <v>58</v>
      </c>
      <c r="D5574" t="s">
        <v>12568</v>
      </c>
      <c r="E5574" t="s">
        <v>12568</v>
      </c>
      <c r="F5574" t="s">
        <v>49</v>
      </c>
      <c r="G5574" t="s">
        <v>12738</v>
      </c>
      <c r="H5574" t="s">
        <v>12739</v>
      </c>
      <c r="J5574" t="str">
        <f>HYPERLINK("https://www.youtube.com/watch?v=675t5z8k3Y0","https://www.youtube.com/watch?v=675t5z8k3Y0")</f>
        <v>https://www.youtube.com/watch?v=675t5z8k3Y0</v>
      </c>
      <c r="O5574">
        <v>0</v>
      </c>
      <c r="P5574">
        <v>0</v>
      </c>
      <c r="Q5574">
        <v>0</v>
      </c>
      <c r="S5574">
        <v>0</v>
      </c>
      <c r="T5574">
        <v>0</v>
      </c>
      <c r="U5574">
        <v>0</v>
      </c>
      <c r="W5574" t="s">
        <v>106</v>
      </c>
      <c r="AP5574" t="s">
        <v>94</v>
      </c>
    </row>
    <row r="5575" spans="1:42" x14ac:dyDescent="0.35">
      <c r="A5575" t="s">
        <v>45</v>
      </c>
      <c r="B5575" t="s">
        <v>12715</v>
      </c>
      <c r="C5575" t="s">
        <v>139</v>
      </c>
      <c r="D5575" t="s">
        <v>12740</v>
      </c>
      <c r="E5575" t="s">
        <v>12741</v>
      </c>
      <c r="F5575" t="s">
        <v>49</v>
      </c>
      <c r="G5575" t="s">
        <v>12742</v>
      </c>
      <c r="H5575" t="s">
        <v>12743</v>
      </c>
      <c r="J5575" t="str">
        <f>HYPERLINK("https://twitter.com/praan_kumar/status/1742894429050990626","https://twitter.com/praan_kumar/status/1742894429050990626")</f>
        <v>https://twitter.com/praan_kumar/status/1742894429050990626</v>
      </c>
      <c r="O5575">
        <v>0</v>
      </c>
      <c r="P5575">
        <v>0</v>
      </c>
      <c r="Q5575">
        <v>0</v>
      </c>
      <c r="S5575">
        <v>0</v>
      </c>
      <c r="T5575">
        <v>0</v>
      </c>
      <c r="U5575">
        <v>0</v>
      </c>
      <c r="W5575" t="s">
        <v>146</v>
      </c>
      <c r="AP5575" t="s">
        <v>147</v>
      </c>
    </row>
    <row r="5576" spans="1:42" x14ac:dyDescent="0.35">
      <c r="A5576" t="s">
        <v>45</v>
      </c>
      <c r="B5576" t="s">
        <v>12715</v>
      </c>
      <c r="C5576" t="s">
        <v>139</v>
      </c>
      <c r="D5576" t="s">
        <v>12744</v>
      </c>
      <c r="E5576" t="s">
        <v>12745</v>
      </c>
      <c r="F5576" t="s">
        <v>49</v>
      </c>
      <c r="G5576" t="s">
        <v>12746</v>
      </c>
      <c r="H5576" t="s">
        <v>12747</v>
      </c>
      <c r="J5576" t="str">
        <f>HYPERLINK("https://twitter.com/asnanibharat04/status/1742891428165058683","https://twitter.com/asnanibharat04/status/1742891428165058683")</f>
        <v>https://twitter.com/asnanibharat04/status/1742891428165058683</v>
      </c>
      <c r="K5576" t="s">
        <v>145</v>
      </c>
      <c r="O5576">
        <v>0</v>
      </c>
      <c r="P5576">
        <v>0</v>
      </c>
      <c r="Q5576">
        <v>6</v>
      </c>
      <c r="R5576" t="s">
        <v>12748</v>
      </c>
      <c r="S5576">
        <v>0</v>
      </c>
      <c r="T5576">
        <v>0</v>
      </c>
      <c r="U5576">
        <v>0</v>
      </c>
      <c r="W5576" t="s">
        <v>146</v>
      </c>
    </row>
    <row r="5577" spans="1:42" x14ac:dyDescent="0.35">
      <c r="A5577" t="s">
        <v>45</v>
      </c>
      <c r="B5577" t="s">
        <v>12715</v>
      </c>
      <c r="C5577" t="s">
        <v>47</v>
      </c>
      <c r="D5577" t="s">
        <v>12749</v>
      </c>
      <c r="E5577" t="s">
        <v>12749</v>
      </c>
      <c r="F5577" t="s">
        <v>49</v>
      </c>
      <c r="G5577" t="s">
        <v>12750</v>
      </c>
      <c r="H5577" t="s">
        <v>12751</v>
      </c>
      <c r="J5577" t="str">
        <f>HYPERLINK("https://www.facebook.com/454965103328545/posts/738546464970406?comment_id=685649040359258","https://www.facebook.com/454965103328545/posts/738546464970406?comment_id=685649040359258")</f>
        <v>https://www.facebook.com/454965103328545/posts/738546464970406?comment_id=685649040359258</v>
      </c>
      <c r="O5577">
        <v>0</v>
      </c>
      <c r="P5577">
        <v>0</v>
      </c>
      <c r="Q5577">
        <v>0</v>
      </c>
      <c r="S5577">
        <v>0</v>
      </c>
      <c r="T5577">
        <v>0</v>
      </c>
      <c r="U5577">
        <v>0</v>
      </c>
      <c r="W5577" t="s">
        <v>62</v>
      </c>
    </row>
    <row r="5578" spans="1:42" x14ac:dyDescent="0.35">
      <c r="A5578" t="s">
        <v>45</v>
      </c>
      <c r="B5578" t="s">
        <v>12715</v>
      </c>
      <c r="C5578" t="s">
        <v>47</v>
      </c>
      <c r="D5578" t="s">
        <v>9963</v>
      </c>
      <c r="E5578" t="s">
        <v>9963</v>
      </c>
      <c r="F5578" t="s">
        <v>142</v>
      </c>
      <c r="G5578" t="s">
        <v>12752</v>
      </c>
      <c r="H5578" t="s">
        <v>12753</v>
      </c>
      <c r="J5578" t="str">
        <f>HYPERLINK("https://www.facebook.com/454965103328545/posts/744159567742429?comment_id=300420039664510","https://www.facebook.com/454965103328545/posts/744159567742429?comment_id=300420039664510")</f>
        <v>https://www.facebook.com/454965103328545/posts/744159567742429?comment_id=300420039664510</v>
      </c>
      <c r="O5578">
        <v>0</v>
      </c>
      <c r="P5578">
        <v>0</v>
      </c>
      <c r="Q5578">
        <v>0</v>
      </c>
      <c r="S5578">
        <v>0</v>
      </c>
      <c r="T5578">
        <v>0</v>
      </c>
      <c r="U5578">
        <v>0</v>
      </c>
      <c r="W5578" t="s">
        <v>62</v>
      </c>
    </row>
    <row r="5579" spans="1:42" x14ac:dyDescent="0.35">
      <c r="A5579" t="s">
        <v>45</v>
      </c>
      <c r="B5579" t="s">
        <v>12715</v>
      </c>
      <c r="C5579" t="s">
        <v>102</v>
      </c>
      <c r="D5579" t="s">
        <v>12754</v>
      </c>
      <c r="E5579" t="s">
        <v>12754</v>
      </c>
      <c r="F5579" t="s">
        <v>49</v>
      </c>
      <c r="G5579" t="s">
        <v>12755</v>
      </c>
      <c r="H5579" t="s">
        <v>12756</v>
      </c>
      <c r="J5579" t="str">
        <f>HYPERLINK("https://www.linkedin.com/feed/update/urn:li:ugcPost:7147911480334598144/?commentUrn=urn:li:comment:(urn:li:ugcPost:7147911480334598144,7148561064887005184)","https://www.linkedin.com/feed/update/urn:li:ugcPost:7147911480334598144/?commentUrn=urn:li:comment:(urn:li:ugcPost:7147911480334598144,7148561064887005184)")</f>
        <v>https://www.linkedin.com/feed/update/urn:li:ugcPost:7147911480334598144/?commentUrn=urn:li:comment:(urn:li:ugcPost:7147911480334598144,7148561064887005184)</v>
      </c>
      <c r="K5579" t="s">
        <v>145</v>
      </c>
      <c r="O5579">
        <v>0</v>
      </c>
      <c r="P5579">
        <v>0</v>
      </c>
      <c r="Q5579">
        <v>0</v>
      </c>
      <c r="S5579">
        <v>0</v>
      </c>
      <c r="T5579">
        <v>0</v>
      </c>
      <c r="U5579">
        <v>0</v>
      </c>
      <c r="W5579" t="s">
        <v>62</v>
      </c>
      <c r="AO5579" t="s">
        <v>119</v>
      </c>
      <c r="AP5579" t="s">
        <v>94</v>
      </c>
    </row>
    <row r="5580" spans="1:42" x14ac:dyDescent="0.35">
      <c r="A5580" t="s">
        <v>45</v>
      </c>
      <c r="B5580" t="s">
        <v>12715</v>
      </c>
      <c r="C5580" t="s">
        <v>58</v>
      </c>
      <c r="D5580" t="s">
        <v>12757</v>
      </c>
      <c r="E5580" t="s">
        <v>12757</v>
      </c>
      <c r="F5580" t="s">
        <v>49</v>
      </c>
      <c r="G5580" t="s">
        <v>12758</v>
      </c>
      <c r="H5580" t="s">
        <v>12759</v>
      </c>
      <c r="J5580" t="str">
        <f>HYPERLINK("https://www.youtube.com/watch?v=VTvaYdJp4pk","https://www.youtube.com/watch?v=VTvaYdJp4pk")</f>
        <v>https://www.youtube.com/watch?v=VTvaYdJp4pk</v>
      </c>
      <c r="O5580">
        <v>0</v>
      </c>
      <c r="P5580">
        <v>0</v>
      </c>
      <c r="Q5580">
        <v>0</v>
      </c>
      <c r="S5580">
        <v>0</v>
      </c>
      <c r="T5580">
        <v>0</v>
      </c>
      <c r="U5580">
        <v>0</v>
      </c>
      <c r="W5580" t="s">
        <v>106</v>
      </c>
    </row>
    <row r="5581" spans="1:42" x14ac:dyDescent="0.35">
      <c r="A5581" t="s">
        <v>45</v>
      </c>
      <c r="B5581" t="s">
        <v>12715</v>
      </c>
      <c r="C5581" t="s">
        <v>47</v>
      </c>
      <c r="D5581" t="s">
        <v>12760</v>
      </c>
      <c r="E5581" t="s">
        <v>12760</v>
      </c>
      <c r="F5581" t="s">
        <v>76</v>
      </c>
      <c r="G5581" t="s">
        <v>12761</v>
      </c>
      <c r="H5581" t="s">
        <v>12762</v>
      </c>
      <c r="J5581" t="str">
        <f>HYPERLINK("https://www.facebook.com/454965103328545/posts/736777281813991?comment_id=888462919680796","https://www.facebook.com/454965103328545/posts/736777281813991?comment_id=888462919680796")</f>
        <v>https://www.facebook.com/454965103328545/posts/736777281813991?comment_id=888462919680796</v>
      </c>
      <c r="O5581">
        <v>0</v>
      </c>
      <c r="P5581">
        <v>0</v>
      </c>
      <c r="Q5581">
        <v>0</v>
      </c>
      <c r="S5581">
        <v>0</v>
      </c>
      <c r="T5581">
        <v>0</v>
      </c>
      <c r="U5581">
        <v>0</v>
      </c>
      <c r="W5581" t="s">
        <v>62</v>
      </c>
    </row>
    <row r="5582" spans="1:42" x14ac:dyDescent="0.35">
      <c r="A5582" t="s">
        <v>45</v>
      </c>
      <c r="B5582" t="s">
        <v>12715</v>
      </c>
      <c r="C5582" t="s">
        <v>58</v>
      </c>
      <c r="D5582" t="s">
        <v>10018</v>
      </c>
      <c r="E5582" t="s">
        <v>10018</v>
      </c>
      <c r="F5582" t="s">
        <v>49</v>
      </c>
      <c r="G5582" t="s">
        <v>12763</v>
      </c>
      <c r="H5582" t="s">
        <v>12764</v>
      </c>
      <c r="J5582" t="str">
        <f>HYPERLINK("https://www.youtube.com/watch?v=rgsAoM1lDTo","https://www.youtube.com/watch?v=rgsAoM1lDTo")</f>
        <v>https://www.youtube.com/watch?v=rgsAoM1lDTo</v>
      </c>
      <c r="O5582">
        <v>0</v>
      </c>
      <c r="P5582">
        <v>0</v>
      </c>
      <c r="Q5582">
        <v>0</v>
      </c>
      <c r="S5582">
        <v>0</v>
      </c>
      <c r="T5582">
        <v>0</v>
      </c>
      <c r="U5582">
        <v>0</v>
      </c>
      <c r="W5582" t="s">
        <v>106</v>
      </c>
    </row>
    <row r="5583" spans="1:42" x14ac:dyDescent="0.35">
      <c r="A5583" t="s">
        <v>45</v>
      </c>
      <c r="B5583" t="s">
        <v>12715</v>
      </c>
      <c r="C5583" t="s">
        <v>58</v>
      </c>
      <c r="D5583" t="s">
        <v>12765</v>
      </c>
      <c r="E5583" t="s">
        <v>12765</v>
      </c>
      <c r="F5583" t="s">
        <v>49</v>
      </c>
      <c r="G5583" t="s">
        <v>12766</v>
      </c>
      <c r="H5583" t="s">
        <v>12767</v>
      </c>
      <c r="J5583" t="str">
        <f>HYPERLINK("https://www.youtube.com/watch?v=k66qDViJY4w","https://www.youtube.com/watch?v=k66qDViJY4w")</f>
        <v>https://www.youtube.com/watch?v=k66qDViJY4w</v>
      </c>
      <c r="O5583">
        <v>0</v>
      </c>
      <c r="P5583">
        <v>0</v>
      </c>
      <c r="Q5583">
        <v>0</v>
      </c>
      <c r="S5583">
        <v>0</v>
      </c>
      <c r="T5583">
        <v>0</v>
      </c>
      <c r="U5583">
        <v>0</v>
      </c>
      <c r="W5583" t="s">
        <v>106</v>
      </c>
      <c r="AO5583" t="s">
        <v>119</v>
      </c>
    </row>
    <row r="5584" spans="1:42" x14ac:dyDescent="0.35">
      <c r="A5584" t="s">
        <v>45</v>
      </c>
      <c r="B5584" t="s">
        <v>12715</v>
      </c>
      <c r="C5584" t="s">
        <v>58</v>
      </c>
      <c r="D5584" t="s">
        <v>12768</v>
      </c>
      <c r="E5584" t="s">
        <v>12768</v>
      </c>
      <c r="F5584" t="s">
        <v>49</v>
      </c>
      <c r="G5584" t="s">
        <v>12769</v>
      </c>
      <c r="H5584" t="s">
        <v>12770</v>
      </c>
      <c r="J5584" t="str">
        <f>HYPERLINK("https://www.youtube.com/watch?v=dO_eGS08OKU","https://www.youtube.com/watch?v=dO_eGS08OKU")</f>
        <v>https://www.youtube.com/watch?v=dO_eGS08OKU</v>
      </c>
      <c r="O5584">
        <v>0</v>
      </c>
      <c r="P5584">
        <v>0</v>
      </c>
      <c r="Q5584">
        <v>0</v>
      </c>
      <c r="S5584">
        <v>0</v>
      </c>
      <c r="T5584">
        <v>0</v>
      </c>
      <c r="U5584">
        <v>0</v>
      </c>
      <c r="W5584" t="s">
        <v>106</v>
      </c>
    </row>
    <row r="5585" spans="1:42" x14ac:dyDescent="0.35">
      <c r="A5585" t="s">
        <v>45</v>
      </c>
      <c r="B5585" t="s">
        <v>12715</v>
      </c>
      <c r="C5585" t="s">
        <v>139</v>
      </c>
      <c r="D5585" t="s">
        <v>12771</v>
      </c>
      <c r="E5585" t="s">
        <v>12772</v>
      </c>
      <c r="F5585" t="s">
        <v>49</v>
      </c>
      <c r="G5585" t="s">
        <v>12773</v>
      </c>
      <c r="H5585" t="s">
        <v>12774</v>
      </c>
      <c r="J5585" t="str">
        <f>HYPERLINK("https://twitter.com/trusestalj98852/status/1742634900904128512","https://twitter.com/trusestalj98852/status/1742634900904128512")</f>
        <v>https://twitter.com/trusestalj98852/status/1742634900904128512</v>
      </c>
      <c r="O5585">
        <v>0</v>
      </c>
      <c r="P5585">
        <v>0</v>
      </c>
      <c r="Q5585">
        <v>0</v>
      </c>
      <c r="S5585">
        <v>0</v>
      </c>
      <c r="T5585">
        <v>0</v>
      </c>
      <c r="U5585">
        <v>0</v>
      </c>
      <c r="W5585" t="s">
        <v>146</v>
      </c>
    </row>
    <row r="5586" spans="1:42" x14ac:dyDescent="0.35">
      <c r="A5586" t="s">
        <v>45</v>
      </c>
      <c r="B5586" t="s">
        <v>12715</v>
      </c>
      <c r="C5586" t="s">
        <v>47</v>
      </c>
      <c r="D5586" t="s">
        <v>12775</v>
      </c>
      <c r="E5586" t="s">
        <v>12775</v>
      </c>
      <c r="F5586" t="s">
        <v>49</v>
      </c>
      <c r="G5586" t="s">
        <v>12776</v>
      </c>
      <c r="H5586" t="s">
        <v>12777</v>
      </c>
      <c r="J5586" t="str">
        <f>HYPERLINK("https://www.facebook.com/454965103328545/posts/572707511554303?comment_id=876474587295232","https://www.facebook.com/454965103328545/posts/572707511554303?comment_id=876474587295232")</f>
        <v>https://www.facebook.com/454965103328545/posts/572707511554303?comment_id=876474587295232</v>
      </c>
      <c r="O5586">
        <v>0</v>
      </c>
      <c r="P5586">
        <v>0</v>
      </c>
      <c r="Q5586">
        <v>0</v>
      </c>
      <c r="S5586">
        <v>0</v>
      </c>
      <c r="T5586">
        <v>0</v>
      </c>
      <c r="U5586">
        <v>0</v>
      </c>
      <c r="W5586" t="s">
        <v>62</v>
      </c>
    </row>
    <row r="5587" spans="1:42" x14ac:dyDescent="0.35">
      <c r="A5587" t="s">
        <v>45</v>
      </c>
      <c r="B5587" t="s">
        <v>12778</v>
      </c>
      <c r="C5587" t="s">
        <v>47</v>
      </c>
      <c r="D5587" t="s">
        <v>12779</v>
      </c>
      <c r="E5587" t="s">
        <v>12779</v>
      </c>
      <c r="F5587" t="s">
        <v>49</v>
      </c>
      <c r="G5587" t="s">
        <v>12780</v>
      </c>
      <c r="H5587" t="s">
        <v>12781</v>
      </c>
      <c r="J5587" t="str">
        <f>HYPERLINK("https://www.facebook.com/454965103328545/posts/734813295343723?comment_id=302673622759367","https://www.facebook.com/454965103328545/posts/734813295343723?comment_id=302673622759367")</f>
        <v>https://www.facebook.com/454965103328545/posts/734813295343723?comment_id=302673622759367</v>
      </c>
      <c r="O5587">
        <v>0</v>
      </c>
      <c r="P5587">
        <v>0</v>
      </c>
      <c r="Q5587">
        <v>0</v>
      </c>
      <c r="S5587">
        <v>0</v>
      </c>
      <c r="T5587">
        <v>0</v>
      </c>
      <c r="U5587">
        <v>0</v>
      </c>
      <c r="W5587" t="s">
        <v>62</v>
      </c>
    </row>
    <row r="5588" spans="1:42" x14ac:dyDescent="0.35">
      <c r="A5588" t="s">
        <v>45</v>
      </c>
      <c r="B5588" t="s">
        <v>12778</v>
      </c>
      <c r="C5588" t="s">
        <v>47</v>
      </c>
      <c r="D5588" t="s">
        <v>12782</v>
      </c>
      <c r="E5588" t="s">
        <v>12782</v>
      </c>
      <c r="F5588" t="s">
        <v>49</v>
      </c>
      <c r="G5588" s="1" t="s">
        <v>12783</v>
      </c>
      <c r="H5588" t="s">
        <v>12784</v>
      </c>
      <c r="J5588" t="str">
        <f>HYPERLINK("https://www.facebook.com/454965103328545/posts/739250844899968?comment_id=1526967791399527","https://www.facebook.com/454965103328545/posts/739250844899968?comment_id=1526967791399527")</f>
        <v>https://www.facebook.com/454965103328545/posts/739250844899968?comment_id=1526967791399527</v>
      </c>
      <c r="O5588">
        <v>0</v>
      </c>
      <c r="P5588">
        <v>0</v>
      </c>
      <c r="Q5588">
        <v>0</v>
      </c>
      <c r="S5588">
        <v>0</v>
      </c>
      <c r="T5588">
        <v>0</v>
      </c>
      <c r="U5588">
        <v>0</v>
      </c>
      <c r="W5588" t="s">
        <v>62</v>
      </c>
    </row>
    <row r="5589" spans="1:42" x14ac:dyDescent="0.35">
      <c r="A5589" t="s">
        <v>45</v>
      </c>
      <c r="B5589" t="s">
        <v>12778</v>
      </c>
      <c r="C5589" t="s">
        <v>47</v>
      </c>
      <c r="D5589" t="s">
        <v>12785</v>
      </c>
      <c r="E5589" t="s">
        <v>12785</v>
      </c>
      <c r="F5589" t="s">
        <v>49</v>
      </c>
      <c r="G5589" t="s">
        <v>56</v>
      </c>
      <c r="H5589" t="s">
        <v>12786</v>
      </c>
      <c r="J5589" t="str">
        <f>HYPERLINK("https://www.facebook.com/357267201017935/inbox/6880370672040856/","https://www.facebook.com/357267201017935/inbox/6880370672040856/")</f>
        <v>https://www.facebook.com/357267201017935/inbox/6880370672040856/</v>
      </c>
      <c r="O5589">
        <v>0</v>
      </c>
      <c r="P5589">
        <v>0</v>
      </c>
      <c r="Q5589">
        <v>0</v>
      </c>
      <c r="S5589">
        <v>0</v>
      </c>
      <c r="T5589">
        <v>0</v>
      </c>
      <c r="U5589">
        <v>0</v>
      </c>
      <c r="W5589" t="s">
        <v>52</v>
      </c>
    </row>
    <row r="5590" spans="1:42" x14ac:dyDescent="0.35">
      <c r="A5590" t="s">
        <v>45</v>
      </c>
      <c r="B5590" t="s">
        <v>12778</v>
      </c>
      <c r="C5590" t="s">
        <v>58</v>
      </c>
      <c r="D5590" t="s">
        <v>8349</v>
      </c>
      <c r="E5590" t="s">
        <v>8349</v>
      </c>
      <c r="F5590" t="s">
        <v>49</v>
      </c>
      <c r="G5590" t="s">
        <v>12787</v>
      </c>
      <c r="H5590" t="s">
        <v>12788</v>
      </c>
      <c r="J5590" t="str">
        <f>HYPERLINK("https://www.youtube.com/watch?v=CmOvhWFTPQI","https://www.youtube.com/watch?v=CmOvhWFTPQI")</f>
        <v>https://www.youtube.com/watch?v=CmOvhWFTPQI</v>
      </c>
      <c r="O5590">
        <v>0</v>
      </c>
      <c r="P5590">
        <v>0</v>
      </c>
      <c r="Q5590">
        <v>0</v>
      </c>
      <c r="S5590">
        <v>0</v>
      </c>
      <c r="T5590">
        <v>0</v>
      </c>
      <c r="U5590">
        <v>0</v>
      </c>
      <c r="W5590" t="s">
        <v>106</v>
      </c>
    </row>
    <row r="5591" spans="1:42" x14ac:dyDescent="0.35">
      <c r="A5591" t="s">
        <v>45</v>
      </c>
      <c r="B5591" t="s">
        <v>12778</v>
      </c>
      <c r="C5591" t="s">
        <v>139</v>
      </c>
      <c r="D5591" t="s">
        <v>5888</v>
      </c>
      <c r="E5591" t="s">
        <v>5889</v>
      </c>
      <c r="F5591" t="s">
        <v>142</v>
      </c>
      <c r="G5591" t="s">
        <v>12789</v>
      </c>
      <c r="H5591" t="s">
        <v>12790</v>
      </c>
      <c r="J5591" t="str">
        <f>HYPERLINK("https://twitter.com/Priyankagangati/status/1742577220202455530","https://twitter.com/Priyankagangati/status/1742577220202455530")</f>
        <v>https://twitter.com/Priyankagangati/status/1742577220202455530</v>
      </c>
      <c r="K5591" t="s">
        <v>1769</v>
      </c>
      <c r="O5591">
        <v>0</v>
      </c>
      <c r="P5591">
        <v>0</v>
      </c>
      <c r="Q5591">
        <v>1</v>
      </c>
      <c r="R5591" t="s">
        <v>5892</v>
      </c>
      <c r="S5591">
        <v>0</v>
      </c>
      <c r="T5591">
        <v>0</v>
      </c>
      <c r="U5591">
        <v>0</v>
      </c>
      <c r="W5591" t="s">
        <v>146</v>
      </c>
      <c r="AO5591" t="s">
        <v>119</v>
      </c>
      <c r="AP5591" t="s">
        <v>101</v>
      </c>
    </row>
    <row r="5592" spans="1:42" x14ac:dyDescent="0.35">
      <c r="A5592" t="s">
        <v>45</v>
      </c>
      <c r="B5592" t="s">
        <v>12778</v>
      </c>
      <c r="C5592" t="s">
        <v>47</v>
      </c>
      <c r="D5592" t="s">
        <v>12791</v>
      </c>
      <c r="E5592" t="s">
        <v>12791</v>
      </c>
      <c r="F5592" t="s">
        <v>76</v>
      </c>
      <c r="G5592" t="s">
        <v>12792</v>
      </c>
      <c r="H5592" t="s">
        <v>12793</v>
      </c>
      <c r="J5592" t="str">
        <f>HYPERLINK("https://www.facebook.com/454965103328545/posts/734813295343723?comment_id=1053934149162205","https://www.facebook.com/454965103328545/posts/734813295343723?comment_id=1053934149162205")</f>
        <v>https://www.facebook.com/454965103328545/posts/734813295343723?comment_id=1053934149162205</v>
      </c>
      <c r="O5592">
        <v>0</v>
      </c>
      <c r="P5592">
        <v>0</v>
      </c>
      <c r="Q5592">
        <v>0</v>
      </c>
      <c r="S5592">
        <v>0</v>
      </c>
      <c r="T5592">
        <v>0</v>
      </c>
      <c r="U5592">
        <v>0</v>
      </c>
      <c r="W5592" t="s">
        <v>62</v>
      </c>
    </row>
    <row r="5593" spans="1:42" x14ac:dyDescent="0.35">
      <c r="A5593" t="s">
        <v>45</v>
      </c>
      <c r="B5593" t="s">
        <v>12778</v>
      </c>
      <c r="C5593" t="s">
        <v>47</v>
      </c>
      <c r="D5593" t="s">
        <v>12794</v>
      </c>
      <c r="E5593" t="s">
        <v>12794</v>
      </c>
      <c r="F5593" t="s">
        <v>49</v>
      </c>
      <c r="G5593" t="s">
        <v>373</v>
      </c>
      <c r="H5593" t="s">
        <v>12795</v>
      </c>
      <c r="J5593" t="str">
        <f>HYPERLINK("https://www.facebook.com/357267201017935/inbox/6879713102106613/","https://www.facebook.com/357267201017935/inbox/6879713102106613/")</f>
        <v>https://www.facebook.com/357267201017935/inbox/6879713102106613/</v>
      </c>
      <c r="O5593">
        <v>0</v>
      </c>
      <c r="P5593">
        <v>0</v>
      </c>
      <c r="Q5593">
        <v>0</v>
      </c>
      <c r="S5593">
        <v>0</v>
      </c>
      <c r="T5593">
        <v>0</v>
      </c>
      <c r="U5593">
        <v>0</v>
      </c>
      <c r="W5593" t="s">
        <v>52</v>
      </c>
    </row>
    <row r="5594" spans="1:42" x14ac:dyDescent="0.35">
      <c r="A5594" t="s">
        <v>45</v>
      </c>
      <c r="B5594" t="s">
        <v>12778</v>
      </c>
      <c r="C5594" t="s">
        <v>139</v>
      </c>
      <c r="D5594" t="s">
        <v>12796</v>
      </c>
      <c r="E5594" t="s">
        <v>12797</v>
      </c>
      <c r="F5594" t="s">
        <v>142</v>
      </c>
      <c r="G5594" t="s">
        <v>12798</v>
      </c>
      <c r="H5594" t="s">
        <v>12799</v>
      </c>
      <c r="J5594" t="str">
        <f>HYPERLINK("https://twitter.com/Tanveer50190409/status/1742510411453276666","https://twitter.com/Tanveer50190409/status/1742510411453276666")</f>
        <v>https://twitter.com/Tanveer50190409/status/1742510411453276666</v>
      </c>
      <c r="K5594" t="s">
        <v>145</v>
      </c>
      <c r="O5594">
        <v>0</v>
      </c>
      <c r="P5594">
        <v>0</v>
      </c>
      <c r="Q5594">
        <v>9</v>
      </c>
      <c r="R5594" t="s">
        <v>12800</v>
      </c>
      <c r="S5594">
        <v>0</v>
      </c>
      <c r="T5594">
        <v>0</v>
      </c>
      <c r="U5594">
        <v>0</v>
      </c>
      <c r="W5594" t="s">
        <v>146</v>
      </c>
      <c r="AO5594" t="s">
        <v>119</v>
      </c>
      <c r="AP5594" t="s">
        <v>147</v>
      </c>
    </row>
    <row r="5595" spans="1:42" x14ac:dyDescent="0.35">
      <c r="A5595" t="s">
        <v>45</v>
      </c>
      <c r="B5595" t="s">
        <v>12778</v>
      </c>
      <c r="C5595" t="s">
        <v>47</v>
      </c>
      <c r="D5595" t="s">
        <v>12801</v>
      </c>
      <c r="E5595" t="s">
        <v>12801</v>
      </c>
      <c r="F5595" t="s">
        <v>142</v>
      </c>
      <c r="G5595" t="s">
        <v>12802</v>
      </c>
      <c r="H5595" t="s">
        <v>12803</v>
      </c>
      <c r="J5595" t="str">
        <f>HYPERLINK("https://www.facebook.com/454965103328545/posts/745852590906460?comment_id=318737561130673","https://www.facebook.com/454965103328545/posts/745852590906460?comment_id=318737561130673")</f>
        <v>https://www.facebook.com/454965103328545/posts/745852590906460?comment_id=318737561130673</v>
      </c>
      <c r="O5595">
        <v>0</v>
      </c>
      <c r="P5595">
        <v>0</v>
      </c>
      <c r="Q5595">
        <v>0</v>
      </c>
      <c r="S5595">
        <v>0</v>
      </c>
      <c r="T5595">
        <v>0</v>
      </c>
      <c r="U5595">
        <v>0</v>
      </c>
      <c r="W5595" t="s">
        <v>62</v>
      </c>
      <c r="AO5595" t="s">
        <v>119</v>
      </c>
      <c r="AP5595" t="s">
        <v>147</v>
      </c>
    </row>
    <row r="5596" spans="1:42" x14ac:dyDescent="0.35">
      <c r="A5596" t="s">
        <v>45</v>
      </c>
      <c r="B5596" t="s">
        <v>12778</v>
      </c>
      <c r="C5596" t="s">
        <v>58</v>
      </c>
      <c r="D5596" t="s">
        <v>1240</v>
      </c>
      <c r="E5596" t="s">
        <v>1240</v>
      </c>
      <c r="F5596" t="s">
        <v>49</v>
      </c>
      <c r="G5596" t="s">
        <v>12804</v>
      </c>
      <c r="H5596" t="s">
        <v>12805</v>
      </c>
      <c r="J5596" t="str">
        <f>HYPERLINK("https://www.youtube.com/watch?v=4IiMzVzvsPw","https://www.youtube.com/watch?v=4IiMzVzvsPw")</f>
        <v>https://www.youtube.com/watch?v=4IiMzVzvsPw</v>
      </c>
      <c r="O5596">
        <v>0</v>
      </c>
      <c r="P5596">
        <v>0</v>
      </c>
      <c r="Q5596">
        <v>0</v>
      </c>
      <c r="S5596">
        <v>0</v>
      </c>
      <c r="T5596">
        <v>0</v>
      </c>
      <c r="U5596">
        <v>0</v>
      </c>
      <c r="W5596" t="s">
        <v>106</v>
      </c>
    </row>
    <row r="5597" spans="1:42" x14ac:dyDescent="0.35">
      <c r="A5597" t="s">
        <v>45</v>
      </c>
      <c r="B5597" t="s">
        <v>12778</v>
      </c>
      <c r="C5597" t="s">
        <v>47</v>
      </c>
      <c r="D5597" t="s">
        <v>12806</v>
      </c>
      <c r="E5597" t="s">
        <v>12806</v>
      </c>
      <c r="F5597" t="s">
        <v>49</v>
      </c>
      <c r="G5597" t="s">
        <v>56</v>
      </c>
      <c r="H5597" t="s">
        <v>12807</v>
      </c>
      <c r="J5597" t="str">
        <f>HYPERLINK("https://www.facebook.com/357267201017935/inbox/6825250007552923/","https://www.facebook.com/357267201017935/inbox/6825250007552923/")</f>
        <v>https://www.facebook.com/357267201017935/inbox/6825250007552923/</v>
      </c>
      <c r="O5597">
        <v>0</v>
      </c>
      <c r="P5597">
        <v>0</v>
      </c>
      <c r="Q5597">
        <v>0</v>
      </c>
      <c r="S5597">
        <v>0</v>
      </c>
      <c r="T5597">
        <v>0</v>
      </c>
      <c r="U5597">
        <v>0</v>
      </c>
      <c r="W5597" t="s">
        <v>52</v>
      </c>
    </row>
    <row r="5598" spans="1:42" x14ac:dyDescent="0.35">
      <c r="A5598" t="s">
        <v>45</v>
      </c>
      <c r="B5598" t="s">
        <v>12778</v>
      </c>
      <c r="C5598" t="s">
        <v>47</v>
      </c>
      <c r="D5598" t="s">
        <v>12808</v>
      </c>
      <c r="E5598" t="s">
        <v>12808</v>
      </c>
      <c r="F5598" t="s">
        <v>49</v>
      </c>
      <c r="G5598" t="s">
        <v>12809</v>
      </c>
      <c r="H5598" t="s">
        <v>12810</v>
      </c>
      <c r="J5598" t="str">
        <f>HYPERLINK("https://www.facebook.com/357267201017935/inbox/6878880145523242/","https://www.facebook.com/357267201017935/inbox/6878880145523242/")</f>
        <v>https://www.facebook.com/357267201017935/inbox/6878880145523242/</v>
      </c>
      <c r="O5598">
        <v>0</v>
      </c>
      <c r="P5598">
        <v>0</v>
      </c>
      <c r="Q5598">
        <v>0</v>
      </c>
      <c r="S5598">
        <v>0</v>
      </c>
      <c r="T5598">
        <v>0</v>
      </c>
      <c r="U5598">
        <v>0</v>
      </c>
      <c r="W5598" t="s">
        <v>52</v>
      </c>
    </row>
    <row r="5599" spans="1:42" x14ac:dyDescent="0.35">
      <c r="A5599" t="s">
        <v>45</v>
      </c>
      <c r="B5599" t="s">
        <v>12778</v>
      </c>
      <c r="C5599" t="s">
        <v>58</v>
      </c>
      <c r="D5599" t="s">
        <v>12811</v>
      </c>
      <c r="E5599" t="s">
        <v>12811</v>
      </c>
      <c r="F5599" t="s">
        <v>49</v>
      </c>
      <c r="G5599" t="s">
        <v>12812</v>
      </c>
      <c r="H5599" t="s">
        <v>12813</v>
      </c>
      <c r="J5599" t="str">
        <f>HYPERLINK("https://www.youtube.com/watch?v=tADOhWeAi-c","https://www.youtube.com/watch?v=tADOhWeAi-c")</f>
        <v>https://www.youtube.com/watch?v=tADOhWeAi-c</v>
      </c>
      <c r="O5599">
        <v>0</v>
      </c>
      <c r="P5599">
        <v>0</v>
      </c>
      <c r="Q5599">
        <v>0</v>
      </c>
      <c r="S5599">
        <v>0</v>
      </c>
      <c r="T5599">
        <v>0</v>
      </c>
      <c r="U5599">
        <v>0</v>
      </c>
      <c r="W5599" t="s">
        <v>106</v>
      </c>
    </row>
    <row r="5600" spans="1:42" x14ac:dyDescent="0.35">
      <c r="A5600" t="s">
        <v>45</v>
      </c>
      <c r="B5600" t="s">
        <v>12778</v>
      </c>
      <c r="C5600" t="s">
        <v>47</v>
      </c>
      <c r="D5600" t="s">
        <v>12814</v>
      </c>
      <c r="E5600" t="s">
        <v>12814</v>
      </c>
      <c r="F5600" t="s">
        <v>49</v>
      </c>
      <c r="G5600" t="s">
        <v>50</v>
      </c>
      <c r="H5600" t="s">
        <v>12815</v>
      </c>
      <c r="J5600" t="str">
        <f>HYPERLINK("https://www.facebook.com/357267201017935/inbox/6876739859070604/","https://www.facebook.com/357267201017935/inbox/6876739859070604/")</f>
        <v>https://www.facebook.com/357267201017935/inbox/6876739859070604/</v>
      </c>
      <c r="O5600">
        <v>0</v>
      </c>
      <c r="P5600">
        <v>0</v>
      </c>
      <c r="Q5600">
        <v>0</v>
      </c>
      <c r="S5600">
        <v>0</v>
      </c>
      <c r="T5600">
        <v>0</v>
      </c>
      <c r="U5600">
        <v>0</v>
      </c>
      <c r="W5600" t="s">
        <v>52</v>
      </c>
    </row>
    <row r="5601" spans="1:42" x14ac:dyDescent="0.35">
      <c r="A5601" t="s">
        <v>45</v>
      </c>
      <c r="B5601" t="s">
        <v>12778</v>
      </c>
      <c r="C5601" t="s">
        <v>47</v>
      </c>
      <c r="D5601" t="s">
        <v>12816</v>
      </c>
      <c r="E5601" t="s">
        <v>12816</v>
      </c>
      <c r="F5601" t="s">
        <v>49</v>
      </c>
      <c r="G5601" t="s">
        <v>12817</v>
      </c>
      <c r="H5601" t="s">
        <v>12818</v>
      </c>
      <c r="J5601" t="str">
        <f>HYPERLINK("https://www.facebook.com/357267201017935/inbox/6878591722218751/","https://www.facebook.com/357267201017935/inbox/6878591722218751/")</f>
        <v>https://www.facebook.com/357267201017935/inbox/6878591722218751/</v>
      </c>
      <c r="O5601">
        <v>0</v>
      </c>
      <c r="P5601">
        <v>0</v>
      </c>
      <c r="Q5601">
        <v>0</v>
      </c>
      <c r="S5601">
        <v>0</v>
      </c>
      <c r="T5601">
        <v>0</v>
      </c>
      <c r="U5601">
        <v>0</v>
      </c>
      <c r="W5601" t="s">
        <v>52</v>
      </c>
    </row>
    <row r="5602" spans="1:42" x14ac:dyDescent="0.35">
      <c r="A5602" t="s">
        <v>45</v>
      </c>
      <c r="B5602" t="s">
        <v>12778</v>
      </c>
      <c r="C5602" t="s">
        <v>47</v>
      </c>
      <c r="D5602" t="s">
        <v>12819</v>
      </c>
      <c r="E5602" t="s">
        <v>12819</v>
      </c>
      <c r="F5602" t="s">
        <v>49</v>
      </c>
      <c r="G5602" t="s">
        <v>12820</v>
      </c>
      <c r="H5602" t="s">
        <v>12821</v>
      </c>
      <c r="J5602" t="str">
        <f>HYPERLINK("https://www.facebook.com/357267201017935/posts/3069910089753619/?comment_id=188838454312243","https://www.facebook.com/357267201017935/posts/3069910089753619/?comment_id=188838454312243")</f>
        <v>https://www.facebook.com/357267201017935/posts/3069910089753619/?comment_id=188838454312243</v>
      </c>
      <c r="O5602">
        <v>0</v>
      </c>
      <c r="P5602">
        <v>0</v>
      </c>
      <c r="Q5602">
        <v>0</v>
      </c>
      <c r="S5602">
        <v>0</v>
      </c>
      <c r="T5602">
        <v>0</v>
      </c>
      <c r="U5602">
        <v>0</v>
      </c>
      <c r="W5602" t="s">
        <v>62</v>
      </c>
    </row>
    <row r="5603" spans="1:42" x14ac:dyDescent="0.35">
      <c r="A5603" t="s">
        <v>45</v>
      </c>
      <c r="B5603" t="s">
        <v>12778</v>
      </c>
      <c r="C5603" t="s">
        <v>58</v>
      </c>
      <c r="D5603" t="s">
        <v>5307</v>
      </c>
      <c r="E5603" t="s">
        <v>5307</v>
      </c>
      <c r="F5603" t="s">
        <v>76</v>
      </c>
      <c r="G5603" t="s">
        <v>12822</v>
      </c>
      <c r="H5603" t="s">
        <v>12823</v>
      </c>
      <c r="J5603" t="str">
        <f>HYPERLINK("https://www.youtube.com/watch?v=DptHjx1M074","https://www.youtube.com/watch?v=DptHjx1M074")</f>
        <v>https://www.youtube.com/watch?v=DptHjx1M074</v>
      </c>
      <c r="O5603">
        <v>0</v>
      </c>
      <c r="P5603">
        <v>0</v>
      </c>
      <c r="Q5603">
        <v>0</v>
      </c>
      <c r="S5603">
        <v>0</v>
      </c>
      <c r="T5603">
        <v>0</v>
      </c>
      <c r="U5603">
        <v>0</v>
      </c>
      <c r="W5603" t="s">
        <v>106</v>
      </c>
    </row>
    <row r="5604" spans="1:42" x14ac:dyDescent="0.35">
      <c r="A5604" t="s">
        <v>45</v>
      </c>
      <c r="B5604" t="s">
        <v>12778</v>
      </c>
      <c r="C5604" t="s">
        <v>58</v>
      </c>
      <c r="D5604" t="s">
        <v>10878</v>
      </c>
      <c r="E5604" t="s">
        <v>10878</v>
      </c>
      <c r="F5604" t="s">
        <v>49</v>
      </c>
      <c r="G5604" t="s">
        <v>12824</v>
      </c>
      <c r="H5604" t="s">
        <v>12825</v>
      </c>
      <c r="J5604" t="str">
        <f>HYPERLINK("https://www.youtube.com/watch?v=MhFcXkB-_ek","https://www.youtube.com/watch?v=MhFcXkB-_ek")</f>
        <v>https://www.youtube.com/watch?v=MhFcXkB-_ek</v>
      </c>
      <c r="O5604">
        <v>0</v>
      </c>
      <c r="P5604">
        <v>0</v>
      </c>
      <c r="Q5604">
        <v>0</v>
      </c>
      <c r="S5604">
        <v>0</v>
      </c>
      <c r="T5604">
        <v>0</v>
      </c>
      <c r="U5604">
        <v>0</v>
      </c>
      <c r="W5604" t="s">
        <v>106</v>
      </c>
    </row>
    <row r="5605" spans="1:42" x14ac:dyDescent="0.35">
      <c r="A5605" t="s">
        <v>45</v>
      </c>
      <c r="B5605" t="s">
        <v>12778</v>
      </c>
      <c r="C5605" t="s">
        <v>58</v>
      </c>
      <c r="D5605" t="s">
        <v>12826</v>
      </c>
      <c r="E5605" t="s">
        <v>12826</v>
      </c>
      <c r="F5605" t="s">
        <v>49</v>
      </c>
      <c r="G5605" t="s">
        <v>9760</v>
      </c>
      <c r="H5605" t="s">
        <v>12827</v>
      </c>
      <c r="J5605" t="str">
        <f>HYPERLINK("https://www.youtube.com/watch?v=9h2vI9n4bpg&amp;lc=Ugxsgld1SpAi6AdPYdh4AaABAg","https://www.youtube.com/watch?v=9h2vI9n4bpg&amp;lc=Ugxsgld1SpAi6AdPYdh4AaABAg")</f>
        <v>https://www.youtube.com/watch?v=9h2vI9n4bpg&amp;lc=Ugxsgld1SpAi6AdPYdh4AaABAg</v>
      </c>
      <c r="O5605">
        <v>0</v>
      </c>
      <c r="P5605">
        <v>0</v>
      </c>
      <c r="Q5605">
        <v>0</v>
      </c>
      <c r="S5605">
        <v>0</v>
      </c>
      <c r="T5605">
        <v>0</v>
      </c>
      <c r="U5605">
        <v>0</v>
      </c>
      <c r="W5605" t="s">
        <v>62</v>
      </c>
    </row>
    <row r="5606" spans="1:42" x14ac:dyDescent="0.35">
      <c r="A5606" t="s">
        <v>45</v>
      </c>
      <c r="B5606" t="s">
        <v>12828</v>
      </c>
      <c r="C5606" t="s">
        <v>47</v>
      </c>
      <c r="D5606" t="s">
        <v>12814</v>
      </c>
      <c r="E5606" t="s">
        <v>12814</v>
      </c>
      <c r="F5606" t="s">
        <v>49</v>
      </c>
      <c r="G5606" t="s">
        <v>12829</v>
      </c>
      <c r="H5606" t="s">
        <v>12830</v>
      </c>
      <c r="J5606" t="str">
        <f>HYPERLINK("https://www.facebook.com/357267201017935/inbox/6876739859070604/","https://www.facebook.com/357267201017935/inbox/6876739859070604/")</f>
        <v>https://www.facebook.com/357267201017935/inbox/6876739859070604/</v>
      </c>
      <c r="O5606">
        <v>0</v>
      </c>
      <c r="P5606">
        <v>0</v>
      </c>
      <c r="Q5606">
        <v>0</v>
      </c>
      <c r="S5606">
        <v>0</v>
      </c>
      <c r="T5606">
        <v>0</v>
      </c>
      <c r="U5606">
        <v>0</v>
      </c>
      <c r="W5606" t="s">
        <v>52</v>
      </c>
    </row>
    <row r="5607" spans="1:42" x14ac:dyDescent="0.35">
      <c r="A5607" t="s">
        <v>45</v>
      </c>
      <c r="B5607" t="s">
        <v>12828</v>
      </c>
      <c r="C5607" t="s">
        <v>47</v>
      </c>
      <c r="D5607" t="s">
        <v>12814</v>
      </c>
      <c r="E5607" t="s">
        <v>12814</v>
      </c>
      <c r="F5607" t="s">
        <v>49</v>
      </c>
      <c r="G5607" t="s">
        <v>50</v>
      </c>
      <c r="H5607" t="s">
        <v>12831</v>
      </c>
      <c r="J5607" t="str">
        <f>HYPERLINK("https://www.facebook.com/357267201017935/inbox/6876739859070604/","https://www.facebook.com/357267201017935/inbox/6876739859070604/")</f>
        <v>https://www.facebook.com/357267201017935/inbox/6876739859070604/</v>
      </c>
      <c r="O5607">
        <v>0</v>
      </c>
      <c r="P5607">
        <v>0</v>
      </c>
      <c r="Q5607">
        <v>0</v>
      </c>
      <c r="S5607">
        <v>0</v>
      </c>
      <c r="T5607">
        <v>0</v>
      </c>
      <c r="U5607">
        <v>0</v>
      </c>
      <c r="W5607" t="s">
        <v>52</v>
      </c>
    </row>
    <row r="5608" spans="1:42" x14ac:dyDescent="0.35">
      <c r="A5608" t="s">
        <v>45</v>
      </c>
      <c r="B5608" t="s">
        <v>12828</v>
      </c>
      <c r="C5608" t="s">
        <v>58</v>
      </c>
      <c r="D5608" t="s">
        <v>12832</v>
      </c>
      <c r="E5608" t="s">
        <v>12832</v>
      </c>
      <c r="F5608" t="s">
        <v>49</v>
      </c>
      <c r="G5608" t="s">
        <v>12833</v>
      </c>
      <c r="H5608" t="s">
        <v>12834</v>
      </c>
      <c r="J5608" t="str">
        <f>HYPERLINK("https://www.youtube.com/watch?v=1f_lARM8bfE","https://www.youtube.com/watch?v=1f_lARM8bfE")</f>
        <v>https://www.youtube.com/watch?v=1f_lARM8bfE</v>
      </c>
      <c r="O5608">
        <v>0</v>
      </c>
      <c r="P5608">
        <v>0</v>
      </c>
      <c r="Q5608">
        <v>0</v>
      </c>
      <c r="S5608">
        <v>0</v>
      </c>
      <c r="T5608">
        <v>0</v>
      </c>
      <c r="U5608">
        <v>0</v>
      </c>
      <c r="W5608" t="s">
        <v>106</v>
      </c>
      <c r="AP5608" t="s">
        <v>101</v>
      </c>
    </row>
    <row r="5609" spans="1:42" x14ac:dyDescent="0.35">
      <c r="A5609" t="s">
        <v>45</v>
      </c>
      <c r="B5609" t="s">
        <v>12828</v>
      </c>
      <c r="C5609" t="s">
        <v>58</v>
      </c>
      <c r="D5609" t="s">
        <v>12400</v>
      </c>
      <c r="E5609" t="s">
        <v>12400</v>
      </c>
      <c r="F5609" t="s">
        <v>49</v>
      </c>
      <c r="G5609" t="s">
        <v>12835</v>
      </c>
      <c r="H5609" t="s">
        <v>12836</v>
      </c>
      <c r="J5609" t="str">
        <f>HYPERLINK("https://www.youtube.com/watch?v=y-5Xn6FfTVw","https://www.youtube.com/watch?v=y-5Xn6FfTVw")</f>
        <v>https://www.youtube.com/watch?v=y-5Xn6FfTVw</v>
      </c>
      <c r="O5609">
        <v>0</v>
      </c>
      <c r="P5609">
        <v>0</v>
      </c>
      <c r="Q5609">
        <v>0</v>
      </c>
      <c r="S5609">
        <v>0</v>
      </c>
      <c r="T5609">
        <v>0</v>
      </c>
      <c r="U5609">
        <v>0</v>
      </c>
      <c r="W5609" t="s">
        <v>106</v>
      </c>
    </row>
    <row r="5610" spans="1:42" x14ac:dyDescent="0.35">
      <c r="A5610" t="s">
        <v>45</v>
      </c>
      <c r="B5610" t="s">
        <v>12828</v>
      </c>
      <c r="C5610" t="s">
        <v>58</v>
      </c>
      <c r="D5610" t="s">
        <v>1099</v>
      </c>
      <c r="E5610" t="s">
        <v>1099</v>
      </c>
      <c r="F5610" t="s">
        <v>76</v>
      </c>
      <c r="G5610" t="s">
        <v>1100</v>
      </c>
      <c r="H5610" t="s">
        <v>12837</v>
      </c>
      <c r="J5610" t="str">
        <f>HYPERLINK("https://www.youtube.com/watch?v=9h2vI9n4bpg&amp;lc=Ugwaim06tYTXjZBBUbB4AaABAg","https://www.youtube.com/watch?v=9h2vI9n4bpg&amp;lc=Ugwaim06tYTXjZBBUbB4AaABAg")</f>
        <v>https://www.youtube.com/watch?v=9h2vI9n4bpg&amp;lc=Ugwaim06tYTXjZBBUbB4AaABAg</v>
      </c>
      <c r="O5610">
        <v>0</v>
      </c>
      <c r="P5610">
        <v>0</v>
      </c>
      <c r="Q5610">
        <v>0</v>
      </c>
      <c r="S5610">
        <v>0</v>
      </c>
      <c r="T5610">
        <v>0</v>
      </c>
      <c r="U5610">
        <v>0</v>
      </c>
      <c r="W5610" t="s">
        <v>62</v>
      </c>
    </row>
    <row r="5611" spans="1:42" x14ac:dyDescent="0.35">
      <c r="A5611" t="s">
        <v>45</v>
      </c>
      <c r="B5611" t="s">
        <v>12828</v>
      </c>
      <c r="C5611" t="s">
        <v>47</v>
      </c>
      <c r="D5611" t="s">
        <v>12838</v>
      </c>
      <c r="E5611" t="s">
        <v>12838</v>
      </c>
      <c r="F5611" t="s">
        <v>49</v>
      </c>
      <c r="G5611" s="1" t="s">
        <v>12839</v>
      </c>
      <c r="H5611" t="s">
        <v>12840</v>
      </c>
      <c r="J5611" t="str">
        <f>HYPERLINK("https://www.facebook.com/454965103328545/posts/734812295343823?comment_id=1261919418533678","https://www.facebook.com/454965103328545/posts/734812295343823?comment_id=1261919418533678")</f>
        <v>https://www.facebook.com/454965103328545/posts/734812295343823?comment_id=1261919418533678</v>
      </c>
      <c r="O5611">
        <v>0</v>
      </c>
      <c r="P5611">
        <v>0</v>
      </c>
      <c r="Q5611">
        <v>0</v>
      </c>
      <c r="S5611">
        <v>0</v>
      </c>
      <c r="T5611">
        <v>0</v>
      </c>
      <c r="U5611">
        <v>0</v>
      </c>
      <c r="W5611" t="s">
        <v>62</v>
      </c>
    </row>
    <row r="5612" spans="1:42" x14ac:dyDescent="0.35">
      <c r="A5612" t="s">
        <v>45</v>
      </c>
      <c r="B5612" t="s">
        <v>12828</v>
      </c>
      <c r="C5612" t="s">
        <v>47</v>
      </c>
      <c r="D5612" t="s">
        <v>11594</v>
      </c>
      <c r="E5612" t="s">
        <v>11594</v>
      </c>
      <c r="F5612" t="s">
        <v>49</v>
      </c>
      <c r="G5612" t="s">
        <v>253</v>
      </c>
      <c r="H5612" t="s">
        <v>12841</v>
      </c>
      <c r="J5612" t="str">
        <f>HYPERLINK("https://www.facebook.com/357267201017935/inbox/6864975576913699/","https://www.facebook.com/357267201017935/inbox/6864975576913699/")</f>
        <v>https://www.facebook.com/357267201017935/inbox/6864975576913699/</v>
      </c>
      <c r="O5612">
        <v>0</v>
      </c>
      <c r="P5612">
        <v>0</v>
      </c>
      <c r="Q5612">
        <v>0</v>
      </c>
      <c r="S5612">
        <v>0</v>
      </c>
      <c r="T5612">
        <v>0</v>
      </c>
      <c r="U5612">
        <v>0</v>
      </c>
      <c r="W5612" t="s">
        <v>52</v>
      </c>
    </row>
    <row r="5613" spans="1:42" x14ac:dyDescent="0.35">
      <c r="A5613" t="s">
        <v>45</v>
      </c>
      <c r="B5613" t="s">
        <v>12828</v>
      </c>
      <c r="C5613" t="s">
        <v>47</v>
      </c>
      <c r="D5613" t="s">
        <v>11594</v>
      </c>
      <c r="E5613" t="s">
        <v>11594</v>
      </c>
      <c r="F5613" t="s">
        <v>49</v>
      </c>
      <c r="G5613" t="s">
        <v>12842</v>
      </c>
      <c r="H5613" t="s">
        <v>12843</v>
      </c>
      <c r="J5613" t="str">
        <f>HYPERLINK("https://www.facebook.com/357267201017935/inbox/6864975576913699/","https://www.facebook.com/357267201017935/inbox/6864975576913699/")</f>
        <v>https://www.facebook.com/357267201017935/inbox/6864975576913699/</v>
      </c>
      <c r="O5613">
        <v>0</v>
      </c>
      <c r="P5613">
        <v>0</v>
      </c>
      <c r="Q5613">
        <v>0</v>
      </c>
      <c r="S5613">
        <v>0</v>
      </c>
      <c r="T5613">
        <v>0</v>
      </c>
      <c r="U5613">
        <v>0</v>
      </c>
      <c r="W5613" t="s">
        <v>52</v>
      </c>
    </row>
    <row r="5614" spans="1:42" x14ac:dyDescent="0.35">
      <c r="A5614" t="s">
        <v>45</v>
      </c>
      <c r="B5614" t="s">
        <v>12828</v>
      </c>
      <c r="C5614" t="s">
        <v>47</v>
      </c>
      <c r="D5614" t="s">
        <v>11594</v>
      </c>
      <c r="E5614" t="s">
        <v>11594</v>
      </c>
      <c r="F5614" t="s">
        <v>49</v>
      </c>
      <c r="G5614" t="s">
        <v>12844</v>
      </c>
      <c r="H5614" t="s">
        <v>12845</v>
      </c>
      <c r="J5614" t="str">
        <f>HYPERLINK("https://www.facebook.com/357267201017935/inbox/6864975576913699/","https://www.facebook.com/357267201017935/inbox/6864975576913699/")</f>
        <v>https://www.facebook.com/357267201017935/inbox/6864975576913699/</v>
      </c>
      <c r="O5614">
        <v>0</v>
      </c>
      <c r="P5614">
        <v>0</v>
      </c>
      <c r="Q5614">
        <v>0</v>
      </c>
      <c r="S5614">
        <v>0</v>
      </c>
      <c r="T5614">
        <v>0</v>
      </c>
      <c r="U5614">
        <v>0</v>
      </c>
      <c r="W5614" t="s">
        <v>52</v>
      </c>
    </row>
    <row r="5615" spans="1:42" x14ac:dyDescent="0.35">
      <c r="A5615" t="s">
        <v>45</v>
      </c>
      <c r="B5615" t="s">
        <v>12828</v>
      </c>
      <c r="C5615" t="s">
        <v>47</v>
      </c>
      <c r="D5615" t="s">
        <v>12846</v>
      </c>
      <c r="E5615" t="s">
        <v>12846</v>
      </c>
      <c r="F5615" t="s">
        <v>49</v>
      </c>
      <c r="G5615" t="s">
        <v>12847</v>
      </c>
      <c r="H5615" t="s">
        <v>12848</v>
      </c>
      <c r="J5615" t="str">
        <f>HYPERLINK("https://www.facebook.com/357267201017935/inbox/6876112165800040/","https://www.facebook.com/357267201017935/inbox/6876112165800040/")</f>
        <v>https://www.facebook.com/357267201017935/inbox/6876112165800040/</v>
      </c>
      <c r="O5615">
        <v>0</v>
      </c>
      <c r="P5615">
        <v>0</v>
      </c>
      <c r="Q5615">
        <v>0</v>
      </c>
      <c r="S5615">
        <v>0</v>
      </c>
      <c r="T5615">
        <v>0</v>
      </c>
      <c r="U5615">
        <v>0</v>
      </c>
      <c r="W5615" t="s">
        <v>52</v>
      </c>
    </row>
    <row r="5616" spans="1:42" x14ac:dyDescent="0.35">
      <c r="A5616" t="s">
        <v>45</v>
      </c>
      <c r="B5616" t="s">
        <v>12828</v>
      </c>
      <c r="C5616" t="s">
        <v>47</v>
      </c>
      <c r="D5616" t="s">
        <v>12846</v>
      </c>
      <c r="E5616" t="s">
        <v>12846</v>
      </c>
      <c r="F5616" t="s">
        <v>49</v>
      </c>
      <c r="G5616" t="s">
        <v>12849</v>
      </c>
      <c r="H5616" t="s">
        <v>12850</v>
      </c>
      <c r="J5616" t="str">
        <f>HYPERLINK("https://www.facebook.com/357267201017935/inbox/6876112165800040/","https://www.facebook.com/357267201017935/inbox/6876112165800040/")</f>
        <v>https://www.facebook.com/357267201017935/inbox/6876112165800040/</v>
      </c>
      <c r="O5616">
        <v>0</v>
      </c>
      <c r="P5616">
        <v>0</v>
      </c>
      <c r="Q5616">
        <v>0</v>
      </c>
      <c r="S5616">
        <v>0</v>
      </c>
      <c r="T5616">
        <v>0</v>
      </c>
      <c r="U5616">
        <v>0</v>
      </c>
      <c r="W5616" t="s">
        <v>52</v>
      </c>
    </row>
    <row r="5617" spans="1:42" x14ac:dyDescent="0.35">
      <c r="A5617" t="s">
        <v>45</v>
      </c>
      <c r="B5617" t="s">
        <v>12828</v>
      </c>
      <c r="C5617" t="s">
        <v>47</v>
      </c>
      <c r="D5617" t="s">
        <v>12851</v>
      </c>
      <c r="E5617" t="s">
        <v>12851</v>
      </c>
      <c r="F5617" t="s">
        <v>49</v>
      </c>
      <c r="G5617" t="s">
        <v>12852</v>
      </c>
      <c r="H5617" t="s">
        <v>12853</v>
      </c>
      <c r="J5617" t="str">
        <f>HYPERLINK("https://www.facebook.com/357267201017935/posts/3069910089753619/?comment_id=1138543247117669","https://www.facebook.com/357267201017935/posts/3069910089753619/?comment_id=1138543247117669")</f>
        <v>https://www.facebook.com/357267201017935/posts/3069910089753619/?comment_id=1138543247117669</v>
      </c>
      <c r="O5617">
        <v>0</v>
      </c>
      <c r="P5617">
        <v>0</v>
      </c>
      <c r="Q5617">
        <v>0</v>
      </c>
      <c r="S5617">
        <v>0</v>
      </c>
      <c r="T5617">
        <v>0</v>
      </c>
      <c r="U5617">
        <v>0</v>
      </c>
      <c r="W5617" t="s">
        <v>62</v>
      </c>
      <c r="AP5617" t="s">
        <v>94</v>
      </c>
    </row>
    <row r="5618" spans="1:42" x14ac:dyDescent="0.35">
      <c r="A5618" t="s">
        <v>45</v>
      </c>
      <c r="B5618" t="s">
        <v>12828</v>
      </c>
      <c r="C5618" t="s">
        <v>47</v>
      </c>
      <c r="D5618" t="s">
        <v>12801</v>
      </c>
      <c r="E5618" t="s">
        <v>12801</v>
      </c>
      <c r="F5618" t="s">
        <v>49</v>
      </c>
      <c r="G5618" t="s">
        <v>12854</v>
      </c>
      <c r="H5618" t="s">
        <v>12855</v>
      </c>
      <c r="J5618" t="str">
        <f>HYPERLINK("https://www.facebook.com/454965103328545/posts/745852590906460?comment_id=388443960283669","https://www.facebook.com/454965103328545/posts/745852590906460?comment_id=388443960283669")</f>
        <v>https://www.facebook.com/454965103328545/posts/745852590906460?comment_id=388443960283669</v>
      </c>
      <c r="O5618">
        <v>0</v>
      </c>
      <c r="P5618">
        <v>0</v>
      </c>
      <c r="Q5618">
        <v>0</v>
      </c>
      <c r="S5618">
        <v>0</v>
      </c>
      <c r="T5618">
        <v>0</v>
      </c>
      <c r="U5618">
        <v>0</v>
      </c>
      <c r="W5618" t="s">
        <v>62</v>
      </c>
    </row>
    <row r="5619" spans="1:42" x14ac:dyDescent="0.35">
      <c r="A5619" t="s">
        <v>45</v>
      </c>
      <c r="B5619" t="s">
        <v>12828</v>
      </c>
      <c r="C5619" t="s">
        <v>139</v>
      </c>
      <c r="D5619" t="s">
        <v>12796</v>
      </c>
      <c r="E5619" t="s">
        <v>12797</v>
      </c>
      <c r="F5619" t="s">
        <v>142</v>
      </c>
      <c r="G5619" t="s">
        <v>12856</v>
      </c>
      <c r="H5619" t="s">
        <v>12857</v>
      </c>
      <c r="J5619" t="str">
        <f>HYPERLINK("https://twitter.com/Tanveer50190409/status/1742166091567141224","https://twitter.com/Tanveer50190409/status/1742166091567141224")</f>
        <v>https://twitter.com/Tanveer50190409/status/1742166091567141224</v>
      </c>
      <c r="K5619" t="s">
        <v>145</v>
      </c>
      <c r="O5619">
        <v>0</v>
      </c>
      <c r="P5619">
        <v>0</v>
      </c>
      <c r="Q5619">
        <v>9</v>
      </c>
      <c r="R5619" t="s">
        <v>12800</v>
      </c>
      <c r="S5619">
        <v>0</v>
      </c>
      <c r="T5619">
        <v>0</v>
      </c>
      <c r="U5619">
        <v>0</v>
      </c>
      <c r="W5619" t="s">
        <v>146</v>
      </c>
      <c r="AP5619" t="s">
        <v>147</v>
      </c>
    </row>
    <row r="5620" spans="1:42" x14ac:dyDescent="0.35">
      <c r="A5620" t="s">
        <v>45</v>
      </c>
      <c r="B5620" t="s">
        <v>12828</v>
      </c>
      <c r="C5620" t="s">
        <v>47</v>
      </c>
      <c r="D5620" t="s">
        <v>12858</v>
      </c>
      <c r="E5620" t="s">
        <v>12858</v>
      </c>
      <c r="F5620" t="s">
        <v>49</v>
      </c>
      <c r="G5620" t="s">
        <v>56</v>
      </c>
      <c r="H5620" t="s">
        <v>12859</v>
      </c>
      <c r="J5620" t="str">
        <f>HYPERLINK("https://www.facebook.com/357267201017935/inbox/6875818945829362/","https://www.facebook.com/357267201017935/inbox/6875818945829362/")</f>
        <v>https://www.facebook.com/357267201017935/inbox/6875818945829362/</v>
      </c>
      <c r="O5620">
        <v>0</v>
      </c>
      <c r="P5620">
        <v>0</v>
      </c>
      <c r="Q5620">
        <v>0</v>
      </c>
      <c r="S5620">
        <v>0</v>
      </c>
      <c r="T5620">
        <v>0</v>
      </c>
      <c r="U5620">
        <v>0</v>
      </c>
      <c r="W5620" t="s">
        <v>52</v>
      </c>
    </row>
    <row r="5621" spans="1:42" x14ac:dyDescent="0.35">
      <c r="A5621" t="s">
        <v>45</v>
      </c>
      <c r="B5621" t="s">
        <v>12828</v>
      </c>
      <c r="C5621" t="s">
        <v>58</v>
      </c>
      <c r="D5621" t="s">
        <v>12860</v>
      </c>
      <c r="E5621" t="s">
        <v>12860</v>
      </c>
      <c r="F5621" t="s">
        <v>76</v>
      </c>
      <c r="G5621" t="s">
        <v>12861</v>
      </c>
      <c r="H5621" t="s">
        <v>12862</v>
      </c>
      <c r="J5621" t="str">
        <f>HYPERLINK("https://www.youtube.com/watch?v=6W1UbOC-DcI","https://www.youtube.com/watch?v=6W1UbOC-DcI")</f>
        <v>https://www.youtube.com/watch?v=6W1UbOC-DcI</v>
      </c>
      <c r="O5621">
        <v>0</v>
      </c>
      <c r="P5621">
        <v>0</v>
      </c>
      <c r="Q5621">
        <v>0</v>
      </c>
      <c r="S5621">
        <v>0</v>
      </c>
      <c r="T5621">
        <v>0</v>
      </c>
      <c r="U5621">
        <v>0</v>
      </c>
      <c r="W5621" t="s">
        <v>106</v>
      </c>
    </row>
    <row r="5622" spans="1:42" x14ac:dyDescent="0.35">
      <c r="A5622" t="s">
        <v>45</v>
      </c>
      <c r="B5622" t="s">
        <v>12828</v>
      </c>
      <c r="C5622" t="s">
        <v>47</v>
      </c>
      <c r="D5622" t="s">
        <v>45</v>
      </c>
      <c r="E5622" t="s">
        <v>45</v>
      </c>
      <c r="F5622" t="s">
        <v>49</v>
      </c>
      <c r="G5622" t="s">
        <v>12863</v>
      </c>
      <c r="H5622" t="s">
        <v>12864</v>
      </c>
      <c r="J5622" t="str">
        <f>HYPERLINK("https://www.facebook.com/357267201017935_745852590906460","https://www.facebook.com/357267201017935_745852590906460")</f>
        <v>https://www.facebook.com/357267201017935_745852590906460</v>
      </c>
      <c r="O5622">
        <v>0</v>
      </c>
      <c r="P5622">
        <v>0</v>
      </c>
      <c r="Q5622">
        <v>0</v>
      </c>
      <c r="S5622">
        <v>2</v>
      </c>
      <c r="T5622">
        <v>52</v>
      </c>
      <c r="U5622">
        <v>4</v>
      </c>
      <c r="W5622" t="s">
        <v>106</v>
      </c>
    </row>
    <row r="5623" spans="1:42" x14ac:dyDescent="0.35">
      <c r="A5623" t="s">
        <v>45</v>
      </c>
      <c r="B5623" t="s">
        <v>12828</v>
      </c>
      <c r="C5623" t="s">
        <v>139</v>
      </c>
      <c r="D5623" t="s">
        <v>190</v>
      </c>
      <c r="E5623" t="s">
        <v>45</v>
      </c>
      <c r="F5623" t="s">
        <v>49</v>
      </c>
      <c r="G5623" t="s">
        <v>12865</v>
      </c>
      <c r="H5623" t="s">
        <v>12866</v>
      </c>
      <c r="J5623" t="str">
        <f>HYPERLINK("https://twitter.com/FinoPaymntsBank/status/1742146078571393103","https://twitter.com/FinoPaymntsBank/status/1742146078571393103")</f>
        <v>https://twitter.com/FinoPaymntsBank/status/1742146078571393103</v>
      </c>
      <c r="K5623" t="s">
        <v>145</v>
      </c>
      <c r="O5623">
        <v>0</v>
      </c>
      <c r="P5623">
        <v>0</v>
      </c>
      <c r="Q5623">
        <v>8287</v>
      </c>
      <c r="R5623" t="s">
        <v>193</v>
      </c>
      <c r="S5623">
        <v>0</v>
      </c>
      <c r="T5623">
        <v>0</v>
      </c>
      <c r="U5623">
        <v>0</v>
      </c>
      <c r="W5623" t="s">
        <v>146</v>
      </c>
    </row>
    <row r="5624" spans="1:42" x14ac:dyDescent="0.35">
      <c r="A5624" t="s">
        <v>45</v>
      </c>
      <c r="B5624" t="s">
        <v>12828</v>
      </c>
      <c r="C5624" t="s">
        <v>58</v>
      </c>
      <c r="D5624" t="s">
        <v>45</v>
      </c>
      <c r="E5624" t="s">
        <v>45</v>
      </c>
      <c r="F5624" t="s">
        <v>49</v>
      </c>
      <c r="G5624" t="s">
        <v>12867</v>
      </c>
      <c r="H5624" t="s">
        <v>12868</v>
      </c>
      <c r="J5624" t="str">
        <f>HYPERLINK("https://www.youtube.com/watch?v=9h2vI9n4bpg","https://www.youtube.com/watch?v=9h2vI9n4bpg")</f>
        <v>https://www.youtube.com/watch?v=9h2vI9n4bpg</v>
      </c>
      <c r="O5624">
        <v>0</v>
      </c>
      <c r="P5624">
        <v>0</v>
      </c>
      <c r="Q5624">
        <v>0</v>
      </c>
      <c r="S5624">
        <v>0</v>
      </c>
      <c r="T5624">
        <v>0</v>
      </c>
      <c r="U5624">
        <v>0</v>
      </c>
      <c r="W5624" t="s">
        <v>106</v>
      </c>
    </row>
    <row r="5625" spans="1:42" x14ac:dyDescent="0.35">
      <c r="A5625" t="s">
        <v>45</v>
      </c>
      <c r="B5625" t="s">
        <v>12828</v>
      </c>
      <c r="C5625" t="s">
        <v>102</v>
      </c>
      <c r="D5625" t="s">
        <v>965</v>
      </c>
      <c r="E5625" t="s">
        <v>965</v>
      </c>
      <c r="F5625" t="s">
        <v>49</v>
      </c>
      <c r="G5625" t="s">
        <v>12869</v>
      </c>
      <c r="H5625" t="s">
        <v>12870</v>
      </c>
      <c r="J5625" t="str">
        <f>HYPERLINK("https://www.linkedin.com/feed/update/urn:li:ugcPost:7147911480334598144","https://www.linkedin.com/feed/update/urn:li:ugcPost:7147911480334598144")</f>
        <v>https://www.linkedin.com/feed/update/urn:li:ugcPost:7147911480334598144</v>
      </c>
      <c r="O5625">
        <v>0</v>
      </c>
      <c r="P5625">
        <v>0</v>
      </c>
      <c r="Q5625">
        <v>0</v>
      </c>
      <c r="S5625">
        <v>4</v>
      </c>
      <c r="T5625">
        <v>129</v>
      </c>
      <c r="U5625">
        <v>0</v>
      </c>
      <c r="W5625" t="s">
        <v>106</v>
      </c>
    </row>
    <row r="5626" spans="1:42" x14ac:dyDescent="0.35">
      <c r="A5626" t="s">
        <v>45</v>
      </c>
      <c r="B5626" t="s">
        <v>12828</v>
      </c>
      <c r="C5626" t="s">
        <v>47</v>
      </c>
      <c r="D5626" t="s">
        <v>12871</v>
      </c>
      <c r="E5626" t="s">
        <v>12871</v>
      </c>
      <c r="F5626" t="s">
        <v>142</v>
      </c>
      <c r="G5626" t="s">
        <v>12872</v>
      </c>
      <c r="H5626" t="s">
        <v>12873</v>
      </c>
      <c r="J5626" t="str">
        <f>HYPERLINK("https://www.facebook.com/454965103328545/posts/745842150907504?comment_id=357476420230796","https://www.facebook.com/454965103328545/posts/745842150907504?comment_id=357476420230796")</f>
        <v>https://www.facebook.com/454965103328545/posts/745842150907504?comment_id=357476420230796</v>
      </c>
      <c r="O5626">
        <v>0</v>
      </c>
      <c r="P5626">
        <v>0</v>
      </c>
      <c r="Q5626">
        <v>0</v>
      </c>
      <c r="S5626">
        <v>0</v>
      </c>
      <c r="T5626">
        <v>0</v>
      </c>
      <c r="U5626">
        <v>0</v>
      </c>
      <c r="W5626" t="s">
        <v>62</v>
      </c>
      <c r="AP5626" t="s">
        <v>147</v>
      </c>
    </row>
    <row r="5627" spans="1:42" x14ac:dyDescent="0.35">
      <c r="A5627" t="s">
        <v>45</v>
      </c>
      <c r="B5627" t="s">
        <v>12828</v>
      </c>
      <c r="C5627" t="s">
        <v>47</v>
      </c>
      <c r="D5627" t="s">
        <v>3912</v>
      </c>
      <c r="E5627" t="s">
        <v>3912</v>
      </c>
      <c r="F5627" t="s">
        <v>49</v>
      </c>
      <c r="G5627" t="s">
        <v>253</v>
      </c>
      <c r="H5627" t="s">
        <v>12874</v>
      </c>
      <c r="J5627" t="str">
        <f>HYPERLINK("https://www.facebook.com/357267201017935/inbox/6704881606256431/","https://www.facebook.com/357267201017935/inbox/6704881606256431/")</f>
        <v>https://www.facebook.com/357267201017935/inbox/6704881606256431/</v>
      </c>
      <c r="O5627">
        <v>0</v>
      </c>
      <c r="P5627">
        <v>0</v>
      </c>
      <c r="Q5627">
        <v>0</v>
      </c>
      <c r="S5627">
        <v>0</v>
      </c>
      <c r="T5627">
        <v>0</v>
      </c>
      <c r="U5627">
        <v>0</v>
      </c>
      <c r="W5627" t="s">
        <v>52</v>
      </c>
    </row>
    <row r="5628" spans="1:42" x14ac:dyDescent="0.35">
      <c r="A5628" t="s">
        <v>45</v>
      </c>
      <c r="B5628" t="s">
        <v>12828</v>
      </c>
      <c r="C5628" t="s">
        <v>47</v>
      </c>
      <c r="F5628" t="s">
        <v>49</v>
      </c>
      <c r="G5628" t="s">
        <v>12875</v>
      </c>
      <c r="H5628" t="s">
        <v>12876</v>
      </c>
      <c r="J5628" t="str">
        <f>HYPERLINK("https://www.facebook.com/117513411238941_1726880461165464","https://www.facebook.com/117513411238941_1726880461165464")</f>
        <v>https://www.facebook.com/117513411238941_1726880461165464</v>
      </c>
      <c r="O5628">
        <v>0</v>
      </c>
      <c r="P5628">
        <v>0</v>
      </c>
      <c r="Q5628">
        <v>0</v>
      </c>
      <c r="S5628">
        <v>0</v>
      </c>
      <c r="T5628">
        <v>0</v>
      </c>
      <c r="U5628">
        <v>0</v>
      </c>
      <c r="W5628" t="s">
        <v>106</v>
      </c>
    </row>
    <row r="5629" spans="1:42" x14ac:dyDescent="0.35">
      <c r="A5629" t="s">
        <v>45</v>
      </c>
      <c r="B5629" t="s">
        <v>12828</v>
      </c>
      <c r="C5629" t="s">
        <v>139</v>
      </c>
      <c r="D5629" t="s">
        <v>190</v>
      </c>
      <c r="E5629" t="s">
        <v>45</v>
      </c>
      <c r="F5629" t="s">
        <v>49</v>
      </c>
      <c r="G5629" t="s">
        <v>12877</v>
      </c>
      <c r="H5629" t="s">
        <v>12878</v>
      </c>
      <c r="J5629" t="str">
        <f>HYPERLINK("https://twitter.com/FinoPaymntsBank/status/1742138905804132419","https://twitter.com/FinoPaymntsBank/status/1742138905804132419")</f>
        <v>https://twitter.com/FinoPaymntsBank/status/1742138905804132419</v>
      </c>
      <c r="K5629" t="s">
        <v>145</v>
      </c>
      <c r="O5629">
        <v>0</v>
      </c>
      <c r="P5629">
        <v>0</v>
      </c>
      <c r="Q5629">
        <v>8287</v>
      </c>
      <c r="R5629" t="s">
        <v>193</v>
      </c>
      <c r="S5629">
        <v>0</v>
      </c>
      <c r="T5629">
        <v>0</v>
      </c>
      <c r="U5629">
        <v>0</v>
      </c>
      <c r="W5629" t="s">
        <v>146</v>
      </c>
    </row>
    <row r="5630" spans="1:42" x14ac:dyDescent="0.35">
      <c r="A5630" t="s">
        <v>45</v>
      </c>
      <c r="B5630" t="s">
        <v>12828</v>
      </c>
      <c r="C5630" t="s">
        <v>58</v>
      </c>
      <c r="D5630" t="s">
        <v>45</v>
      </c>
      <c r="E5630" t="s">
        <v>45</v>
      </c>
      <c r="F5630" t="s">
        <v>49</v>
      </c>
      <c r="G5630" t="s">
        <v>12879</v>
      </c>
      <c r="H5630" t="s">
        <v>12880</v>
      </c>
      <c r="J5630" t="str">
        <f>HYPERLINK("https://www.youtube.com/watch?v=8zjj8z_i6I8","https://www.youtube.com/watch?v=8zjj8z_i6I8")</f>
        <v>https://www.youtube.com/watch?v=8zjj8z_i6I8</v>
      </c>
      <c r="O5630">
        <v>0</v>
      </c>
      <c r="P5630">
        <v>0</v>
      </c>
      <c r="Q5630">
        <v>0</v>
      </c>
      <c r="S5630">
        <v>0</v>
      </c>
      <c r="T5630">
        <v>0</v>
      </c>
      <c r="U5630">
        <v>0</v>
      </c>
      <c r="W5630" t="s">
        <v>106</v>
      </c>
    </row>
    <row r="5631" spans="1:42" x14ac:dyDescent="0.35">
      <c r="A5631" t="s">
        <v>45</v>
      </c>
      <c r="B5631" t="s">
        <v>12828</v>
      </c>
      <c r="C5631" t="s">
        <v>47</v>
      </c>
      <c r="D5631" t="s">
        <v>45</v>
      </c>
      <c r="E5631" t="s">
        <v>45</v>
      </c>
      <c r="F5631" t="s">
        <v>49</v>
      </c>
      <c r="G5631" t="s">
        <v>12863</v>
      </c>
      <c r="H5631" t="s">
        <v>12881</v>
      </c>
      <c r="J5631" t="str">
        <f>HYPERLINK("https://www.facebook.com/357267201017935_745842150907504","https://www.facebook.com/357267201017935_745842150907504")</f>
        <v>https://www.facebook.com/357267201017935_745842150907504</v>
      </c>
      <c r="O5631">
        <v>0</v>
      </c>
      <c r="P5631">
        <v>0</v>
      </c>
      <c r="Q5631">
        <v>0</v>
      </c>
      <c r="S5631">
        <v>1</v>
      </c>
      <c r="T5631">
        <v>6</v>
      </c>
      <c r="U5631">
        <v>0</v>
      </c>
      <c r="W5631" t="s">
        <v>106</v>
      </c>
    </row>
    <row r="5632" spans="1:42" x14ac:dyDescent="0.35">
      <c r="A5632" t="s">
        <v>45</v>
      </c>
      <c r="B5632" t="s">
        <v>12828</v>
      </c>
      <c r="C5632" t="s">
        <v>47</v>
      </c>
      <c r="D5632" t="s">
        <v>12882</v>
      </c>
      <c r="E5632" t="s">
        <v>12882</v>
      </c>
      <c r="F5632" t="s">
        <v>49</v>
      </c>
      <c r="G5632" t="s">
        <v>253</v>
      </c>
      <c r="H5632" t="s">
        <v>12883</v>
      </c>
      <c r="J5632" t="str">
        <f>HYPERLINK("https://www.facebook.com/FinoPaymentsBank/manager/messages/?threadid=928683792008992&amp;amp;folder=inbox","https://www.facebook.com/FinoPaymentsBank/manager/messages/?threadid=928683792008992&amp;amp;folder=inbox")</f>
        <v>https://www.facebook.com/FinoPaymentsBank/manager/messages/?threadid=928683792008992&amp;amp;folder=inbox</v>
      </c>
      <c r="O5632">
        <v>0</v>
      </c>
      <c r="P5632">
        <v>0</v>
      </c>
      <c r="Q5632">
        <v>0</v>
      </c>
      <c r="S5632">
        <v>0</v>
      </c>
      <c r="T5632">
        <v>0</v>
      </c>
      <c r="U5632">
        <v>0</v>
      </c>
      <c r="W5632" t="s">
        <v>52</v>
      </c>
    </row>
    <row r="5633" spans="1:42" x14ac:dyDescent="0.35">
      <c r="A5633" t="s">
        <v>45</v>
      </c>
      <c r="B5633" t="s">
        <v>12828</v>
      </c>
      <c r="C5633" t="s">
        <v>139</v>
      </c>
      <c r="D5633" t="s">
        <v>12884</v>
      </c>
      <c r="E5633" t="s">
        <v>12885</v>
      </c>
      <c r="F5633" t="s">
        <v>49</v>
      </c>
      <c r="G5633" t="s">
        <v>12886</v>
      </c>
      <c r="H5633" t="s">
        <v>12887</v>
      </c>
      <c r="J5633" t="str">
        <f>HYPERLINK("https://twitter.com/REETESHGAUTAM6/status/1742121184882573414","https://twitter.com/REETESHGAUTAM6/status/1742121184882573414")</f>
        <v>https://twitter.com/REETESHGAUTAM6/status/1742121184882573414</v>
      </c>
      <c r="K5633" t="s">
        <v>145</v>
      </c>
      <c r="O5633">
        <v>0</v>
      </c>
      <c r="P5633">
        <v>0</v>
      </c>
      <c r="Q5633">
        <v>14</v>
      </c>
      <c r="R5633" t="s">
        <v>12888</v>
      </c>
      <c r="S5633">
        <v>0</v>
      </c>
      <c r="T5633">
        <v>0</v>
      </c>
      <c r="U5633">
        <v>0</v>
      </c>
      <c r="W5633" t="s">
        <v>52</v>
      </c>
      <c r="AO5633" t="s">
        <v>119</v>
      </c>
      <c r="AP5633" t="s">
        <v>101</v>
      </c>
    </row>
    <row r="5634" spans="1:42" x14ac:dyDescent="0.35">
      <c r="A5634" t="s">
        <v>45</v>
      </c>
      <c r="B5634" t="s">
        <v>12828</v>
      </c>
      <c r="C5634" t="s">
        <v>139</v>
      </c>
      <c r="D5634" t="s">
        <v>12884</v>
      </c>
      <c r="E5634" t="s">
        <v>12885</v>
      </c>
      <c r="F5634" t="s">
        <v>49</v>
      </c>
      <c r="G5634" t="s">
        <v>12889</v>
      </c>
      <c r="H5634" t="s">
        <v>12890</v>
      </c>
      <c r="J5634" t="str">
        <f>HYPERLINK("https://twitter.com/REETESHGAUTAM6/status/1742121155123892581","https://twitter.com/REETESHGAUTAM6/status/1742121155123892581")</f>
        <v>https://twitter.com/REETESHGAUTAM6/status/1742121155123892581</v>
      </c>
      <c r="K5634" t="s">
        <v>145</v>
      </c>
      <c r="O5634">
        <v>0</v>
      </c>
      <c r="P5634">
        <v>0</v>
      </c>
      <c r="Q5634">
        <v>14</v>
      </c>
      <c r="R5634" t="s">
        <v>12888</v>
      </c>
      <c r="S5634">
        <v>0</v>
      </c>
      <c r="T5634">
        <v>0</v>
      </c>
      <c r="U5634">
        <v>0</v>
      </c>
      <c r="W5634" t="s">
        <v>52</v>
      </c>
    </row>
    <row r="5635" spans="1:42" x14ac:dyDescent="0.35">
      <c r="A5635" t="s">
        <v>45</v>
      </c>
      <c r="B5635" t="s">
        <v>12828</v>
      </c>
      <c r="C5635" t="s">
        <v>58</v>
      </c>
      <c r="D5635" t="s">
        <v>1240</v>
      </c>
      <c r="E5635" t="s">
        <v>1240</v>
      </c>
      <c r="F5635" t="s">
        <v>49</v>
      </c>
      <c r="G5635" t="s">
        <v>12891</v>
      </c>
      <c r="H5635" t="s">
        <v>12892</v>
      </c>
      <c r="J5635" t="str">
        <f>HYPERLINK("https://www.youtube.com/watch?v=z-goGW_pJ9Q","https://www.youtube.com/watch?v=z-goGW_pJ9Q")</f>
        <v>https://www.youtube.com/watch?v=z-goGW_pJ9Q</v>
      </c>
      <c r="O5635">
        <v>0</v>
      </c>
      <c r="P5635">
        <v>0</v>
      </c>
      <c r="Q5635">
        <v>0</v>
      </c>
      <c r="S5635">
        <v>0</v>
      </c>
      <c r="T5635">
        <v>0</v>
      </c>
      <c r="U5635">
        <v>0</v>
      </c>
      <c r="W5635" t="s">
        <v>106</v>
      </c>
      <c r="AP5635" t="s">
        <v>101</v>
      </c>
    </row>
    <row r="5636" spans="1:42" x14ac:dyDescent="0.35">
      <c r="A5636" t="s">
        <v>45</v>
      </c>
      <c r="B5636" t="s">
        <v>12828</v>
      </c>
      <c r="C5636" t="s">
        <v>58</v>
      </c>
      <c r="D5636" t="s">
        <v>12893</v>
      </c>
      <c r="E5636" t="s">
        <v>12893</v>
      </c>
      <c r="F5636" t="s">
        <v>49</v>
      </c>
      <c r="G5636" t="s">
        <v>12894</v>
      </c>
      <c r="H5636" t="s">
        <v>12895</v>
      </c>
      <c r="J5636" t="str">
        <f>HYPERLINK("https://www.youtube.com/watch?v=QicAsJ-v4Ro","https://www.youtube.com/watch?v=QicAsJ-v4Ro")</f>
        <v>https://www.youtube.com/watch?v=QicAsJ-v4Ro</v>
      </c>
      <c r="O5636">
        <v>0</v>
      </c>
      <c r="P5636">
        <v>0</v>
      </c>
      <c r="Q5636">
        <v>0</v>
      </c>
      <c r="S5636">
        <v>0</v>
      </c>
      <c r="T5636">
        <v>0</v>
      </c>
      <c r="U5636">
        <v>0</v>
      </c>
      <c r="W5636" t="s">
        <v>106</v>
      </c>
      <c r="AP5636" t="s">
        <v>147</v>
      </c>
    </row>
    <row r="5637" spans="1:42" x14ac:dyDescent="0.35">
      <c r="A5637" t="s">
        <v>45</v>
      </c>
      <c r="B5637" t="s">
        <v>12828</v>
      </c>
      <c r="C5637" t="s">
        <v>47</v>
      </c>
      <c r="D5637" t="s">
        <v>12896</v>
      </c>
      <c r="E5637" t="s">
        <v>12896</v>
      </c>
      <c r="F5637" t="s">
        <v>49</v>
      </c>
      <c r="G5637" t="s">
        <v>12897</v>
      </c>
      <c r="H5637" t="s">
        <v>12898</v>
      </c>
      <c r="J5637" t="str">
        <f>HYPERLINK("https://www.facebook.com/357267201017935/posts/3069910089753619/?comment_id=7445380815472772","https://www.facebook.com/357267201017935/posts/3069910089753619/?comment_id=7445380815472772")</f>
        <v>https://www.facebook.com/357267201017935/posts/3069910089753619/?comment_id=7445380815472772</v>
      </c>
      <c r="O5637">
        <v>0</v>
      </c>
      <c r="P5637">
        <v>0</v>
      </c>
      <c r="Q5637">
        <v>0</v>
      </c>
      <c r="S5637">
        <v>0</v>
      </c>
      <c r="T5637">
        <v>0</v>
      </c>
      <c r="U5637">
        <v>0</v>
      </c>
      <c r="W5637" t="s">
        <v>62</v>
      </c>
    </row>
    <row r="5638" spans="1:42" x14ac:dyDescent="0.35">
      <c r="A5638" t="s">
        <v>45</v>
      </c>
      <c r="B5638" t="s">
        <v>12828</v>
      </c>
      <c r="C5638" t="s">
        <v>47</v>
      </c>
      <c r="D5638" t="s">
        <v>12899</v>
      </c>
      <c r="E5638" t="s">
        <v>12899</v>
      </c>
      <c r="F5638" t="s">
        <v>142</v>
      </c>
      <c r="G5638" t="s">
        <v>12900</v>
      </c>
      <c r="H5638" t="s">
        <v>12901</v>
      </c>
      <c r="J5638" t="str">
        <f>HYPERLINK("https://www.facebook.com/454965103328545/posts/744159567742429?comment_id=1064153574900324","https://www.facebook.com/454965103328545/posts/744159567742429?comment_id=1064153574900324")</f>
        <v>https://www.facebook.com/454965103328545/posts/744159567742429?comment_id=1064153574900324</v>
      </c>
      <c r="O5638">
        <v>0</v>
      </c>
      <c r="P5638">
        <v>0</v>
      </c>
      <c r="Q5638">
        <v>0</v>
      </c>
      <c r="S5638">
        <v>0</v>
      </c>
      <c r="T5638">
        <v>0</v>
      </c>
      <c r="U5638">
        <v>0</v>
      </c>
      <c r="W5638" t="s">
        <v>62</v>
      </c>
    </row>
    <row r="5639" spans="1:42" x14ac:dyDescent="0.35">
      <c r="A5639" t="s">
        <v>45</v>
      </c>
      <c r="B5639" t="s">
        <v>12828</v>
      </c>
      <c r="C5639" t="s">
        <v>47</v>
      </c>
      <c r="D5639" t="s">
        <v>12899</v>
      </c>
      <c r="E5639" t="s">
        <v>12899</v>
      </c>
      <c r="F5639" t="s">
        <v>142</v>
      </c>
      <c r="G5639" t="s">
        <v>12752</v>
      </c>
      <c r="H5639" t="s">
        <v>12902</v>
      </c>
      <c r="J5639" t="str">
        <f>HYPERLINK("https://www.facebook.com/454965103328545/posts/744159567742429?comment_id=330321913180781","https://www.facebook.com/454965103328545/posts/744159567742429?comment_id=330321913180781")</f>
        <v>https://www.facebook.com/454965103328545/posts/744159567742429?comment_id=330321913180781</v>
      </c>
      <c r="O5639">
        <v>0</v>
      </c>
      <c r="P5639">
        <v>0</v>
      </c>
      <c r="Q5639">
        <v>0</v>
      </c>
      <c r="S5639">
        <v>0</v>
      </c>
      <c r="T5639">
        <v>0</v>
      </c>
      <c r="U5639">
        <v>0</v>
      </c>
      <c r="W5639" t="s">
        <v>62</v>
      </c>
    </row>
    <row r="5640" spans="1:42" x14ac:dyDescent="0.35">
      <c r="A5640" t="s">
        <v>45</v>
      </c>
      <c r="B5640" t="s">
        <v>12828</v>
      </c>
      <c r="C5640" t="s">
        <v>139</v>
      </c>
      <c r="D5640" t="s">
        <v>12903</v>
      </c>
      <c r="E5640" t="s">
        <v>12904</v>
      </c>
      <c r="F5640" t="s">
        <v>142</v>
      </c>
      <c r="G5640" t="s">
        <v>12905</v>
      </c>
      <c r="H5640" t="s">
        <v>12906</v>
      </c>
      <c r="J5640" t="str">
        <f>HYPERLINK("https://twitter.com/service_fc/status/1742059382475481233","https://twitter.com/service_fc/status/1742059382475481233")</f>
        <v>https://twitter.com/service_fc/status/1742059382475481233</v>
      </c>
      <c r="O5640">
        <v>0</v>
      </c>
      <c r="P5640">
        <v>0</v>
      </c>
      <c r="Q5640">
        <v>2330</v>
      </c>
      <c r="R5640" t="s">
        <v>667</v>
      </c>
      <c r="S5640">
        <v>0</v>
      </c>
      <c r="T5640">
        <v>0</v>
      </c>
      <c r="U5640">
        <v>0</v>
      </c>
      <c r="V5640" t="s">
        <v>642</v>
      </c>
      <c r="W5640" t="s">
        <v>552</v>
      </c>
    </row>
    <row r="5641" spans="1:42" x14ac:dyDescent="0.35">
      <c r="A5641" t="s">
        <v>45</v>
      </c>
      <c r="B5641" t="s">
        <v>12828</v>
      </c>
      <c r="C5641" t="s">
        <v>139</v>
      </c>
      <c r="D5641" t="s">
        <v>5888</v>
      </c>
      <c r="E5641" t="s">
        <v>5889</v>
      </c>
      <c r="F5641" t="s">
        <v>142</v>
      </c>
      <c r="G5641" t="s">
        <v>12907</v>
      </c>
      <c r="H5641" t="s">
        <v>12908</v>
      </c>
      <c r="J5641" t="str">
        <f>HYPERLINK("https://twitter.com/Priyankagangati/status/1742053654234898442","https://twitter.com/Priyankagangati/status/1742053654234898442")</f>
        <v>https://twitter.com/Priyankagangati/status/1742053654234898442</v>
      </c>
      <c r="K5641" t="s">
        <v>1769</v>
      </c>
      <c r="O5641">
        <v>0</v>
      </c>
      <c r="P5641">
        <v>0</v>
      </c>
      <c r="Q5641">
        <v>0</v>
      </c>
      <c r="R5641" t="s">
        <v>5892</v>
      </c>
      <c r="S5641">
        <v>0</v>
      </c>
      <c r="T5641">
        <v>0</v>
      </c>
      <c r="U5641">
        <v>0</v>
      </c>
      <c r="W5641" t="s">
        <v>146</v>
      </c>
    </row>
    <row r="5642" spans="1:42" x14ac:dyDescent="0.35">
      <c r="A5642" t="s">
        <v>45</v>
      </c>
      <c r="B5642" t="s">
        <v>12828</v>
      </c>
      <c r="C5642" t="s">
        <v>139</v>
      </c>
      <c r="D5642" t="s">
        <v>5888</v>
      </c>
      <c r="E5642" t="s">
        <v>5889</v>
      </c>
      <c r="F5642" t="s">
        <v>142</v>
      </c>
      <c r="G5642" t="s">
        <v>12905</v>
      </c>
      <c r="H5642" t="s">
        <v>12909</v>
      </c>
      <c r="J5642" t="str">
        <f>HYPERLINK("https://twitter.com/Priyankagangati/status/1742052528726978816","https://twitter.com/Priyankagangati/status/1742052528726978816")</f>
        <v>https://twitter.com/Priyankagangati/status/1742052528726978816</v>
      </c>
      <c r="K5642" t="s">
        <v>1769</v>
      </c>
      <c r="O5642">
        <v>0</v>
      </c>
      <c r="P5642">
        <v>0</v>
      </c>
      <c r="Q5642">
        <v>0</v>
      </c>
      <c r="R5642" t="s">
        <v>5892</v>
      </c>
      <c r="S5642">
        <v>0</v>
      </c>
      <c r="T5642">
        <v>0</v>
      </c>
      <c r="U5642">
        <v>0</v>
      </c>
      <c r="W5642" t="s">
        <v>146</v>
      </c>
    </row>
    <row r="5643" spans="1:42" x14ac:dyDescent="0.35">
      <c r="A5643" t="s">
        <v>45</v>
      </c>
      <c r="B5643" t="s">
        <v>12828</v>
      </c>
      <c r="C5643" t="s">
        <v>139</v>
      </c>
      <c r="D5643" t="s">
        <v>5888</v>
      </c>
      <c r="E5643" t="s">
        <v>5889</v>
      </c>
      <c r="F5643" t="s">
        <v>49</v>
      </c>
      <c r="G5643" t="s">
        <v>12910</v>
      </c>
      <c r="H5643" t="s">
        <v>12911</v>
      </c>
      <c r="J5643" t="str">
        <f>HYPERLINK("https://twitter.com/Priyankagangati/status/1742051883190026434","https://twitter.com/Priyankagangati/status/1742051883190026434")</f>
        <v>https://twitter.com/Priyankagangati/status/1742051883190026434</v>
      </c>
      <c r="K5643" t="s">
        <v>1769</v>
      </c>
      <c r="O5643">
        <v>0</v>
      </c>
      <c r="P5643">
        <v>0</v>
      </c>
      <c r="Q5643">
        <v>0</v>
      </c>
      <c r="R5643" t="s">
        <v>5892</v>
      </c>
      <c r="S5643">
        <v>0</v>
      </c>
      <c r="T5643">
        <v>0</v>
      </c>
      <c r="U5643">
        <v>0</v>
      </c>
      <c r="W5643" t="s">
        <v>146</v>
      </c>
    </row>
    <row r="5644" spans="1:42" x14ac:dyDescent="0.35">
      <c r="A5644" t="s">
        <v>45</v>
      </c>
      <c r="B5644" t="s">
        <v>12828</v>
      </c>
      <c r="C5644" t="s">
        <v>139</v>
      </c>
      <c r="D5644" t="s">
        <v>5888</v>
      </c>
      <c r="E5644" t="s">
        <v>5889</v>
      </c>
      <c r="F5644" t="s">
        <v>49</v>
      </c>
      <c r="G5644" t="s">
        <v>12912</v>
      </c>
      <c r="H5644" t="s">
        <v>12913</v>
      </c>
      <c r="J5644" t="str">
        <f>HYPERLINK("https://twitter.com/Priyankagangati/status/1742050650391790012","https://twitter.com/Priyankagangati/status/1742050650391790012")</f>
        <v>https://twitter.com/Priyankagangati/status/1742050650391790012</v>
      </c>
      <c r="K5644" t="s">
        <v>1769</v>
      </c>
      <c r="O5644">
        <v>0</v>
      </c>
      <c r="P5644">
        <v>0</v>
      </c>
      <c r="Q5644">
        <v>0</v>
      </c>
      <c r="R5644" t="s">
        <v>5892</v>
      </c>
      <c r="S5644">
        <v>0</v>
      </c>
      <c r="T5644">
        <v>0</v>
      </c>
      <c r="U5644">
        <v>0</v>
      </c>
      <c r="W5644" t="s">
        <v>146</v>
      </c>
    </row>
    <row r="5645" spans="1:42" x14ac:dyDescent="0.35">
      <c r="A5645" t="s">
        <v>45</v>
      </c>
      <c r="B5645" t="s">
        <v>12828</v>
      </c>
      <c r="C5645" t="s">
        <v>58</v>
      </c>
      <c r="D5645" t="s">
        <v>12914</v>
      </c>
      <c r="E5645" t="s">
        <v>12914</v>
      </c>
      <c r="F5645" t="s">
        <v>49</v>
      </c>
      <c r="G5645" t="s">
        <v>12915</v>
      </c>
      <c r="H5645" t="s">
        <v>12916</v>
      </c>
      <c r="J5645" t="str">
        <f>HYPERLINK("https://www.youtube.com/watch?v=49207v6w24A","https://www.youtube.com/watch?v=49207v6w24A")</f>
        <v>https://www.youtube.com/watch?v=49207v6w24A</v>
      </c>
      <c r="O5645">
        <v>0</v>
      </c>
      <c r="P5645">
        <v>0</v>
      </c>
      <c r="Q5645">
        <v>0</v>
      </c>
      <c r="S5645">
        <v>0</v>
      </c>
      <c r="T5645">
        <v>0</v>
      </c>
      <c r="U5645">
        <v>0</v>
      </c>
      <c r="W5645" t="s">
        <v>106</v>
      </c>
    </row>
    <row r="5646" spans="1:42" x14ac:dyDescent="0.35">
      <c r="A5646" t="s">
        <v>45</v>
      </c>
      <c r="B5646" t="s">
        <v>12828</v>
      </c>
      <c r="C5646" t="s">
        <v>58</v>
      </c>
      <c r="D5646" t="s">
        <v>12914</v>
      </c>
      <c r="E5646" t="s">
        <v>12914</v>
      </c>
      <c r="F5646" t="s">
        <v>49</v>
      </c>
      <c r="G5646" t="s">
        <v>12917</v>
      </c>
      <c r="H5646" t="s">
        <v>12918</v>
      </c>
      <c r="J5646" t="str">
        <f>HYPERLINK("https://www.youtube.com/watch?v=u4LSdJDYrhk","https://www.youtube.com/watch?v=u4LSdJDYrhk")</f>
        <v>https://www.youtube.com/watch?v=u4LSdJDYrhk</v>
      </c>
      <c r="O5646">
        <v>0</v>
      </c>
      <c r="P5646">
        <v>0</v>
      </c>
      <c r="Q5646">
        <v>0</v>
      </c>
      <c r="S5646">
        <v>0</v>
      </c>
      <c r="T5646">
        <v>0</v>
      </c>
      <c r="U5646">
        <v>0</v>
      </c>
      <c r="W5646" t="s">
        <v>106</v>
      </c>
      <c r="AP5646" t="s">
        <v>101</v>
      </c>
    </row>
    <row r="5647" spans="1:42" x14ac:dyDescent="0.35">
      <c r="A5647" t="s">
        <v>45</v>
      </c>
      <c r="B5647" t="s">
        <v>12828</v>
      </c>
      <c r="C5647" t="s">
        <v>58</v>
      </c>
      <c r="D5647" t="s">
        <v>12914</v>
      </c>
      <c r="E5647" t="s">
        <v>12914</v>
      </c>
      <c r="F5647" t="s">
        <v>49</v>
      </c>
      <c r="G5647" t="s">
        <v>12919</v>
      </c>
      <c r="H5647" t="s">
        <v>12920</v>
      </c>
      <c r="J5647" t="str">
        <f>HYPERLINK("https://www.youtube.com/watch?v=eyLGpTEk5i0","https://www.youtube.com/watch?v=eyLGpTEk5i0")</f>
        <v>https://www.youtube.com/watch?v=eyLGpTEk5i0</v>
      </c>
      <c r="O5647">
        <v>0</v>
      </c>
      <c r="P5647">
        <v>0</v>
      </c>
      <c r="Q5647">
        <v>0</v>
      </c>
      <c r="S5647">
        <v>0</v>
      </c>
      <c r="T5647">
        <v>0</v>
      </c>
      <c r="U5647">
        <v>0</v>
      </c>
      <c r="W5647" t="s">
        <v>106</v>
      </c>
      <c r="AP5647" t="s">
        <v>101</v>
      </c>
    </row>
    <row r="5648" spans="1:42" x14ac:dyDescent="0.35">
      <c r="A5648" t="s">
        <v>45</v>
      </c>
      <c r="B5648" t="s">
        <v>12828</v>
      </c>
      <c r="C5648" t="s">
        <v>139</v>
      </c>
      <c r="D5648" t="s">
        <v>12921</v>
      </c>
      <c r="E5648" t="s">
        <v>12922</v>
      </c>
      <c r="F5648" t="s">
        <v>142</v>
      </c>
      <c r="G5648" t="s">
        <v>12923</v>
      </c>
      <c r="H5648" t="s">
        <v>12924</v>
      </c>
      <c r="J5648" t="str">
        <f>HYPERLINK("https://twitter.com/Naresh8575/status/1742039420717748649","https://twitter.com/Naresh8575/status/1742039420717748649")</f>
        <v>https://twitter.com/Naresh8575/status/1742039420717748649</v>
      </c>
      <c r="K5648" t="s">
        <v>145</v>
      </c>
      <c r="O5648">
        <v>0</v>
      </c>
      <c r="P5648">
        <v>0</v>
      </c>
      <c r="Q5648">
        <v>0</v>
      </c>
      <c r="S5648">
        <v>0</v>
      </c>
      <c r="T5648">
        <v>0</v>
      </c>
      <c r="U5648">
        <v>0</v>
      </c>
      <c r="W5648" t="s">
        <v>146</v>
      </c>
      <c r="AP5648" t="s">
        <v>147</v>
      </c>
    </row>
    <row r="5649" spans="1:42" x14ac:dyDescent="0.35">
      <c r="A5649" t="s">
        <v>45</v>
      </c>
      <c r="B5649" t="s">
        <v>12828</v>
      </c>
      <c r="C5649" t="s">
        <v>139</v>
      </c>
      <c r="D5649" t="s">
        <v>12921</v>
      </c>
      <c r="E5649" t="s">
        <v>12922</v>
      </c>
      <c r="F5649" t="s">
        <v>142</v>
      </c>
      <c r="G5649" t="s">
        <v>12925</v>
      </c>
      <c r="H5649" t="s">
        <v>12926</v>
      </c>
      <c r="J5649" t="str">
        <f>HYPERLINK("https://twitter.com/Naresh8575/status/1742037884570681582","https://twitter.com/Naresh8575/status/1742037884570681582")</f>
        <v>https://twitter.com/Naresh8575/status/1742037884570681582</v>
      </c>
      <c r="K5649" t="s">
        <v>145</v>
      </c>
      <c r="O5649">
        <v>0</v>
      </c>
      <c r="P5649">
        <v>0</v>
      </c>
      <c r="Q5649">
        <v>0</v>
      </c>
      <c r="S5649">
        <v>0</v>
      </c>
      <c r="T5649">
        <v>0</v>
      </c>
      <c r="U5649">
        <v>0</v>
      </c>
      <c r="W5649" t="s">
        <v>146</v>
      </c>
      <c r="AP5649" t="s">
        <v>147</v>
      </c>
    </row>
    <row r="5650" spans="1:42" x14ac:dyDescent="0.35">
      <c r="A5650" t="s">
        <v>45</v>
      </c>
      <c r="B5650" t="s">
        <v>12828</v>
      </c>
      <c r="C5650" t="s">
        <v>47</v>
      </c>
      <c r="D5650" t="s">
        <v>12927</v>
      </c>
      <c r="E5650" t="s">
        <v>12927</v>
      </c>
      <c r="F5650" t="s">
        <v>49</v>
      </c>
      <c r="G5650" t="s">
        <v>12928</v>
      </c>
      <c r="H5650" t="s">
        <v>12929</v>
      </c>
      <c r="J5650" t="str">
        <f>HYPERLINK("https://www.facebook.com/454965103328545/posts/734812295343823?comment_id=922991852581628","https://www.facebook.com/454965103328545/posts/734812295343823?comment_id=922991852581628")</f>
        <v>https://www.facebook.com/454965103328545/posts/734812295343823?comment_id=922991852581628</v>
      </c>
      <c r="O5650">
        <v>0</v>
      </c>
      <c r="P5650">
        <v>0</v>
      </c>
      <c r="Q5650">
        <v>0</v>
      </c>
      <c r="S5650">
        <v>0</v>
      </c>
      <c r="T5650">
        <v>0</v>
      </c>
      <c r="U5650">
        <v>0</v>
      </c>
      <c r="W5650" t="s">
        <v>62</v>
      </c>
    </row>
    <row r="5651" spans="1:42" x14ac:dyDescent="0.35">
      <c r="A5651" t="s">
        <v>45</v>
      </c>
      <c r="B5651" t="s">
        <v>12828</v>
      </c>
      <c r="C5651" t="s">
        <v>139</v>
      </c>
      <c r="D5651" t="s">
        <v>12930</v>
      </c>
      <c r="E5651" t="s">
        <v>12931</v>
      </c>
      <c r="F5651" t="s">
        <v>49</v>
      </c>
      <c r="G5651" t="s">
        <v>12932</v>
      </c>
      <c r="H5651" t="s">
        <v>12933</v>
      </c>
      <c r="J5651" t="str">
        <f>HYPERLINK("https://twitter.com/Suraj28194163/status/1742031786992181698","https://twitter.com/Suraj28194163/status/1742031786992181698")</f>
        <v>https://twitter.com/Suraj28194163/status/1742031786992181698</v>
      </c>
      <c r="K5651" t="s">
        <v>145</v>
      </c>
      <c r="O5651">
        <v>0</v>
      </c>
      <c r="P5651">
        <v>0</v>
      </c>
      <c r="Q5651">
        <v>9</v>
      </c>
      <c r="R5651" t="s">
        <v>5503</v>
      </c>
      <c r="S5651">
        <v>0</v>
      </c>
      <c r="T5651">
        <v>0</v>
      </c>
      <c r="U5651">
        <v>0</v>
      </c>
      <c r="W5651" t="s">
        <v>146</v>
      </c>
    </row>
    <row r="5652" spans="1:42" x14ac:dyDescent="0.35">
      <c r="A5652" t="s">
        <v>45</v>
      </c>
      <c r="B5652" t="s">
        <v>12828</v>
      </c>
      <c r="C5652" t="s">
        <v>47</v>
      </c>
      <c r="D5652" t="s">
        <v>12934</v>
      </c>
      <c r="E5652" t="s">
        <v>12934</v>
      </c>
      <c r="F5652" t="s">
        <v>49</v>
      </c>
      <c r="G5652" t="s">
        <v>12935</v>
      </c>
      <c r="H5652" t="s">
        <v>12936</v>
      </c>
      <c r="J5652" t="str">
        <f>HYPERLINK("https://www.facebook.com/454965103328545/posts/739250844899968?comment_id=2250414725158142","https://www.facebook.com/454965103328545/posts/739250844899968?comment_id=2250414725158142")</f>
        <v>https://www.facebook.com/454965103328545/posts/739250844899968?comment_id=2250414725158142</v>
      </c>
      <c r="O5652">
        <v>0</v>
      </c>
      <c r="P5652">
        <v>0</v>
      </c>
      <c r="Q5652">
        <v>0</v>
      </c>
      <c r="S5652">
        <v>0</v>
      </c>
      <c r="T5652">
        <v>0</v>
      </c>
      <c r="U5652">
        <v>0</v>
      </c>
      <c r="W5652" t="s">
        <v>62</v>
      </c>
    </row>
    <row r="5653" spans="1:42" x14ac:dyDescent="0.35">
      <c r="A5653" t="s">
        <v>45</v>
      </c>
      <c r="B5653" t="s">
        <v>12828</v>
      </c>
      <c r="C5653" t="s">
        <v>47</v>
      </c>
      <c r="D5653" t="s">
        <v>12937</v>
      </c>
      <c r="E5653" t="s">
        <v>12937</v>
      </c>
      <c r="F5653" t="s">
        <v>76</v>
      </c>
      <c r="G5653" t="s">
        <v>12938</v>
      </c>
      <c r="H5653" t="s">
        <v>12939</v>
      </c>
      <c r="J5653" t="str">
        <f>HYPERLINK("https://www.facebook.com/454965103328545/posts/734812295343823?comment_id=852011593329181","https://www.facebook.com/454965103328545/posts/734812295343823?comment_id=852011593329181")</f>
        <v>https://www.facebook.com/454965103328545/posts/734812295343823?comment_id=852011593329181</v>
      </c>
      <c r="O5653">
        <v>0</v>
      </c>
      <c r="P5653">
        <v>0</v>
      </c>
      <c r="Q5653">
        <v>0</v>
      </c>
      <c r="S5653">
        <v>0</v>
      </c>
      <c r="T5653">
        <v>0</v>
      </c>
      <c r="U5653">
        <v>0</v>
      </c>
      <c r="W5653" t="s">
        <v>62</v>
      </c>
    </row>
    <row r="5654" spans="1:42" x14ac:dyDescent="0.35">
      <c r="A5654" t="s">
        <v>45</v>
      </c>
      <c r="B5654" t="s">
        <v>12828</v>
      </c>
      <c r="C5654" t="s">
        <v>47</v>
      </c>
      <c r="D5654" t="s">
        <v>12940</v>
      </c>
      <c r="E5654" t="s">
        <v>12940</v>
      </c>
      <c r="F5654" t="s">
        <v>49</v>
      </c>
      <c r="G5654" t="s">
        <v>12941</v>
      </c>
      <c r="H5654" t="s">
        <v>12942</v>
      </c>
      <c r="J5654" t="str">
        <f>HYPERLINK("https://www.facebook.com/357267201017935/inbox/6873505952727328/","https://www.facebook.com/357267201017935/inbox/6873505952727328/")</f>
        <v>https://www.facebook.com/357267201017935/inbox/6873505952727328/</v>
      </c>
      <c r="O5654">
        <v>0</v>
      </c>
      <c r="P5654">
        <v>0</v>
      </c>
      <c r="Q5654">
        <v>0</v>
      </c>
      <c r="S5654">
        <v>0</v>
      </c>
      <c r="T5654">
        <v>0</v>
      </c>
      <c r="U5654">
        <v>0</v>
      </c>
      <c r="W5654" t="s">
        <v>52</v>
      </c>
    </row>
    <row r="5655" spans="1:42" x14ac:dyDescent="0.35">
      <c r="A5655" t="s">
        <v>45</v>
      </c>
      <c r="B5655" t="s">
        <v>12828</v>
      </c>
      <c r="C5655" t="s">
        <v>47</v>
      </c>
      <c r="D5655" t="s">
        <v>12940</v>
      </c>
      <c r="E5655" t="s">
        <v>12940</v>
      </c>
      <c r="F5655" t="s">
        <v>49</v>
      </c>
      <c r="G5655" t="s">
        <v>12943</v>
      </c>
      <c r="H5655" t="s">
        <v>12944</v>
      </c>
      <c r="J5655" t="str">
        <f>HYPERLINK("https://www.facebook.com/357267201017935/inbox/6873505952727328/","https://www.facebook.com/357267201017935/inbox/6873505952727328/")</f>
        <v>https://www.facebook.com/357267201017935/inbox/6873505952727328/</v>
      </c>
      <c r="O5655">
        <v>0</v>
      </c>
      <c r="P5655">
        <v>0</v>
      </c>
      <c r="Q5655">
        <v>0</v>
      </c>
      <c r="S5655">
        <v>0</v>
      </c>
      <c r="T5655">
        <v>0</v>
      </c>
      <c r="U5655">
        <v>0</v>
      </c>
      <c r="W5655" t="s">
        <v>52</v>
      </c>
    </row>
    <row r="5656" spans="1:42" x14ac:dyDescent="0.35">
      <c r="A5656" t="s">
        <v>45</v>
      </c>
      <c r="B5656" t="s">
        <v>12945</v>
      </c>
      <c r="C5656" t="s">
        <v>139</v>
      </c>
      <c r="D5656" t="s">
        <v>12946</v>
      </c>
      <c r="E5656" t="s">
        <v>12947</v>
      </c>
      <c r="F5656" t="s">
        <v>76</v>
      </c>
      <c r="G5656" t="s">
        <v>12948</v>
      </c>
      <c r="H5656" t="s">
        <v>12949</v>
      </c>
      <c r="J5656" t="str">
        <f>HYPERLINK("https://twitter.com/dpkkumar786/status/1741880340468449531","https://twitter.com/dpkkumar786/status/1741880340468449531")</f>
        <v>https://twitter.com/dpkkumar786/status/1741880340468449531</v>
      </c>
      <c r="K5656" t="s">
        <v>145</v>
      </c>
      <c r="O5656">
        <v>0</v>
      </c>
      <c r="P5656">
        <v>0</v>
      </c>
      <c r="Q5656">
        <v>69</v>
      </c>
      <c r="R5656" t="s">
        <v>4792</v>
      </c>
      <c r="S5656">
        <v>0</v>
      </c>
      <c r="T5656">
        <v>0</v>
      </c>
      <c r="U5656">
        <v>0</v>
      </c>
      <c r="W5656" t="s">
        <v>552</v>
      </c>
    </row>
    <row r="5657" spans="1:42" x14ac:dyDescent="0.35">
      <c r="A5657" t="s">
        <v>45</v>
      </c>
      <c r="B5657" t="s">
        <v>12945</v>
      </c>
      <c r="C5657" t="s">
        <v>139</v>
      </c>
      <c r="D5657" t="s">
        <v>12950</v>
      </c>
      <c r="E5657" t="s">
        <v>12951</v>
      </c>
      <c r="F5657" t="s">
        <v>142</v>
      </c>
      <c r="G5657" t="s">
        <v>12952</v>
      </c>
      <c r="H5657" t="s">
        <v>12953</v>
      </c>
      <c r="J5657" t="str">
        <f>HYPERLINK("https://twitter.com/aditya8993/status/1741859362966999069","https://twitter.com/aditya8993/status/1741859362966999069")</f>
        <v>https://twitter.com/aditya8993/status/1741859362966999069</v>
      </c>
      <c r="O5657">
        <v>0</v>
      </c>
      <c r="P5657">
        <v>0</v>
      </c>
      <c r="Q5657">
        <v>168</v>
      </c>
      <c r="R5657" t="s">
        <v>4256</v>
      </c>
      <c r="S5657">
        <v>0</v>
      </c>
      <c r="T5657">
        <v>0</v>
      </c>
      <c r="U5657">
        <v>0</v>
      </c>
      <c r="W5657" t="s">
        <v>146</v>
      </c>
      <c r="AP5657" t="s">
        <v>147</v>
      </c>
    </row>
    <row r="5658" spans="1:42" x14ac:dyDescent="0.35">
      <c r="A5658" t="s">
        <v>45</v>
      </c>
      <c r="B5658" t="s">
        <v>12945</v>
      </c>
      <c r="C5658" t="s">
        <v>58</v>
      </c>
      <c r="D5658" t="s">
        <v>12893</v>
      </c>
      <c r="E5658" t="s">
        <v>12893</v>
      </c>
      <c r="F5658" t="s">
        <v>49</v>
      </c>
      <c r="G5658" t="s">
        <v>12954</v>
      </c>
      <c r="H5658" t="s">
        <v>12955</v>
      </c>
      <c r="J5658" t="str">
        <f>HYPERLINK("https://www.youtube.com/watch?v=Fms4ZbuDQsw","https://www.youtube.com/watch?v=Fms4ZbuDQsw")</f>
        <v>https://www.youtube.com/watch?v=Fms4ZbuDQsw</v>
      </c>
      <c r="O5658">
        <v>0</v>
      </c>
      <c r="P5658">
        <v>0</v>
      </c>
      <c r="Q5658">
        <v>0</v>
      </c>
      <c r="S5658">
        <v>0</v>
      </c>
      <c r="T5658">
        <v>0</v>
      </c>
      <c r="U5658">
        <v>0</v>
      </c>
      <c r="W5658" t="s">
        <v>106</v>
      </c>
    </row>
    <row r="5659" spans="1:42" x14ac:dyDescent="0.35">
      <c r="A5659" t="s">
        <v>45</v>
      </c>
      <c r="B5659" t="s">
        <v>12945</v>
      </c>
      <c r="C5659" t="s">
        <v>139</v>
      </c>
      <c r="D5659" t="s">
        <v>12956</v>
      </c>
      <c r="E5659" t="s">
        <v>12957</v>
      </c>
      <c r="F5659" t="s">
        <v>49</v>
      </c>
      <c r="G5659" t="s">
        <v>12958</v>
      </c>
      <c r="H5659" t="s">
        <v>12959</v>
      </c>
      <c r="J5659" t="str">
        <f>HYPERLINK("https://twitter.com/cryptobank76496/status/1741847536308994507","https://twitter.com/cryptobank76496/status/1741847536308994507")</f>
        <v>https://twitter.com/cryptobank76496/status/1741847536308994507</v>
      </c>
      <c r="O5659">
        <v>0</v>
      </c>
      <c r="P5659">
        <v>0</v>
      </c>
      <c r="Q5659">
        <v>0</v>
      </c>
      <c r="S5659">
        <v>0</v>
      </c>
      <c r="T5659">
        <v>0</v>
      </c>
      <c r="U5659">
        <v>0</v>
      </c>
      <c r="W5659" t="s">
        <v>146</v>
      </c>
    </row>
    <row r="5660" spans="1:42" x14ac:dyDescent="0.35">
      <c r="A5660" t="s">
        <v>45</v>
      </c>
      <c r="B5660" t="s">
        <v>12945</v>
      </c>
      <c r="C5660" t="s">
        <v>139</v>
      </c>
      <c r="D5660" t="s">
        <v>12960</v>
      </c>
      <c r="E5660" t="s">
        <v>12961</v>
      </c>
      <c r="F5660" t="s">
        <v>49</v>
      </c>
      <c r="G5660" t="s">
        <v>12962</v>
      </c>
      <c r="H5660" t="s">
        <v>12963</v>
      </c>
      <c r="J5660" t="str">
        <f>HYPERLINK("https://twitter.com/ivinaypandey/status/1741846086573277207","https://twitter.com/ivinaypandey/status/1741846086573277207")</f>
        <v>https://twitter.com/ivinaypandey/status/1741846086573277207</v>
      </c>
      <c r="O5660">
        <v>0</v>
      </c>
      <c r="P5660">
        <v>0</v>
      </c>
      <c r="Q5660">
        <v>554</v>
      </c>
      <c r="R5660" t="s">
        <v>1810</v>
      </c>
      <c r="S5660">
        <v>0</v>
      </c>
      <c r="T5660">
        <v>0</v>
      </c>
      <c r="U5660">
        <v>0</v>
      </c>
      <c r="W5660" t="s">
        <v>146</v>
      </c>
    </row>
    <row r="5661" spans="1:42" x14ac:dyDescent="0.35">
      <c r="A5661" t="s">
        <v>45</v>
      </c>
      <c r="B5661" t="s">
        <v>12945</v>
      </c>
      <c r="C5661" t="s">
        <v>58</v>
      </c>
      <c r="D5661" t="s">
        <v>12964</v>
      </c>
      <c r="E5661" t="s">
        <v>12964</v>
      </c>
      <c r="F5661" t="s">
        <v>49</v>
      </c>
      <c r="G5661" t="s">
        <v>12965</v>
      </c>
      <c r="H5661" t="s">
        <v>12966</v>
      </c>
      <c r="J5661" t="str">
        <f>HYPERLINK("https://www.youtube.com/watch?v=ISISn9FlcRU","https://www.youtube.com/watch?v=ISISn9FlcRU")</f>
        <v>https://www.youtube.com/watch?v=ISISn9FlcRU</v>
      </c>
      <c r="O5661">
        <v>0</v>
      </c>
      <c r="P5661">
        <v>0</v>
      </c>
      <c r="Q5661">
        <v>0</v>
      </c>
      <c r="S5661">
        <v>0</v>
      </c>
      <c r="T5661">
        <v>0</v>
      </c>
      <c r="U5661">
        <v>0</v>
      </c>
      <c r="W5661" t="s">
        <v>106</v>
      </c>
    </row>
    <row r="5662" spans="1:42" x14ac:dyDescent="0.35">
      <c r="A5662" t="s">
        <v>45</v>
      </c>
      <c r="B5662" t="s">
        <v>12945</v>
      </c>
      <c r="C5662" t="s">
        <v>47</v>
      </c>
      <c r="D5662" t="s">
        <v>12967</v>
      </c>
      <c r="E5662" t="s">
        <v>12967</v>
      </c>
      <c r="F5662" t="s">
        <v>49</v>
      </c>
      <c r="G5662" t="s">
        <v>12968</v>
      </c>
      <c r="H5662" t="s">
        <v>12969</v>
      </c>
      <c r="J5662" t="str">
        <f>HYPERLINK("https://www.facebook.com/454965103328545/posts/742976151194104?comment_id=916670943390927","https://www.facebook.com/454965103328545/posts/742976151194104?comment_id=916670943390927")</f>
        <v>https://www.facebook.com/454965103328545/posts/742976151194104?comment_id=916670943390927</v>
      </c>
      <c r="O5662">
        <v>0</v>
      </c>
      <c r="P5662">
        <v>0</v>
      </c>
      <c r="Q5662">
        <v>0</v>
      </c>
      <c r="S5662">
        <v>0</v>
      </c>
      <c r="T5662">
        <v>0</v>
      </c>
      <c r="U5662">
        <v>0</v>
      </c>
      <c r="W5662" t="s">
        <v>62</v>
      </c>
    </row>
    <row r="5663" spans="1:42" x14ac:dyDescent="0.35">
      <c r="A5663" t="s">
        <v>45</v>
      </c>
      <c r="B5663" t="s">
        <v>12945</v>
      </c>
      <c r="C5663" t="s">
        <v>47</v>
      </c>
      <c r="D5663" t="s">
        <v>7714</v>
      </c>
      <c r="E5663" t="s">
        <v>7714</v>
      </c>
      <c r="F5663" t="s">
        <v>76</v>
      </c>
      <c r="G5663" t="s">
        <v>12970</v>
      </c>
      <c r="H5663" t="s">
        <v>12971</v>
      </c>
      <c r="J5663" t="str">
        <f>HYPERLINK("https://www.facebook.com/454965103328545/posts/744159567742429?comment_id=1471162226773011","https://www.facebook.com/454965103328545/posts/744159567742429?comment_id=1471162226773011")</f>
        <v>https://www.facebook.com/454965103328545/posts/744159567742429?comment_id=1471162226773011</v>
      </c>
      <c r="O5663">
        <v>0</v>
      </c>
      <c r="P5663">
        <v>0</v>
      </c>
      <c r="Q5663">
        <v>0</v>
      </c>
      <c r="S5663">
        <v>0</v>
      </c>
      <c r="T5663">
        <v>0</v>
      </c>
      <c r="U5663">
        <v>0</v>
      </c>
      <c r="W5663" t="s">
        <v>62</v>
      </c>
    </row>
    <row r="5664" spans="1:42" x14ac:dyDescent="0.35">
      <c r="A5664" t="s">
        <v>45</v>
      </c>
      <c r="B5664" t="s">
        <v>12945</v>
      </c>
      <c r="C5664" t="s">
        <v>58</v>
      </c>
      <c r="D5664" t="s">
        <v>12972</v>
      </c>
      <c r="E5664" t="s">
        <v>12972</v>
      </c>
      <c r="F5664" t="s">
        <v>49</v>
      </c>
      <c r="G5664" t="s">
        <v>12973</v>
      </c>
      <c r="H5664" t="s">
        <v>12974</v>
      </c>
      <c r="J5664" t="str">
        <f>HYPERLINK("https://www.youtube.com/watch?v=du3raOy53cs","https://www.youtube.com/watch?v=du3raOy53cs")</f>
        <v>https://www.youtube.com/watch?v=du3raOy53cs</v>
      </c>
      <c r="O5664">
        <v>0</v>
      </c>
      <c r="P5664">
        <v>0</v>
      </c>
      <c r="Q5664">
        <v>0</v>
      </c>
      <c r="S5664">
        <v>0</v>
      </c>
      <c r="T5664">
        <v>0</v>
      </c>
      <c r="U5664">
        <v>0</v>
      </c>
      <c r="W5664" t="s">
        <v>106</v>
      </c>
      <c r="AO5664" t="s">
        <v>119</v>
      </c>
    </row>
    <row r="5665" spans="1:45" x14ac:dyDescent="0.35">
      <c r="A5665" t="s">
        <v>45</v>
      </c>
      <c r="B5665" t="s">
        <v>12945</v>
      </c>
      <c r="C5665" t="s">
        <v>58</v>
      </c>
      <c r="D5665" t="s">
        <v>3237</v>
      </c>
      <c r="E5665" t="s">
        <v>3237</v>
      </c>
      <c r="F5665" t="s">
        <v>49</v>
      </c>
      <c r="G5665" t="s">
        <v>12975</v>
      </c>
      <c r="H5665" t="s">
        <v>12976</v>
      </c>
      <c r="J5665" t="str">
        <f>HYPERLINK("https://www.youtube.com/watch?v=tU4muVoDmOc","https://www.youtube.com/watch?v=tU4muVoDmOc")</f>
        <v>https://www.youtube.com/watch?v=tU4muVoDmOc</v>
      </c>
      <c r="O5665">
        <v>0</v>
      </c>
      <c r="P5665">
        <v>0</v>
      </c>
      <c r="Q5665">
        <v>0</v>
      </c>
      <c r="S5665">
        <v>0</v>
      </c>
      <c r="T5665">
        <v>0</v>
      </c>
      <c r="U5665">
        <v>0</v>
      </c>
      <c r="W5665" t="s">
        <v>106</v>
      </c>
    </row>
    <row r="5666" spans="1:45" x14ac:dyDescent="0.35">
      <c r="A5666" t="s">
        <v>45</v>
      </c>
      <c r="B5666" t="s">
        <v>12945</v>
      </c>
      <c r="C5666" t="s">
        <v>58</v>
      </c>
      <c r="D5666" t="s">
        <v>12568</v>
      </c>
      <c r="E5666" t="s">
        <v>12568</v>
      </c>
      <c r="F5666" t="s">
        <v>49</v>
      </c>
      <c r="G5666" t="s">
        <v>12977</v>
      </c>
      <c r="H5666" t="s">
        <v>12978</v>
      </c>
      <c r="J5666" t="str">
        <f>HYPERLINK("https://www.youtube.com/watch?v=4ISpULx6Aa4","https://www.youtube.com/watch?v=4ISpULx6Aa4")</f>
        <v>https://www.youtube.com/watch?v=4ISpULx6Aa4</v>
      </c>
      <c r="O5666">
        <v>0</v>
      </c>
      <c r="P5666">
        <v>0</v>
      </c>
      <c r="Q5666">
        <v>0</v>
      </c>
      <c r="S5666">
        <v>0</v>
      </c>
      <c r="T5666">
        <v>0</v>
      </c>
      <c r="U5666">
        <v>0</v>
      </c>
      <c r="W5666" t="s">
        <v>106</v>
      </c>
    </row>
    <row r="5667" spans="1:45" x14ac:dyDescent="0.35">
      <c r="A5667" t="s">
        <v>45</v>
      </c>
      <c r="B5667" t="s">
        <v>12945</v>
      </c>
      <c r="C5667" t="s">
        <v>139</v>
      </c>
      <c r="D5667" t="s">
        <v>12979</v>
      </c>
      <c r="E5667" t="s">
        <v>12980</v>
      </c>
      <c r="F5667" t="s">
        <v>49</v>
      </c>
      <c r="G5667" t="s">
        <v>12981</v>
      </c>
      <c r="H5667" t="s">
        <v>12982</v>
      </c>
      <c r="J5667" t="str">
        <f>HYPERLINK("https://twitter.com/CryptoNex294674/status/1741806247265886315","https://twitter.com/CryptoNex294674/status/1741806247265886315")</f>
        <v>https://twitter.com/CryptoNex294674/status/1741806247265886315</v>
      </c>
      <c r="O5667">
        <v>0</v>
      </c>
      <c r="P5667">
        <v>0</v>
      </c>
      <c r="Q5667">
        <v>0</v>
      </c>
      <c r="S5667">
        <v>0</v>
      </c>
      <c r="T5667">
        <v>0</v>
      </c>
      <c r="U5667">
        <v>0</v>
      </c>
      <c r="W5667" t="s">
        <v>146</v>
      </c>
    </row>
    <row r="5668" spans="1:45" x14ac:dyDescent="0.35">
      <c r="A5668" t="s">
        <v>45</v>
      </c>
      <c r="B5668" t="s">
        <v>12945</v>
      </c>
      <c r="C5668" t="s">
        <v>58</v>
      </c>
      <c r="D5668" t="s">
        <v>2705</v>
      </c>
      <c r="E5668" t="s">
        <v>2705</v>
      </c>
      <c r="F5668" t="s">
        <v>76</v>
      </c>
      <c r="G5668" t="s">
        <v>12983</v>
      </c>
      <c r="H5668" t="s">
        <v>12984</v>
      </c>
      <c r="J5668" t="str">
        <f>HYPERLINK("https://www.youtube.com/watch?v=PP-M-t-niX8","https://www.youtube.com/watch?v=PP-M-t-niX8")</f>
        <v>https://www.youtube.com/watch?v=PP-M-t-niX8</v>
      </c>
      <c r="O5668">
        <v>0</v>
      </c>
      <c r="P5668">
        <v>0</v>
      </c>
      <c r="Q5668">
        <v>0</v>
      </c>
      <c r="S5668">
        <v>0</v>
      </c>
      <c r="T5668">
        <v>0</v>
      </c>
      <c r="U5668">
        <v>0</v>
      </c>
      <c r="W5668" t="s">
        <v>106</v>
      </c>
      <c r="AP5668" t="s">
        <v>101</v>
      </c>
    </row>
    <row r="5669" spans="1:45" x14ac:dyDescent="0.35">
      <c r="A5669" t="s">
        <v>45</v>
      </c>
      <c r="B5669" t="s">
        <v>12945</v>
      </c>
      <c r="C5669" t="s">
        <v>58</v>
      </c>
      <c r="D5669" t="s">
        <v>12985</v>
      </c>
      <c r="E5669" t="s">
        <v>12985</v>
      </c>
      <c r="F5669" t="s">
        <v>49</v>
      </c>
      <c r="G5669" t="s">
        <v>12986</v>
      </c>
      <c r="H5669" t="s">
        <v>12987</v>
      </c>
      <c r="J5669" t="str">
        <f>HYPERLINK("https://www.youtube.com/watch?v=pEZttbPNDAk","https://www.youtube.com/watch?v=pEZttbPNDAk")</f>
        <v>https://www.youtube.com/watch?v=pEZttbPNDAk</v>
      </c>
      <c r="O5669">
        <v>0</v>
      </c>
      <c r="P5669">
        <v>0</v>
      </c>
      <c r="Q5669">
        <v>0</v>
      </c>
      <c r="S5669">
        <v>0</v>
      </c>
      <c r="T5669">
        <v>0</v>
      </c>
      <c r="U5669">
        <v>0</v>
      </c>
      <c r="W5669" t="s">
        <v>106</v>
      </c>
      <c r="AP5669" t="s">
        <v>101</v>
      </c>
    </row>
    <row r="5670" spans="1:45" x14ac:dyDescent="0.35">
      <c r="A5670" t="s">
        <v>45</v>
      </c>
      <c r="B5670" t="s">
        <v>12945</v>
      </c>
      <c r="C5670" t="s">
        <v>58</v>
      </c>
      <c r="D5670" t="s">
        <v>1240</v>
      </c>
      <c r="E5670" t="s">
        <v>1240</v>
      </c>
      <c r="F5670" t="s">
        <v>49</v>
      </c>
      <c r="G5670" t="s">
        <v>12988</v>
      </c>
      <c r="H5670" t="s">
        <v>12989</v>
      </c>
      <c r="J5670" t="str">
        <f>HYPERLINK("https://www.youtube.com/watch?v=8nb_ZazXY_o","https://www.youtube.com/watch?v=8nb_ZazXY_o")</f>
        <v>https://www.youtube.com/watch?v=8nb_ZazXY_o</v>
      </c>
      <c r="O5670">
        <v>0</v>
      </c>
      <c r="P5670">
        <v>0</v>
      </c>
      <c r="Q5670">
        <v>0</v>
      </c>
      <c r="S5670">
        <v>0</v>
      </c>
      <c r="T5670">
        <v>0</v>
      </c>
      <c r="U5670">
        <v>0</v>
      </c>
      <c r="W5670" t="s">
        <v>106</v>
      </c>
    </row>
    <row r="5671" spans="1:45" x14ac:dyDescent="0.35">
      <c r="A5671" t="s">
        <v>45</v>
      </c>
      <c r="B5671" t="s">
        <v>12945</v>
      </c>
      <c r="C5671" t="s">
        <v>139</v>
      </c>
      <c r="D5671" t="s">
        <v>12960</v>
      </c>
      <c r="E5671" t="s">
        <v>12961</v>
      </c>
      <c r="F5671" t="s">
        <v>76</v>
      </c>
      <c r="G5671" t="s">
        <v>12948</v>
      </c>
      <c r="H5671" t="s">
        <v>12990</v>
      </c>
      <c r="J5671" t="str">
        <f>HYPERLINK("https://twitter.com/ivinaypandey/status/1741755986703171626","https://twitter.com/ivinaypandey/status/1741755986703171626")</f>
        <v>https://twitter.com/ivinaypandey/status/1741755986703171626</v>
      </c>
      <c r="O5671">
        <v>0</v>
      </c>
      <c r="P5671">
        <v>0</v>
      </c>
      <c r="Q5671">
        <v>554</v>
      </c>
      <c r="R5671" t="s">
        <v>1810</v>
      </c>
      <c r="S5671">
        <v>0</v>
      </c>
      <c r="T5671">
        <v>0</v>
      </c>
      <c r="U5671">
        <v>0</v>
      </c>
      <c r="W5671" t="s">
        <v>552</v>
      </c>
    </row>
    <row r="5672" spans="1:45" x14ac:dyDescent="0.35">
      <c r="A5672" t="s">
        <v>45</v>
      </c>
      <c r="B5672" t="s">
        <v>12945</v>
      </c>
      <c r="C5672" t="s">
        <v>47</v>
      </c>
      <c r="D5672" t="s">
        <v>12991</v>
      </c>
      <c r="E5672" t="s">
        <v>12991</v>
      </c>
      <c r="F5672" t="s">
        <v>49</v>
      </c>
      <c r="G5672" t="s">
        <v>12992</v>
      </c>
      <c r="H5672" t="s">
        <v>12993</v>
      </c>
      <c r="J5672" t="str">
        <f>HYPERLINK("https://www.facebook.com/122121136334100420","https://www.facebook.com/122121136334100420")</f>
        <v>https://www.facebook.com/122121136334100420</v>
      </c>
      <c r="O5672">
        <v>0</v>
      </c>
      <c r="P5672">
        <v>0</v>
      </c>
      <c r="Q5672">
        <v>0</v>
      </c>
      <c r="S5672">
        <v>0</v>
      </c>
      <c r="T5672">
        <v>0</v>
      </c>
      <c r="U5672">
        <v>0</v>
      </c>
      <c r="W5672" t="s">
        <v>106</v>
      </c>
      <c r="AS5672" t="s">
        <v>9495</v>
      </c>
    </row>
    <row r="5673" spans="1:45" x14ac:dyDescent="0.35">
      <c r="A5673" t="s">
        <v>45</v>
      </c>
      <c r="B5673" t="s">
        <v>12945</v>
      </c>
      <c r="C5673" t="s">
        <v>139</v>
      </c>
      <c r="D5673" t="s">
        <v>12994</v>
      </c>
      <c r="E5673" t="s">
        <v>12995</v>
      </c>
      <c r="F5673" t="s">
        <v>49</v>
      </c>
      <c r="G5673" t="s">
        <v>12996</v>
      </c>
      <c r="H5673" t="s">
        <v>12997</v>
      </c>
      <c r="J5673" t="str">
        <f>HYPERLINK("https://twitter.com/007NEWSANDVIEWS/status/1741742654109401162","https://twitter.com/007NEWSANDVIEWS/status/1741742654109401162")</f>
        <v>https://twitter.com/007NEWSANDVIEWS/status/1741742654109401162</v>
      </c>
      <c r="O5673">
        <v>0</v>
      </c>
      <c r="P5673">
        <v>0</v>
      </c>
      <c r="Q5673">
        <v>2798</v>
      </c>
      <c r="R5673" t="s">
        <v>12998</v>
      </c>
      <c r="S5673">
        <v>0</v>
      </c>
      <c r="T5673">
        <v>0</v>
      </c>
      <c r="U5673">
        <v>0</v>
      </c>
      <c r="W5673" t="s">
        <v>146</v>
      </c>
    </row>
    <row r="5674" spans="1:45" x14ac:dyDescent="0.35">
      <c r="A5674" t="s">
        <v>45</v>
      </c>
      <c r="B5674" t="s">
        <v>12945</v>
      </c>
      <c r="C5674" t="s">
        <v>139</v>
      </c>
      <c r="D5674" t="s">
        <v>12994</v>
      </c>
      <c r="E5674" t="s">
        <v>12995</v>
      </c>
      <c r="F5674" t="s">
        <v>49</v>
      </c>
      <c r="G5674" t="s">
        <v>12999</v>
      </c>
      <c r="H5674" t="s">
        <v>13000</v>
      </c>
      <c r="J5674" t="str">
        <f>HYPERLINK("https://twitter.com/007NEWSANDVIEWS/status/1741741681915916614","https://twitter.com/007NEWSANDVIEWS/status/1741741681915916614")</f>
        <v>https://twitter.com/007NEWSANDVIEWS/status/1741741681915916614</v>
      </c>
      <c r="O5674">
        <v>0</v>
      </c>
      <c r="P5674">
        <v>0</v>
      </c>
      <c r="Q5674">
        <v>2798</v>
      </c>
      <c r="R5674" t="s">
        <v>12998</v>
      </c>
      <c r="S5674">
        <v>0</v>
      </c>
      <c r="T5674">
        <v>0</v>
      </c>
      <c r="U5674">
        <v>0</v>
      </c>
      <c r="W5674" t="s">
        <v>146</v>
      </c>
    </row>
    <row r="5675" spans="1:45" x14ac:dyDescent="0.35">
      <c r="A5675" t="s">
        <v>45</v>
      </c>
      <c r="B5675" t="s">
        <v>12945</v>
      </c>
      <c r="C5675" t="s">
        <v>139</v>
      </c>
      <c r="D5675" t="s">
        <v>12994</v>
      </c>
      <c r="E5675" t="s">
        <v>12995</v>
      </c>
      <c r="F5675" t="s">
        <v>49</v>
      </c>
      <c r="G5675" t="s">
        <v>13001</v>
      </c>
      <c r="H5675" t="s">
        <v>13002</v>
      </c>
      <c r="J5675" t="str">
        <f>HYPERLINK("https://twitter.com/007NEWSANDVIEWS/status/1741740905579626862","https://twitter.com/007NEWSANDVIEWS/status/1741740905579626862")</f>
        <v>https://twitter.com/007NEWSANDVIEWS/status/1741740905579626862</v>
      </c>
      <c r="O5675">
        <v>0</v>
      </c>
      <c r="P5675">
        <v>0</v>
      </c>
      <c r="Q5675">
        <v>2798</v>
      </c>
      <c r="R5675" t="s">
        <v>12998</v>
      </c>
      <c r="S5675">
        <v>0</v>
      </c>
      <c r="T5675">
        <v>0</v>
      </c>
      <c r="U5675">
        <v>0</v>
      </c>
      <c r="W5675" t="s">
        <v>146</v>
      </c>
    </row>
    <row r="5676" spans="1:45" x14ac:dyDescent="0.35">
      <c r="A5676" t="s">
        <v>45</v>
      </c>
      <c r="B5676" t="s">
        <v>12945</v>
      </c>
      <c r="C5676" t="s">
        <v>47</v>
      </c>
      <c r="D5676" t="s">
        <v>13003</v>
      </c>
      <c r="E5676" t="s">
        <v>13003</v>
      </c>
      <c r="F5676" t="s">
        <v>49</v>
      </c>
      <c r="G5676" t="s">
        <v>13004</v>
      </c>
      <c r="H5676" t="s">
        <v>13005</v>
      </c>
      <c r="J5676" t="str">
        <f>HYPERLINK("https://www.facebook.com/454965103328545/posts/734812295343823?comment_id=1844668609310425","https://www.facebook.com/454965103328545/posts/734812295343823?comment_id=1844668609310425")</f>
        <v>https://www.facebook.com/454965103328545/posts/734812295343823?comment_id=1844668609310425</v>
      </c>
      <c r="O5676">
        <v>0</v>
      </c>
      <c r="P5676">
        <v>0</v>
      </c>
      <c r="Q5676">
        <v>0</v>
      </c>
      <c r="S5676">
        <v>0</v>
      </c>
      <c r="T5676">
        <v>0</v>
      </c>
      <c r="U5676">
        <v>0</v>
      </c>
      <c r="W5676" t="s">
        <v>62</v>
      </c>
    </row>
    <row r="5677" spans="1:45" x14ac:dyDescent="0.35">
      <c r="A5677" t="s">
        <v>45</v>
      </c>
      <c r="B5677" t="s">
        <v>12945</v>
      </c>
      <c r="C5677" t="s">
        <v>139</v>
      </c>
      <c r="D5677" t="s">
        <v>12796</v>
      </c>
      <c r="E5677" t="s">
        <v>12797</v>
      </c>
      <c r="F5677" t="s">
        <v>142</v>
      </c>
      <c r="G5677" t="s">
        <v>13006</v>
      </c>
      <c r="H5677" t="s">
        <v>13007</v>
      </c>
      <c r="J5677" t="str">
        <f>HYPERLINK("https://twitter.com/Tanveer50190409/status/1741719392595877953","https://twitter.com/Tanveer50190409/status/1741719392595877953")</f>
        <v>https://twitter.com/Tanveer50190409/status/1741719392595877953</v>
      </c>
      <c r="K5677" t="s">
        <v>145</v>
      </c>
      <c r="O5677">
        <v>0</v>
      </c>
      <c r="P5677">
        <v>0</v>
      </c>
      <c r="Q5677">
        <v>9</v>
      </c>
      <c r="R5677" t="s">
        <v>12800</v>
      </c>
      <c r="S5677">
        <v>0</v>
      </c>
      <c r="T5677">
        <v>0</v>
      </c>
      <c r="U5677">
        <v>0</v>
      </c>
      <c r="W5677" t="s">
        <v>146</v>
      </c>
      <c r="AP5677" t="s">
        <v>147</v>
      </c>
    </row>
    <row r="5678" spans="1:45" x14ac:dyDescent="0.35">
      <c r="A5678" t="s">
        <v>45</v>
      </c>
      <c r="B5678" t="s">
        <v>12945</v>
      </c>
      <c r="C5678" t="s">
        <v>139</v>
      </c>
      <c r="D5678" t="s">
        <v>13008</v>
      </c>
      <c r="E5678" t="s">
        <v>13009</v>
      </c>
      <c r="F5678" t="s">
        <v>49</v>
      </c>
      <c r="G5678" t="s">
        <v>13010</v>
      </c>
      <c r="H5678" t="s">
        <v>13011</v>
      </c>
      <c r="J5678" t="str">
        <f>HYPERLINK("https://twitter.com/PatronageD18002/status/1741714250081698279","https://twitter.com/PatronageD18002/status/1741714250081698279")</f>
        <v>https://twitter.com/PatronageD18002/status/1741714250081698279</v>
      </c>
      <c r="O5678">
        <v>0</v>
      </c>
      <c r="P5678">
        <v>0</v>
      </c>
      <c r="Q5678">
        <v>0</v>
      </c>
      <c r="S5678">
        <v>0</v>
      </c>
      <c r="T5678">
        <v>0</v>
      </c>
      <c r="U5678">
        <v>0</v>
      </c>
      <c r="W5678" t="s">
        <v>146</v>
      </c>
    </row>
    <row r="5679" spans="1:45" x14ac:dyDescent="0.35">
      <c r="A5679" t="s">
        <v>45</v>
      </c>
      <c r="B5679" t="s">
        <v>12945</v>
      </c>
      <c r="C5679" t="s">
        <v>47</v>
      </c>
      <c r="D5679" t="s">
        <v>13012</v>
      </c>
      <c r="E5679" t="s">
        <v>13012</v>
      </c>
      <c r="F5679" t="s">
        <v>49</v>
      </c>
      <c r="G5679" t="s">
        <v>50</v>
      </c>
      <c r="H5679" t="s">
        <v>13013</v>
      </c>
      <c r="J5679" t="str">
        <f>HYPERLINK("https://www.facebook.com/357267201017935/inbox/6871654726245784/","https://www.facebook.com/357267201017935/inbox/6871654726245784/")</f>
        <v>https://www.facebook.com/357267201017935/inbox/6871654726245784/</v>
      </c>
      <c r="O5679">
        <v>0</v>
      </c>
      <c r="P5679">
        <v>0</v>
      </c>
      <c r="Q5679">
        <v>0</v>
      </c>
      <c r="S5679">
        <v>0</v>
      </c>
      <c r="T5679">
        <v>0</v>
      </c>
      <c r="U5679">
        <v>0</v>
      </c>
      <c r="W5679" t="s">
        <v>52</v>
      </c>
    </row>
    <row r="5680" spans="1:45" x14ac:dyDescent="0.35">
      <c r="A5680" t="s">
        <v>45</v>
      </c>
      <c r="B5680" t="s">
        <v>12945</v>
      </c>
      <c r="C5680" t="s">
        <v>58</v>
      </c>
      <c r="D5680" t="s">
        <v>13014</v>
      </c>
      <c r="E5680" t="s">
        <v>13014</v>
      </c>
      <c r="F5680" t="s">
        <v>49</v>
      </c>
      <c r="G5680" t="s">
        <v>13015</v>
      </c>
      <c r="H5680" t="s">
        <v>13016</v>
      </c>
      <c r="J5680" t="str">
        <f>HYPERLINK("https://www.youtube.com/watch?v=e4A2A7R9V5Q&amp;lc=UgwpJOlR8KS43pOSz2B4AaABAg","https://www.youtube.com/watch?v=e4A2A7R9V5Q&amp;lc=UgwpJOlR8KS43pOSz2B4AaABAg")</f>
        <v>https://www.youtube.com/watch?v=e4A2A7R9V5Q&amp;lc=UgwpJOlR8KS43pOSz2B4AaABAg</v>
      </c>
      <c r="O5680">
        <v>0</v>
      </c>
      <c r="P5680">
        <v>0</v>
      </c>
      <c r="Q5680">
        <v>0</v>
      </c>
      <c r="S5680">
        <v>0</v>
      </c>
      <c r="T5680">
        <v>0</v>
      </c>
      <c r="U5680">
        <v>0</v>
      </c>
      <c r="W5680" t="s">
        <v>62</v>
      </c>
    </row>
    <row r="5681" spans="1:42" x14ac:dyDescent="0.35">
      <c r="A5681" t="s">
        <v>45</v>
      </c>
      <c r="B5681" t="s">
        <v>12945</v>
      </c>
      <c r="C5681" t="s">
        <v>58</v>
      </c>
      <c r="D5681" t="s">
        <v>13017</v>
      </c>
      <c r="E5681" t="s">
        <v>13017</v>
      </c>
      <c r="F5681" t="s">
        <v>76</v>
      </c>
      <c r="G5681" t="s">
        <v>13018</v>
      </c>
      <c r="H5681" t="s">
        <v>13019</v>
      </c>
      <c r="J5681" t="str">
        <f>HYPERLINK("https://www.youtube.com/watch?v=e4A2A7R9V5Q&amp;lc=UgxDKg0sERi8e6lE-5V4AaABAg","https://www.youtube.com/watch?v=e4A2A7R9V5Q&amp;lc=UgxDKg0sERi8e6lE-5V4AaABAg")</f>
        <v>https://www.youtube.com/watch?v=e4A2A7R9V5Q&amp;lc=UgxDKg0sERi8e6lE-5V4AaABAg</v>
      </c>
      <c r="O5681">
        <v>0</v>
      </c>
      <c r="P5681">
        <v>0</v>
      </c>
      <c r="Q5681">
        <v>0</v>
      </c>
      <c r="S5681">
        <v>0</v>
      </c>
      <c r="T5681">
        <v>0</v>
      </c>
      <c r="U5681">
        <v>0</v>
      </c>
      <c r="W5681" t="s">
        <v>62</v>
      </c>
    </row>
    <row r="5682" spans="1:42" x14ac:dyDescent="0.35">
      <c r="A5682" t="s">
        <v>45</v>
      </c>
      <c r="B5682" t="s">
        <v>12945</v>
      </c>
      <c r="C5682" t="s">
        <v>58</v>
      </c>
      <c r="D5682" t="s">
        <v>13020</v>
      </c>
      <c r="E5682" t="s">
        <v>13020</v>
      </c>
      <c r="F5682" t="s">
        <v>76</v>
      </c>
      <c r="G5682" t="s">
        <v>2900</v>
      </c>
      <c r="H5682" t="s">
        <v>13021</v>
      </c>
      <c r="J5682" t="str">
        <f>HYPERLINK("https://www.youtube.com/watch?v=e4A2A7R9V5Q&amp;lc=UgyI6Jt5CMz-3aWxQhh4AaABAg","https://www.youtube.com/watch?v=e4A2A7R9V5Q&amp;lc=UgyI6Jt5CMz-3aWxQhh4AaABAg")</f>
        <v>https://www.youtube.com/watch?v=e4A2A7R9V5Q&amp;lc=UgyI6Jt5CMz-3aWxQhh4AaABAg</v>
      </c>
      <c r="O5682">
        <v>0</v>
      </c>
      <c r="P5682">
        <v>0</v>
      </c>
      <c r="Q5682">
        <v>0</v>
      </c>
      <c r="S5682">
        <v>0</v>
      </c>
      <c r="T5682">
        <v>0</v>
      </c>
      <c r="U5682">
        <v>0</v>
      </c>
      <c r="W5682" t="s">
        <v>62</v>
      </c>
    </row>
    <row r="5683" spans="1:42" x14ac:dyDescent="0.35">
      <c r="A5683" t="s">
        <v>45</v>
      </c>
      <c r="B5683" t="s">
        <v>12945</v>
      </c>
      <c r="C5683" t="s">
        <v>58</v>
      </c>
      <c r="D5683" t="s">
        <v>13022</v>
      </c>
      <c r="E5683" t="s">
        <v>13022</v>
      </c>
      <c r="F5683" t="s">
        <v>49</v>
      </c>
      <c r="G5683" t="s">
        <v>13023</v>
      </c>
      <c r="H5683" t="s">
        <v>13024</v>
      </c>
      <c r="J5683" t="str">
        <f>HYPERLINK("https://www.youtube.com/watch?v=e4A2A7R9V5Q&amp;lc=UgxWmu7trTpEs45sz_d4AaABAg","https://www.youtube.com/watch?v=e4A2A7R9V5Q&amp;lc=UgxWmu7trTpEs45sz_d4AaABAg")</f>
        <v>https://www.youtube.com/watch?v=e4A2A7R9V5Q&amp;lc=UgxWmu7trTpEs45sz_d4AaABAg</v>
      </c>
      <c r="O5683">
        <v>0</v>
      </c>
      <c r="P5683">
        <v>0</v>
      </c>
      <c r="Q5683">
        <v>0</v>
      </c>
      <c r="S5683">
        <v>0</v>
      </c>
      <c r="T5683">
        <v>0</v>
      </c>
      <c r="U5683">
        <v>0</v>
      </c>
      <c r="W5683" t="s">
        <v>62</v>
      </c>
    </row>
    <row r="5684" spans="1:42" x14ac:dyDescent="0.35">
      <c r="A5684" t="s">
        <v>45</v>
      </c>
      <c r="B5684" t="s">
        <v>12945</v>
      </c>
      <c r="C5684" t="s">
        <v>58</v>
      </c>
      <c r="D5684" t="s">
        <v>13025</v>
      </c>
      <c r="E5684" t="s">
        <v>13025</v>
      </c>
      <c r="F5684" t="s">
        <v>76</v>
      </c>
      <c r="G5684" t="s">
        <v>13026</v>
      </c>
      <c r="H5684" t="s">
        <v>13027</v>
      </c>
      <c r="J5684" t="str">
        <f>HYPERLINK("https://www.youtube.com/watch?v=e4A2A7R9V5Q&amp;lc=UgxhfCui8LLXgHVm06V4AaABAg","https://www.youtube.com/watch?v=e4A2A7R9V5Q&amp;lc=UgxhfCui8LLXgHVm06V4AaABAg")</f>
        <v>https://www.youtube.com/watch?v=e4A2A7R9V5Q&amp;lc=UgxhfCui8LLXgHVm06V4AaABAg</v>
      </c>
      <c r="O5684">
        <v>0</v>
      </c>
      <c r="P5684">
        <v>0</v>
      </c>
      <c r="Q5684">
        <v>0</v>
      </c>
      <c r="S5684">
        <v>0</v>
      </c>
      <c r="T5684">
        <v>0</v>
      </c>
      <c r="U5684">
        <v>0</v>
      </c>
      <c r="W5684" t="s">
        <v>62</v>
      </c>
    </row>
    <row r="5685" spans="1:42" x14ac:dyDescent="0.35">
      <c r="A5685" t="s">
        <v>45</v>
      </c>
      <c r="B5685" t="s">
        <v>12945</v>
      </c>
      <c r="C5685" t="s">
        <v>58</v>
      </c>
      <c r="D5685" t="s">
        <v>13028</v>
      </c>
      <c r="E5685" t="s">
        <v>13028</v>
      </c>
      <c r="F5685" t="s">
        <v>76</v>
      </c>
      <c r="G5685" t="s">
        <v>1183</v>
      </c>
      <c r="H5685" t="s">
        <v>13029</v>
      </c>
      <c r="J5685" t="str">
        <f>HYPERLINK("https://www.youtube.com/watch?v=e4A2A7R9V5Q&amp;lc=UgzyNE7wJuJXQQgU_mV4AaABAg","https://www.youtube.com/watch?v=e4A2A7R9V5Q&amp;lc=UgzyNE7wJuJXQQgU_mV4AaABAg")</f>
        <v>https://www.youtube.com/watch?v=e4A2A7R9V5Q&amp;lc=UgzyNE7wJuJXQQgU_mV4AaABAg</v>
      </c>
      <c r="O5685">
        <v>0</v>
      </c>
      <c r="P5685">
        <v>0</v>
      </c>
      <c r="Q5685">
        <v>0</v>
      </c>
      <c r="S5685">
        <v>0</v>
      </c>
      <c r="T5685">
        <v>0</v>
      </c>
      <c r="U5685">
        <v>0</v>
      </c>
      <c r="W5685" t="s">
        <v>62</v>
      </c>
    </row>
    <row r="5686" spans="1:42" x14ac:dyDescent="0.35">
      <c r="A5686" t="s">
        <v>45</v>
      </c>
      <c r="B5686" t="s">
        <v>12945</v>
      </c>
      <c r="C5686" t="s">
        <v>47</v>
      </c>
      <c r="D5686" t="s">
        <v>13030</v>
      </c>
      <c r="E5686" t="s">
        <v>13030</v>
      </c>
      <c r="F5686" t="s">
        <v>49</v>
      </c>
      <c r="G5686" t="s">
        <v>13031</v>
      </c>
      <c r="H5686" t="s">
        <v>13032</v>
      </c>
      <c r="J5686" t="str">
        <f>HYPERLINK("https://www.facebook.com/357267201017935/posts/3069910089753619/?comment_id=895174268993080","https://www.facebook.com/357267201017935/posts/3069910089753619/?comment_id=895174268993080")</f>
        <v>https://www.facebook.com/357267201017935/posts/3069910089753619/?comment_id=895174268993080</v>
      </c>
      <c r="O5686">
        <v>0</v>
      </c>
      <c r="P5686">
        <v>0</v>
      </c>
      <c r="Q5686">
        <v>0</v>
      </c>
      <c r="S5686">
        <v>0</v>
      </c>
      <c r="T5686">
        <v>0</v>
      </c>
      <c r="U5686">
        <v>0</v>
      </c>
      <c r="W5686" t="s">
        <v>62</v>
      </c>
    </row>
    <row r="5687" spans="1:42" x14ac:dyDescent="0.35">
      <c r="A5687" t="s">
        <v>45</v>
      </c>
      <c r="B5687" t="s">
        <v>12945</v>
      </c>
      <c r="C5687" t="s">
        <v>47</v>
      </c>
      <c r="D5687" t="s">
        <v>13030</v>
      </c>
      <c r="E5687" t="s">
        <v>13030</v>
      </c>
      <c r="F5687" t="s">
        <v>49</v>
      </c>
      <c r="G5687" t="s">
        <v>13033</v>
      </c>
      <c r="H5687" t="s">
        <v>13034</v>
      </c>
      <c r="J5687" t="str">
        <f>HYPERLINK("https://www.facebook.com/357267201017935/posts/3069910089753619/?comment_id=1097994304985113","https://www.facebook.com/357267201017935/posts/3069910089753619/?comment_id=1097994304985113")</f>
        <v>https://www.facebook.com/357267201017935/posts/3069910089753619/?comment_id=1097994304985113</v>
      </c>
      <c r="O5687">
        <v>0</v>
      </c>
      <c r="P5687">
        <v>0</v>
      </c>
      <c r="Q5687">
        <v>0</v>
      </c>
      <c r="S5687">
        <v>0</v>
      </c>
      <c r="T5687">
        <v>0</v>
      </c>
      <c r="U5687">
        <v>0</v>
      </c>
      <c r="W5687" t="s">
        <v>62</v>
      </c>
    </row>
    <row r="5688" spans="1:42" x14ac:dyDescent="0.35">
      <c r="A5688" t="s">
        <v>45</v>
      </c>
      <c r="B5688" t="s">
        <v>12945</v>
      </c>
      <c r="C5688" t="s">
        <v>58</v>
      </c>
      <c r="D5688" t="s">
        <v>13035</v>
      </c>
      <c r="E5688" t="s">
        <v>13035</v>
      </c>
      <c r="F5688" t="s">
        <v>49</v>
      </c>
      <c r="G5688" t="s">
        <v>131</v>
      </c>
      <c r="H5688" t="s">
        <v>13036</v>
      </c>
      <c r="J5688" t="str">
        <f>HYPERLINK("https://www.youtube.com/watch?v=e4A2A7R9V5Q&amp;lc=Ugyr-EUZspNCxxsZoFh4AaABAg","https://www.youtube.com/watch?v=e4A2A7R9V5Q&amp;lc=Ugyr-EUZspNCxxsZoFh4AaABAg")</f>
        <v>https://www.youtube.com/watch?v=e4A2A7R9V5Q&amp;lc=Ugyr-EUZspNCxxsZoFh4AaABAg</v>
      </c>
      <c r="O5688">
        <v>0</v>
      </c>
      <c r="P5688">
        <v>0</v>
      </c>
      <c r="Q5688">
        <v>0</v>
      </c>
      <c r="S5688">
        <v>0</v>
      </c>
      <c r="T5688">
        <v>0</v>
      </c>
      <c r="U5688">
        <v>0</v>
      </c>
      <c r="W5688" t="s">
        <v>62</v>
      </c>
    </row>
    <row r="5689" spans="1:42" x14ac:dyDescent="0.35">
      <c r="A5689" t="s">
        <v>45</v>
      </c>
      <c r="B5689" t="s">
        <v>12945</v>
      </c>
      <c r="C5689" t="s">
        <v>47</v>
      </c>
      <c r="D5689" t="s">
        <v>2899</v>
      </c>
      <c r="E5689" t="s">
        <v>2899</v>
      </c>
      <c r="F5689" t="s">
        <v>76</v>
      </c>
      <c r="G5689" t="s">
        <v>13037</v>
      </c>
      <c r="H5689" t="s">
        <v>13038</v>
      </c>
      <c r="J5689" t="str">
        <f>HYPERLINK("https://www.facebook.com/454965103328545/posts/744159567742429?comment_id=1457725508107699","https://www.facebook.com/454965103328545/posts/744159567742429?comment_id=1457725508107699")</f>
        <v>https://www.facebook.com/454965103328545/posts/744159567742429?comment_id=1457725508107699</v>
      </c>
      <c r="O5689">
        <v>0</v>
      </c>
      <c r="P5689">
        <v>0</v>
      </c>
      <c r="Q5689">
        <v>0</v>
      </c>
      <c r="S5689">
        <v>0</v>
      </c>
      <c r="T5689">
        <v>0</v>
      </c>
      <c r="U5689">
        <v>0</v>
      </c>
      <c r="W5689" t="s">
        <v>62</v>
      </c>
    </row>
    <row r="5690" spans="1:42" x14ac:dyDescent="0.35">
      <c r="A5690" t="s">
        <v>45</v>
      </c>
      <c r="B5690" t="s">
        <v>12945</v>
      </c>
      <c r="C5690" t="s">
        <v>47</v>
      </c>
      <c r="D5690" t="s">
        <v>3619</v>
      </c>
      <c r="E5690" t="s">
        <v>3619</v>
      </c>
      <c r="F5690" t="s">
        <v>76</v>
      </c>
      <c r="G5690" t="s">
        <v>2121</v>
      </c>
      <c r="H5690" t="s">
        <v>13039</v>
      </c>
      <c r="J5690" t="str">
        <f>HYPERLINK("https://www.facebook.com/454965103328545/posts/744159567742429?comment_id=1176506769994021","https://www.facebook.com/454965103328545/posts/744159567742429?comment_id=1176506769994021")</f>
        <v>https://www.facebook.com/454965103328545/posts/744159567742429?comment_id=1176506769994021</v>
      </c>
      <c r="O5690">
        <v>0</v>
      </c>
      <c r="P5690">
        <v>0</v>
      </c>
      <c r="Q5690">
        <v>0</v>
      </c>
      <c r="S5690">
        <v>0</v>
      </c>
      <c r="T5690">
        <v>0</v>
      </c>
      <c r="U5690">
        <v>0</v>
      </c>
      <c r="W5690" t="s">
        <v>62</v>
      </c>
    </row>
    <row r="5691" spans="1:42" x14ac:dyDescent="0.35">
      <c r="A5691" t="s">
        <v>45</v>
      </c>
      <c r="B5691" t="s">
        <v>12945</v>
      </c>
      <c r="C5691" t="s">
        <v>139</v>
      </c>
      <c r="D5691" t="s">
        <v>190</v>
      </c>
      <c r="E5691" t="s">
        <v>45</v>
      </c>
      <c r="F5691" t="s">
        <v>49</v>
      </c>
      <c r="G5691" t="s">
        <v>13040</v>
      </c>
      <c r="H5691" t="s">
        <v>13041</v>
      </c>
      <c r="J5691" t="str">
        <f>HYPERLINK("https://twitter.com/FinoPaymntsBank/status/1741647935606235292","https://twitter.com/FinoPaymntsBank/status/1741647935606235292")</f>
        <v>https://twitter.com/FinoPaymntsBank/status/1741647935606235292</v>
      </c>
      <c r="K5691" t="s">
        <v>145</v>
      </c>
      <c r="O5691">
        <v>0</v>
      </c>
      <c r="P5691">
        <v>0</v>
      </c>
      <c r="Q5691">
        <v>8290</v>
      </c>
      <c r="R5691" t="s">
        <v>193</v>
      </c>
      <c r="S5691">
        <v>0</v>
      </c>
      <c r="T5691">
        <v>0</v>
      </c>
      <c r="U5691">
        <v>0</v>
      </c>
      <c r="W5691" t="s">
        <v>146</v>
      </c>
    </row>
    <row r="5692" spans="1:42" x14ac:dyDescent="0.35">
      <c r="A5692" t="s">
        <v>45</v>
      </c>
      <c r="B5692" t="s">
        <v>12945</v>
      </c>
      <c r="C5692" t="s">
        <v>47</v>
      </c>
      <c r="D5692" t="s">
        <v>45</v>
      </c>
      <c r="E5692" t="s">
        <v>45</v>
      </c>
      <c r="F5692" t="s">
        <v>49</v>
      </c>
      <c r="G5692" t="s">
        <v>13042</v>
      </c>
      <c r="H5692" t="s">
        <v>13041</v>
      </c>
      <c r="J5692" t="str">
        <f>HYPERLINK("https://www.facebook.com/357267201017935_744159567742429","https://www.facebook.com/357267201017935_744159567742429")</f>
        <v>https://www.facebook.com/357267201017935_744159567742429</v>
      </c>
      <c r="O5692">
        <v>0</v>
      </c>
      <c r="P5692">
        <v>0</v>
      </c>
      <c r="Q5692">
        <v>0</v>
      </c>
      <c r="S5692">
        <v>13</v>
      </c>
      <c r="T5692">
        <v>189</v>
      </c>
      <c r="U5692">
        <v>21</v>
      </c>
      <c r="W5692" t="s">
        <v>106</v>
      </c>
    </row>
    <row r="5693" spans="1:42" x14ac:dyDescent="0.35">
      <c r="A5693" t="s">
        <v>45</v>
      </c>
      <c r="B5693" t="s">
        <v>12945</v>
      </c>
      <c r="C5693" t="s">
        <v>47</v>
      </c>
      <c r="D5693" t="s">
        <v>9179</v>
      </c>
      <c r="E5693" t="s">
        <v>9179</v>
      </c>
      <c r="F5693" t="s">
        <v>49</v>
      </c>
      <c r="G5693" t="s">
        <v>13043</v>
      </c>
      <c r="H5693" t="s">
        <v>13044</v>
      </c>
      <c r="J5693" t="str">
        <f>HYPERLINK("https://www.facebook.com/357267201017935/inbox/6871001786311078/","https://www.facebook.com/357267201017935/inbox/6871001786311078/")</f>
        <v>https://www.facebook.com/357267201017935/inbox/6871001786311078/</v>
      </c>
      <c r="O5693">
        <v>0</v>
      </c>
      <c r="P5693">
        <v>0</v>
      </c>
      <c r="Q5693">
        <v>0</v>
      </c>
      <c r="S5693">
        <v>0</v>
      </c>
      <c r="T5693">
        <v>0</v>
      </c>
      <c r="U5693">
        <v>0</v>
      </c>
      <c r="W5693" t="s">
        <v>52</v>
      </c>
      <c r="AP5693" t="s">
        <v>94</v>
      </c>
    </row>
    <row r="5694" spans="1:42" x14ac:dyDescent="0.35">
      <c r="A5694" t="s">
        <v>45</v>
      </c>
      <c r="B5694" t="s">
        <v>12945</v>
      </c>
      <c r="C5694" t="s">
        <v>47</v>
      </c>
      <c r="D5694" t="s">
        <v>9179</v>
      </c>
      <c r="E5694" t="s">
        <v>9179</v>
      </c>
      <c r="F5694" t="s">
        <v>76</v>
      </c>
      <c r="G5694" t="s">
        <v>13045</v>
      </c>
      <c r="H5694" t="s">
        <v>13046</v>
      </c>
      <c r="J5694" t="str">
        <f>HYPERLINK("https://www.facebook.com/357267201017935/inbox/6871001786311078/","https://www.facebook.com/357267201017935/inbox/6871001786311078/")</f>
        <v>https://www.facebook.com/357267201017935/inbox/6871001786311078/</v>
      </c>
      <c r="O5694">
        <v>0</v>
      </c>
      <c r="P5694">
        <v>0</v>
      </c>
      <c r="Q5694">
        <v>0</v>
      </c>
      <c r="S5694">
        <v>0</v>
      </c>
      <c r="T5694">
        <v>0</v>
      </c>
      <c r="U5694">
        <v>0</v>
      </c>
      <c r="W5694" t="s">
        <v>52</v>
      </c>
    </row>
    <row r="5695" spans="1:42" x14ac:dyDescent="0.35">
      <c r="A5695" t="s">
        <v>45</v>
      </c>
      <c r="B5695" t="s">
        <v>12945</v>
      </c>
      <c r="C5695" t="s">
        <v>58</v>
      </c>
      <c r="D5695" t="s">
        <v>13047</v>
      </c>
      <c r="E5695" t="s">
        <v>13047</v>
      </c>
      <c r="F5695" t="s">
        <v>76</v>
      </c>
      <c r="G5695" t="s">
        <v>13048</v>
      </c>
      <c r="H5695" t="s">
        <v>13049</v>
      </c>
      <c r="J5695" t="str">
        <f>HYPERLINK("https://www.youtube.com/watch?v=e4A2A7R9V5Q&amp;lc=UgxIHx-aJChkdJaDk8Z4AaABAg","https://www.youtube.com/watch?v=e4A2A7R9V5Q&amp;lc=UgxIHx-aJChkdJaDk8Z4AaABAg")</f>
        <v>https://www.youtube.com/watch?v=e4A2A7R9V5Q&amp;lc=UgxIHx-aJChkdJaDk8Z4AaABAg</v>
      </c>
      <c r="O5695">
        <v>0</v>
      </c>
      <c r="P5695">
        <v>0</v>
      </c>
      <c r="Q5695">
        <v>0</v>
      </c>
      <c r="S5695">
        <v>0</v>
      </c>
      <c r="T5695">
        <v>0</v>
      </c>
      <c r="U5695">
        <v>0</v>
      </c>
      <c r="W5695" t="s">
        <v>62</v>
      </c>
    </row>
    <row r="5696" spans="1:42" x14ac:dyDescent="0.35">
      <c r="A5696" t="s">
        <v>45</v>
      </c>
      <c r="B5696" t="s">
        <v>12945</v>
      </c>
      <c r="C5696" t="s">
        <v>58</v>
      </c>
      <c r="D5696" t="s">
        <v>13047</v>
      </c>
      <c r="E5696" t="s">
        <v>13047</v>
      </c>
      <c r="F5696" t="s">
        <v>76</v>
      </c>
      <c r="G5696" t="s">
        <v>13050</v>
      </c>
      <c r="H5696" t="s">
        <v>13051</v>
      </c>
      <c r="J5696" t="str">
        <f>HYPERLINK("https://www.youtube.com/watch?v=e4A2A7R9V5Q&amp;lc=UgwzWveDgsUooCvxS1B4AaABAg","https://www.youtube.com/watch?v=e4A2A7R9V5Q&amp;lc=UgwzWveDgsUooCvxS1B4AaABAg")</f>
        <v>https://www.youtube.com/watch?v=e4A2A7R9V5Q&amp;lc=UgwzWveDgsUooCvxS1B4AaABAg</v>
      </c>
      <c r="O5696">
        <v>0</v>
      </c>
      <c r="P5696">
        <v>0</v>
      </c>
      <c r="Q5696">
        <v>0</v>
      </c>
      <c r="S5696">
        <v>0</v>
      </c>
      <c r="T5696">
        <v>0</v>
      </c>
      <c r="U5696">
        <v>0</v>
      </c>
      <c r="W5696" t="s">
        <v>62</v>
      </c>
    </row>
    <row r="5697" spans="1:42" x14ac:dyDescent="0.35">
      <c r="A5697" t="s">
        <v>45</v>
      </c>
      <c r="B5697" t="s">
        <v>12945</v>
      </c>
      <c r="C5697" t="s">
        <v>47</v>
      </c>
      <c r="D5697" t="s">
        <v>13052</v>
      </c>
      <c r="E5697" t="s">
        <v>13052</v>
      </c>
      <c r="F5697" t="s">
        <v>49</v>
      </c>
      <c r="G5697" t="s">
        <v>13053</v>
      </c>
      <c r="H5697" t="s">
        <v>13054</v>
      </c>
      <c r="J5697" t="str">
        <f>HYPERLINK("https://www.facebook.com/454965103328545/posts/725672139591172?comment_id=679725157544212","https://www.facebook.com/454965103328545/posts/725672139591172?comment_id=679725157544212")</f>
        <v>https://www.facebook.com/454965103328545/posts/725672139591172?comment_id=679725157544212</v>
      </c>
      <c r="O5697">
        <v>0</v>
      </c>
      <c r="P5697">
        <v>0</v>
      </c>
      <c r="Q5697">
        <v>0</v>
      </c>
      <c r="S5697">
        <v>0</v>
      </c>
      <c r="T5697">
        <v>0</v>
      </c>
      <c r="U5697">
        <v>0</v>
      </c>
      <c r="W5697" t="s">
        <v>62</v>
      </c>
      <c r="AP5697" t="s">
        <v>94</v>
      </c>
    </row>
    <row r="5698" spans="1:42" x14ac:dyDescent="0.35">
      <c r="A5698" t="s">
        <v>45</v>
      </c>
      <c r="B5698" t="s">
        <v>12945</v>
      </c>
      <c r="C5698" t="s">
        <v>58</v>
      </c>
      <c r="D5698" t="s">
        <v>13055</v>
      </c>
      <c r="E5698" t="s">
        <v>13055</v>
      </c>
      <c r="F5698" t="s">
        <v>49</v>
      </c>
      <c r="G5698" t="s">
        <v>459</v>
      </c>
      <c r="H5698" t="s">
        <v>13056</v>
      </c>
      <c r="J5698" t="str">
        <f>HYPERLINK("https://www.youtube.com/watch?v=izgWXHIWFFg&amp;lc=UgwhUk22J8dTSVFwzBZ4AaABAg","https://www.youtube.com/watch?v=izgWXHIWFFg&amp;lc=UgwhUk22J8dTSVFwzBZ4AaABAg")</f>
        <v>https://www.youtube.com/watch?v=izgWXHIWFFg&amp;lc=UgwhUk22J8dTSVFwzBZ4AaABAg</v>
      </c>
      <c r="O5698">
        <v>0</v>
      </c>
      <c r="P5698">
        <v>0</v>
      </c>
      <c r="Q5698">
        <v>0</v>
      </c>
      <c r="S5698">
        <v>0</v>
      </c>
      <c r="T5698">
        <v>0</v>
      </c>
      <c r="U5698">
        <v>0</v>
      </c>
      <c r="W5698" t="s">
        <v>62</v>
      </c>
    </row>
    <row r="5699" spans="1:42" x14ac:dyDescent="0.35">
      <c r="A5699" t="s">
        <v>45</v>
      </c>
      <c r="B5699" t="s">
        <v>12945</v>
      </c>
      <c r="C5699" t="s">
        <v>47</v>
      </c>
      <c r="D5699" t="s">
        <v>13057</v>
      </c>
      <c r="E5699" t="s">
        <v>13057</v>
      </c>
      <c r="F5699" t="s">
        <v>49</v>
      </c>
      <c r="G5699" t="s">
        <v>13058</v>
      </c>
      <c r="H5699" t="s">
        <v>13059</v>
      </c>
      <c r="J5699" t="str">
        <f>HYPERLINK("https://www.facebook.com/454965103328545/posts/725672139591172?comment_id=915715086848017","https://www.facebook.com/454965103328545/posts/725672139591172?comment_id=915715086848017")</f>
        <v>https://www.facebook.com/454965103328545/posts/725672139591172?comment_id=915715086848017</v>
      </c>
      <c r="O5699">
        <v>0</v>
      </c>
      <c r="P5699">
        <v>0</v>
      </c>
      <c r="Q5699">
        <v>0</v>
      </c>
      <c r="S5699">
        <v>0</v>
      </c>
      <c r="T5699">
        <v>0</v>
      </c>
      <c r="U5699">
        <v>0</v>
      </c>
      <c r="W5699" t="s">
        <v>62</v>
      </c>
    </row>
    <row r="5700" spans="1:42" x14ac:dyDescent="0.35">
      <c r="A5700" t="s">
        <v>45</v>
      </c>
      <c r="B5700" t="s">
        <v>12945</v>
      </c>
      <c r="C5700" t="s">
        <v>47</v>
      </c>
      <c r="D5700" t="s">
        <v>13060</v>
      </c>
      <c r="E5700" t="s">
        <v>13060</v>
      </c>
      <c r="F5700" t="s">
        <v>49</v>
      </c>
      <c r="G5700" t="s">
        <v>253</v>
      </c>
      <c r="H5700" t="s">
        <v>13061</v>
      </c>
      <c r="J5700" t="str">
        <f>HYPERLINK("https://www.facebook.com/357267201017935/inbox/6870063399738250/","https://www.facebook.com/357267201017935/inbox/6870063399738250/")</f>
        <v>https://www.facebook.com/357267201017935/inbox/6870063399738250/</v>
      </c>
      <c r="O5700">
        <v>0</v>
      </c>
      <c r="P5700">
        <v>0</v>
      </c>
      <c r="Q5700">
        <v>0</v>
      </c>
      <c r="S5700">
        <v>0</v>
      </c>
      <c r="T5700">
        <v>0</v>
      </c>
      <c r="U5700">
        <v>0</v>
      </c>
      <c r="W5700" t="s">
        <v>52</v>
      </c>
    </row>
    <row r="5701" spans="1:42" x14ac:dyDescent="0.35">
      <c r="A5701" t="s">
        <v>45</v>
      </c>
      <c r="B5701" t="s">
        <v>2881</v>
      </c>
      <c r="C5701" t="s">
        <v>13062</v>
      </c>
      <c r="D5701" t="s">
        <v>13063</v>
      </c>
      <c r="F5701" t="s">
        <v>49</v>
      </c>
      <c r="G5701" t="s">
        <v>13064</v>
      </c>
      <c r="H5701" t="s">
        <v>13065</v>
      </c>
      <c r="J5701" s="1" t="s">
        <v>13066</v>
      </c>
      <c r="N5701" t="s">
        <v>582</v>
      </c>
      <c r="AB5701" t="s">
        <v>13067</v>
      </c>
    </row>
    <row r="5702" spans="1:42" x14ac:dyDescent="0.35">
      <c r="A5702" t="s">
        <v>45</v>
      </c>
      <c r="B5702" t="s">
        <v>3648</v>
      </c>
      <c r="C5702" t="s">
        <v>13062</v>
      </c>
      <c r="D5702" t="s">
        <v>13068</v>
      </c>
      <c r="F5702" t="s">
        <v>49</v>
      </c>
      <c r="G5702" t="s">
        <v>13069</v>
      </c>
      <c r="H5702" t="s">
        <v>13070</v>
      </c>
      <c r="J5702" s="1" t="s">
        <v>13071</v>
      </c>
      <c r="N5702" t="s">
        <v>582</v>
      </c>
      <c r="AB5702" t="s">
        <v>13067</v>
      </c>
    </row>
    <row r="5703" spans="1:42" x14ac:dyDescent="0.35">
      <c r="A5703" t="s">
        <v>45</v>
      </c>
      <c r="B5703" t="s">
        <v>3824</v>
      </c>
      <c r="C5703" t="s">
        <v>13062</v>
      </c>
      <c r="D5703" t="s">
        <v>13072</v>
      </c>
      <c r="F5703" t="s">
        <v>49</v>
      </c>
      <c r="G5703" t="s">
        <v>13073</v>
      </c>
      <c r="H5703" t="s">
        <v>13074</v>
      </c>
      <c r="J5703" s="1" t="s">
        <v>13075</v>
      </c>
      <c r="N5703" t="s">
        <v>582</v>
      </c>
      <c r="AB5703" t="s">
        <v>13067</v>
      </c>
    </row>
    <row r="5704" spans="1:42" x14ac:dyDescent="0.35">
      <c r="A5704" t="s">
        <v>45</v>
      </c>
      <c r="B5704" t="s">
        <v>3824</v>
      </c>
      <c r="C5704" t="s">
        <v>13062</v>
      </c>
      <c r="D5704" t="s">
        <v>13076</v>
      </c>
      <c r="F5704" t="s">
        <v>49</v>
      </c>
      <c r="G5704" t="s">
        <v>13077</v>
      </c>
      <c r="H5704" t="s">
        <v>13078</v>
      </c>
      <c r="J5704" s="1" t="s">
        <v>13079</v>
      </c>
      <c r="N5704" t="s">
        <v>582</v>
      </c>
      <c r="AB5704" t="s">
        <v>13067</v>
      </c>
    </row>
    <row r="5705" spans="1:42" x14ac:dyDescent="0.35">
      <c r="A5705" t="s">
        <v>45</v>
      </c>
      <c r="B5705" t="s">
        <v>4184</v>
      </c>
      <c r="C5705" t="s">
        <v>13062</v>
      </c>
      <c r="D5705" t="s">
        <v>13080</v>
      </c>
      <c r="F5705" t="s">
        <v>49</v>
      </c>
      <c r="G5705" t="s">
        <v>13081</v>
      </c>
      <c r="H5705" t="s">
        <v>13082</v>
      </c>
      <c r="J5705" s="1" t="s">
        <v>13083</v>
      </c>
      <c r="N5705" t="s">
        <v>582</v>
      </c>
      <c r="AB5705" t="s">
        <v>13067</v>
      </c>
    </row>
    <row r="5706" spans="1:42" x14ac:dyDescent="0.35">
      <c r="A5706" t="s">
        <v>45</v>
      </c>
      <c r="B5706" t="s">
        <v>5380</v>
      </c>
      <c r="C5706" t="s">
        <v>13062</v>
      </c>
      <c r="D5706" t="s">
        <v>13084</v>
      </c>
      <c r="F5706" t="s">
        <v>49</v>
      </c>
      <c r="G5706" t="s">
        <v>13085</v>
      </c>
      <c r="H5706" t="s">
        <v>13086</v>
      </c>
      <c r="J5706" s="1" t="s">
        <v>13087</v>
      </c>
      <c r="N5706" t="s">
        <v>582</v>
      </c>
      <c r="AB5706" t="s">
        <v>13067</v>
      </c>
    </row>
    <row r="5707" spans="1:42" x14ac:dyDescent="0.35">
      <c r="A5707" t="s">
        <v>45</v>
      </c>
      <c r="B5707" t="s">
        <v>7677</v>
      </c>
      <c r="C5707" t="s">
        <v>13062</v>
      </c>
      <c r="D5707" t="s">
        <v>13088</v>
      </c>
      <c r="F5707" t="s">
        <v>49</v>
      </c>
      <c r="G5707" t="s">
        <v>13089</v>
      </c>
      <c r="H5707" t="s">
        <v>13090</v>
      </c>
      <c r="J5707" s="1" t="s">
        <v>13091</v>
      </c>
      <c r="N5707" t="s">
        <v>582</v>
      </c>
      <c r="AB5707" t="s">
        <v>13067</v>
      </c>
    </row>
    <row r="5708" spans="1:42" x14ac:dyDescent="0.35">
      <c r="A5708" t="s">
        <v>45</v>
      </c>
      <c r="B5708" t="s">
        <v>7804</v>
      </c>
      <c r="C5708" t="s">
        <v>13062</v>
      </c>
      <c r="D5708" t="s">
        <v>13092</v>
      </c>
      <c r="F5708" t="s">
        <v>49</v>
      </c>
      <c r="G5708" t="s">
        <v>13093</v>
      </c>
      <c r="H5708" t="s">
        <v>13094</v>
      </c>
      <c r="J5708" s="1" t="s">
        <v>13095</v>
      </c>
      <c r="N5708" t="s">
        <v>582</v>
      </c>
      <c r="AB5708" t="s">
        <v>13067</v>
      </c>
    </row>
    <row r="5709" spans="1:42" x14ac:dyDescent="0.35">
      <c r="A5709" t="s">
        <v>45</v>
      </c>
      <c r="B5709" t="s">
        <v>9950</v>
      </c>
      <c r="C5709" t="s">
        <v>13062</v>
      </c>
      <c r="D5709" t="s">
        <v>13096</v>
      </c>
      <c r="F5709" t="s">
        <v>49</v>
      </c>
      <c r="G5709" t="s">
        <v>13097</v>
      </c>
      <c r="H5709" t="s">
        <v>13098</v>
      </c>
      <c r="J5709" s="1" t="s">
        <v>13099</v>
      </c>
      <c r="N5709" t="s">
        <v>582</v>
      </c>
      <c r="AB5709" t="s">
        <v>13067</v>
      </c>
    </row>
    <row r="5710" spans="1:42" x14ac:dyDescent="0.35">
      <c r="A5710" t="s">
        <v>45</v>
      </c>
      <c r="B5710" t="s">
        <v>10288</v>
      </c>
      <c r="C5710" t="s">
        <v>13062</v>
      </c>
      <c r="D5710" t="s">
        <v>13100</v>
      </c>
      <c r="F5710" t="s">
        <v>49</v>
      </c>
      <c r="G5710" t="s">
        <v>13101</v>
      </c>
      <c r="H5710" t="s">
        <v>13102</v>
      </c>
      <c r="J5710" s="1" t="s">
        <v>13103</v>
      </c>
      <c r="N5710" t="s">
        <v>582</v>
      </c>
      <c r="AB5710" t="s">
        <v>13067</v>
      </c>
    </row>
    <row r="5711" spans="1:42" x14ac:dyDescent="0.35">
      <c r="A5711" t="s">
        <v>45</v>
      </c>
      <c r="B5711" t="s">
        <v>10532</v>
      </c>
      <c r="C5711" t="s">
        <v>13062</v>
      </c>
      <c r="D5711" t="s">
        <v>13104</v>
      </c>
      <c r="F5711" t="s">
        <v>49</v>
      </c>
      <c r="G5711" t="s">
        <v>13105</v>
      </c>
      <c r="H5711" t="s">
        <v>13106</v>
      </c>
      <c r="J5711" s="1" t="s">
        <v>13107</v>
      </c>
      <c r="N5711" t="s">
        <v>582</v>
      </c>
      <c r="AB5711" t="s">
        <v>13067</v>
      </c>
    </row>
    <row r="5712" spans="1:42" x14ac:dyDescent="0.35">
      <c r="A5712" t="s">
        <v>45</v>
      </c>
      <c r="B5712" t="s">
        <v>11414</v>
      </c>
      <c r="C5712" t="s">
        <v>13062</v>
      </c>
      <c r="D5712" t="s">
        <v>13108</v>
      </c>
      <c r="F5712" t="s">
        <v>49</v>
      </c>
      <c r="G5712" t="s">
        <v>13109</v>
      </c>
      <c r="H5712" t="s">
        <v>13110</v>
      </c>
      <c r="J5712" s="1" t="s">
        <v>13111</v>
      </c>
      <c r="N5712" t="s">
        <v>582</v>
      </c>
      <c r="AB5712" t="s">
        <v>13067</v>
      </c>
    </row>
    <row r="5713" spans="1:28" x14ac:dyDescent="0.35">
      <c r="A5713" t="s">
        <v>45</v>
      </c>
      <c r="B5713" t="s">
        <v>11795</v>
      </c>
      <c r="C5713" t="s">
        <v>13062</v>
      </c>
      <c r="D5713" t="s">
        <v>13112</v>
      </c>
      <c r="F5713" t="s">
        <v>49</v>
      </c>
      <c r="G5713" t="s">
        <v>13113</v>
      </c>
      <c r="H5713" t="s">
        <v>13114</v>
      </c>
      <c r="J5713" s="1" t="s">
        <v>13115</v>
      </c>
      <c r="N5713" t="s">
        <v>582</v>
      </c>
      <c r="AB5713" t="s">
        <v>13067</v>
      </c>
    </row>
    <row r="5714" spans="1:28" x14ac:dyDescent="0.35">
      <c r="A5714" t="s">
        <v>45</v>
      </c>
      <c r="B5714" t="s">
        <v>12510</v>
      </c>
      <c r="C5714" t="s">
        <v>13062</v>
      </c>
      <c r="D5714" t="s">
        <v>13116</v>
      </c>
      <c r="F5714" t="s">
        <v>49</v>
      </c>
      <c r="G5714" t="s">
        <v>13117</v>
      </c>
      <c r="H5714" t="s">
        <v>13118</v>
      </c>
      <c r="J5714" s="1" t="s">
        <v>13119</v>
      </c>
      <c r="K5714" t="s">
        <v>1994</v>
      </c>
      <c r="N5714" t="s">
        <v>582</v>
      </c>
      <c r="AB5714" t="s">
        <v>13067</v>
      </c>
    </row>
    <row r="5715" spans="1:28" x14ac:dyDescent="0.35">
      <c r="A5715" t="s">
        <v>45</v>
      </c>
      <c r="B5715" t="s">
        <v>12510</v>
      </c>
      <c r="C5715" t="s">
        <v>13062</v>
      </c>
      <c r="D5715" t="s">
        <v>13120</v>
      </c>
      <c r="F5715" t="s">
        <v>49</v>
      </c>
      <c r="G5715" t="s">
        <v>13121</v>
      </c>
      <c r="H5715" t="s">
        <v>13122</v>
      </c>
      <c r="J5715" s="1" t="s">
        <v>13123</v>
      </c>
      <c r="N5715" t="s">
        <v>582</v>
      </c>
      <c r="AB5715" t="s">
        <v>13067</v>
      </c>
    </row>
    <row r="5716" spans="1:28" x14ac:dyDescent="0.35">
      <c r="A5716" t="s">
        <v>45</v>
      </c>
      <c r="B5716" t="s">
        <v>12715</v>
      </c>
      <c r="C5716" t="s">
        <v>13062</v>
      </c>
      <c r="D5716" t="s">
        <v>13124</v>
      </c>
      <c r="F5716" t="s">
        <v>49</v>
      </c>
      <c r="G5716" t="s">
        <v>13125</v>
      </c>
      <c r="H5716" t="s">
        <v>13126</v>
      </c>
      <c r="J5716" s="1" t="s">
        <v>13127</v>
      </c>
      <c r="N5716" t="s">
        <v>582</v>
      </c>
      <c r="AB5716" t="s">
        <v>13067</v>
      </c>
    </row>
    <row r="5717" spans="1:28" x14ac:dyDescent="0.35">
      <c r="A5717" t="s">
        <v>45</v>
      </c>
      <c r="B5717" t="s">
        <v>12715</v>
      </c>
      <c r="C5717" t="s">
        <v>13062</v>
      </c>
      <c r="D5717" t="s">
        <v>13128</v>
      </c>
      <c r="F5717" t="s">
        <v>49</v>
      </c>
      <c r="G5717" t="s">
        <v>13129</v>
      </c>
      <c r="H5717" t="s">
        <v>13130</v>
      </c>
      <c r="J5717" s="1" t="s">
        <v>13131</v>
      </c>
      <c r="N5717" t="s">
        <v>582</v>
      </c>
      <c r="AB5717" t="s">
        <v>13067</v>
      </c>
    </row>
    <row r="5718" spans="1:28" x14ac:dyDescent="0.35">
      <c r="A5718" t="s">
        <v>45</v>
      </c>
      <c r="B5718" t="s">
        <v>12715</v>
      </c>
      <c r="C5718" t="s">
        <v>13062</v>
      </c>
      <c r="D5718" t="s">
        <v>13132</v>
      </c>
      <c r="F5718" t="s">
        <v>49</v>
      </c>
      <c r="G5718" t="s">
        <v>13133</v>
      </c>
      <c r="H5718" t="s">
        <v>13134</v>
      </c>
      <c r="J5718" s="1" t="s">
        <v>13135</v>
      </c>
      <c r="N5718" t="s">
        <v>582</v>
      </c>
      <c r="AB5718" t="s">
        <v>13067</v>
      </c>
    </row>
    <row r="5719" spans="1:28" x14ac:dyDescent="0.35">
      <c r="A5719" t="s">
        <v>45</v>
      </c>
      <c r="B5719" t="s">
        <v>1483</v>
      </c>
      <c r="C5719" t="s">
        <v>13136</v>
      </c>
      <c r="F5719" t="s">
        <v>49</v>
      </c>
      <c r="G5719" t="s">
        <v>13137</v>
      </c>
      <c r="H5719" t="s">
        <v>13138</v>
      </c>
      <c r="J5719" s="1" t="s">
        <v>13139</v>
      </c>
      <c r="AB5719" t="s">
        <v>13140</v>
      </c>
    </row>
    <row r="5720" spans="1:28" x14ac:dyDescent="0.35">
      <c r="A5720" t="s">
        <v>45</v>
      </c>
      <c r="B5720" t="s">
        <v>2328</v>
      </c>
      <c r="C5720" t="s">
        <v>13136</v>
      </c>
      <c r="F5720" t="s">
        <v>49</v>
      </c>
      <c r="G5720" t="s">
        <v>13141</v>
      </c>
      <c r="H5720" t="s">
        <v>13142</v>
      </c>
      <c r="J5720" s="1" t="s">
        <v>13143</v>
      </c>
      <c r="AB5720" t="s">
        <v>13140</v>
      </c>
    </row>
    <row r="5721" spans="1:28" x14ac:dyDescent="0.35">
      <c r="A5721" t="s">
        <v>45</v>
      </c>
      <c r="B5721" t="s">
        <v>2565</v>
      </c>
      <c r="C5721" t="s">
        <v>13136</v>
      </c>
      <c r="F5721" t="s">
        <v>49</v>
      </c>
      <c r="G5721" t="s">
        <v>13144</v>
      </c>
      <c r="H5721" t="s">
        <v>13145</v>
      </c>
      <c r="J5721" s="1" t="s">
        <v>13146</v>
      </c>
      <c r="AB5721" t="s">
        <v>13140</v>
      </c>
    </row>
    <row r="5722" spans="1:28" x14ac:dyDescent="0.35">
      <c r="A5722" t="s">
        <v>45</v>
      </c>
      <c r="B5722" t="s">
        <v>2565</v>
      </c>
      <c r="C5722" t="s">
        <v>13136</v>
      </c>
      <c r="F5722" t="s">
        <v>49</v>
      </c>
      <c r="G5722" t="s">
        <v>13147</v>
      </c>
      <c r="H5722" t="s">
        <v>13148</v>
      </c>
      <c r="J5722" s="1" t="s">
        <v>13149</v>
      </c>
      <c r="AB5722" t="s">
        <v>13150</v>
      </c>
    </row>
    <row r="5723" spans="1:28" x14ac:dyDescent="0.35">
      <c r="A5723" t="s">
        <v>45</v>
      </c>
      <c r="B5723" t="s">
        <v>2565</v>
      </c>
      <c r="C5723" t="s">
        <v>13136</v>
      </c>
      <c r="F5723" t="s">
        <v>49</v>
      </c>
      <c r="G5723" t="s">
        <v>13151</v>
      </c>
      <c r="H5723" t="s">
        <v>13152</v>
      </c>
      <c r="J5723" s="1" t="s">
        <v>13153</v>
      </c>
      <c r="AB5723" t="s">
        <v>13154</v>
      </c>
    </row>
    <row r="5724" spans="1:28" x14ac:dyDescent="0.35">
      <c r="A5724" t="s">
        <v>45</v>
      </c>
      <c r="B5724" t="s">
        <v>2753</v>
      </c>
      <c r="C5724" t="s">
        <v>13136</v>
      </c>
      <c r="F5724" t="s">
        <v>49</v>
      </c>
      <c r="G5724" t="s">
        <v>13155</v>
      </c>
      <c r="H5724" t="s">
        <v>13156</v>
      </c>
      <c r="J5724" s="1" t="s">
        <v>13157</v>
      </c>
      <c r="AB5724" t="s">
        <v>13158</v>
      </c>
    </row>
    <row r="5725" spans="1:28" x14ac:dyDescent="0.35">
      <c r="A5725" t="s">
        <v>45</v>
      </c>
      <c r="B5725" t="s">
        <v>2753</v>
      </c>
      <c r="C5725" t="s">
        <v>13136</v>
      </c>
      <c r="F5725" t="s">
        <v>49</v>
      </c>
      <c r="G5725" t="s">
        <v>13159</v>
      </c>
      <c r="H5725" t="s">
        <v>13160</v>
      </c>
      <c r="J5725" s="1" t="s">
        <v>13161</v>
      </c>
      <c r="AB5725" t="s">
        <v>13162</v>
      </c>
    </row>
    <row r="5726" spans="1:28" x14ac:dyDescent="0.35">
      <c r="A5726" t="s">
        <v>45</v>
      </c>
      <c r="B5726" t="s">
        <v>2753</v>
      </c>
      <c r="C5726" t="s">
        <v>13136</v>
      </c>
      <c r="F5726" t="s">
        <v>49</v>
      </c>
      <c r="G5726" t="s">
        <v>13163</v>
      </c>
      <c r="H5726" t="s">
        <v>13164</v>
      </c>
      <c r="J5726" s="1" t="s">
        <v>13165</v>
      </c>
      <c r="AB5726" t="s">
        <v>13140</v>
      </c>
    </row>
    <row r="5727" spans="1:28" x14ac:dyDescent="0.35">
      <c r="A5727" t="s">
        <v>45</v>
      </c>
      <c r="B5727" t="s">
        <v>2753</v>
      </c>
      <c r="C5727" t="s">
        <v>13136</v>
      </c>
      <c r="F5727" t="s">
        <v>49</v>
      </c>
      <c r="G5727" t="s">
        <v>13166</v>
      </c>
      <c r="H5727" t="s">
        <v>13167</v>
      </c>
      <c r="J5727" s="1" t="s">
        <v>13168</v>
      </c>
      <c r="AB5727" t="s">
        <v>13140</v>
      </c>
    </row>
    <row r="5728" spans="1:28" x14ac:dyDescent="0.35">
      <c r="A5728" t="s">
        <v>45</v>
      </c>
      <c r="B5728" t="s">
        <v>2753</v>
      </c>
      <c r="C5728" t="s">
        <v>13136</v>
      </c>
      <c r="F5728" t="s">
        <v>49</v>
      </c>
      <c r="G5728" t="s">
        <v>13169</v>
      </c>
      <c r="H5728" t="s">
        <v>13170</v>
      </c>
      <c r="J5728" s="1" t="s">
        <v>13171</v>
      </c>
      <c r="AB5728" t="s">
        <v>13140</v>
      </c>
    </row>
    <row r="5729" spans="1:28" x14ac:dyDescent="0.35">
      <c r="A5729" t="s">
        <v>45</v>
      </c>
      <c r="B5729" t="s">
        <v>2753</v>
      </c>
      <c r="C5729" t="s">
        <v>13136</v>
      </c>
      <c r="F5729" t="s">
        <v>49</v>
      </c>
      <c r="G5729" t="s">
        <v>13172</v>
      </c>
      <c r="H5729" t="s">
        <v>13173</v>
      </c>
      <c r="J5729" s="1" t="s">
        <v>13174</v>
      </c>
      <c r="AB5729" t="s">
        <v>13140</v>
      </c>
    </row>
    <row r="5730" spans="1:28" x14ac:dyDescent="0.35">
      <c r="A5730" t="s">
        <v>45</v>
      </c>
      <c r="B5730" t="s">
        <v>2753</v>
      </c>
      <c r="C5730" t="s">
        <v>13136</v>
      </c>
      <c r="F5730" t="s">
        <v>49</v>
      </c>
      <c r="G5730" t="s">
        <v>13175</v>
      </c>
      <c r="H5730" t="s">
        <v>13176</v>
      </c>
      <c r="J5730" s="1" t="s">
        <v>13177</v>
      </c>
      <c r="AB5730" t="s">
        <v>13178</v>
      </c>
    </row>
    <row r="5731" spans="1:28" x14ac:dyDescent="0.35">
      <c r="A5731" t="s">
        <v>45</v>
      </c>
      <c r="B5731" t="s">
        <v>2753</v>
      </c>
      <c r="C5731" t="s">
        <v>13136</v>
      </c>
      <c r="F5731" t="s">
        <v>49</v>
      </c>
      <c r="G5731" t="s">
        <v>13179</v>
      </c>
      <c r="H5731" t="s">
        <v>13180</v>
      </c>
      <c r="J5731" s="1" t="s">
        <v>13181</v>
      </c>
      <c r="AB5731" t="s">
        <v>13140</v>
      </c>
    </row>
    <row r="5732" spans="1:28" x14ac:dyDescent="0.35">
      <c r="A5732" t="s">
        <v>45</v>
      </c>
      <c r="B5732" t="s">
        <v>2753</v>
      </c>
      <c r="C5732" t="s">
        <v>13136</v>
      </c>
      <c r="F5732" t="s">
        <v>49</v>
      </c>
      <c r="G5732" t="s">
        <v>13182</v>
      </c>
      <c r="H5732" t="s">
        <v>13183</v>
      </c>
      <c r="J5732" s="1" t="s">
        <v>13184</v>
      </c>
      <c r="AB5732" t="s">
        <v>13140</v>
      </c>
    </row>
    <row r="5733" spans="1:28" x14ac:dyDescent="0.35">
      <c r="A5733" t="s">
        <v>45</v>
      </c>
      <c r="B5733" t="s">
        <v>2753</v>
      </c>
      <c r="C5733" t="s">
        <v>13136</v>
      </c>
      <c r="F5733" t="s">
        <v>49</v>
      </c>
      <c r="G5733" t="s">
        <v>13185</v>
      </c>
      <c r="H5733" t="s">
        <v>13186</v>
      </c>
      <c r="J5733" s="1" t="s">
        <v>13187</v>
      </c>
      <c r="AB5733" t="s">
        <v>13140</v>
      </c>
    </row>
    <row r="5734" spans="1:28" x14ac:dyDescent="0.35">
      <c r="A5734" t="s">
        <v>45</v>
      </c>
      <c r="B5734" t="s">
        <v>3209</v>
      </c>
      <c r="C5734" t="s">
        <v>13136</v>
      </c>
      <c r="F5734" t="s">
        <v>49</v>
      </c>
      <c r="G5734" t="s">
        <v>13188</v>
      </c>
      <c r="H5734" t="s">
        <v>13189</v>
      </c>
      <c r="J5734" s="1" t="s">
        <v>13190</v>
      </c>
      <c r="AB5734" t="s">
        <v>13191</v>
      </c>
    </row>
    <row r="5735" spans="1:28" x14ac:dyDescent="0.35">
      <c r="A5735" t="s">
        <v>45</v>
      </c>
      <c r="B5735" t="s">
        <v>3565</v>
      </c>
      <c r="C5735" t="s">
        <v>13136</v>
      </c>
      <c r="F5735" t="s">
        <v>49</v>
      </c>
      <c r="G5735" t="s">
        <v>13192</v>
      </c>
      <c r="H5735" t="s">
        <v>13193</v>
      </c>
      <c r="J5735" s="1" t="s">
        <v>13194</v>
      </c>
      <c r="AB5735" t="s">
        <v>13140</v>
      </c>
    </row>
    <row r="5736" spans="1:28" x14ac:dyDescent="0.35">
      <c r="A5736" t="s">
        <v>45</v>
      </c>
      <c r="B5736" t="s">
        <v>3723</v>
      </c>
      <c r="C5736" t="s">
        <v>13136</v>
      </c>
      <c r="F5736" t="s">
        <v>49</v>
      </c>
      <c r="G5736" t="s">
        <v>13195</v>
      </c>
      <c r="H5736" t="s">
        <v>13196</v>
      </c>
      <c r="J5736" s="1" t="s">
        <v>13197</v>
      </c>
      <c r="AB5736" t="s">
        <v>13140</v>
      </c>
    </row>
    <row r="5737" spans="1:28" x14ac:dyDescent="0.35">
      <c r="A5737" t="s">
        <v>45</v>
      </c>
      <c r="B5737" t="s">
        <v>4305</v>
      </c>
      <c r="C5737" t="s">
        <v>13136</v>
      </c>
      <c r="F5737" t="s">
        <v>49</v>
      </c>
      <c r="G5737" t="s">
        <v>13198</v>
      </c>
      <c r="H5737" t="s">
        <v>13199</v>
      </c>
      <c r="J5737" s="1" t="s">
        <v>13200</v>
      </c>
      <c r="AB5737" t="s">
        <v>2762</v>
      </c>
    </row>
    <row r="5738" spans="1:28" x14ac:dyDescent="0.35">
      <c r="A5738" t="s">
        <v>45</v>
      </c>
      <c r="B5738" t="s">
        <v>5204</v>
      </c>
      <c r="C5738" t="s">
        <v>13136</v>
      </c>
      <c r="F5738" t="s">
        <v>49</v>
      </c>
      <c r="G5738" t="s">
        <v>13201</v>
      </c>
      <c r="H5738" t="s">
        <v>13202</v>
      </c>
      <c r="J5738" s="1" t="s">
        <v>13203</v>
      </c>
      <c r="AB5738" t="s">
        <v>13140</v>
      </c>
    </row>
    <row r="5739" spans="1:28" x14ac:dyDescent="0.35">
      <c r="A5739" t="s">
        <v>45</v>
      </c>
      <c r="B5739" t="s">
        <v>5918</v>
      </c>
      <c r="C5739" t="s">
        <v>13136</v>
      </c>
      <c r="F5739" t="s">
        <v>49</v>
      </c>
      <c r="G5739" t="s">
        <v>13204</v>
      </c>
      <c r="H5739" t="s">
        <v>13205</v>
      </c>
      <c r="J5739" s="1" t="s">
        <v>13206</v>
      </c>
      <c r="AB5739" t="s">
        <v>13140</v>
      </c>
    </row>
    <row r="5740" spans="1:28" x14ac:dyDescent="0.35">
      <c r="A5740" t="s">
        <v>45</v>
      </c>
      <c r="B5740" t="s">
        <v>6350</v>
      </c>
      <c r="C5740" t="s">
        <v>13136</v>
      </c>
      <c r="F5740" t="s">
        <v>49</v>
      </c>
      <c r="G5740" t="s">
        <v>13207</v>
      </c>
      <c r="H5740" t="s">
        <v>13208</v>
      </c>
      <c r="J5740" s="1" t="s">
        <v>13209</v>
      </c>
      <c r="AB5740" t="s">
        <v>13210</v>
      </c>
    </row>
    <row r="5741" spans="1:28" x14ac:dyDescent="0.35">
      <c r="A5741" t="s">
        <v>45</v>
      </c>
      <c r="B5741" t="s">
        <v>7092</v>
      </c>
      <c r="C5741" t="s">
        <v>13136</v>
      </c>
      <c r="F5741" t="s">
        <v>49</v>
      </c>
      <c r="G5741" t="s">
        <v>13211</v>
      </c>
      <c r="H5741" t="s">
        <v>13212</v>
      </c>
      <c r="J5741" s="1" t="s">
        <v>13213</v>
      </c>
      <c r="AB5741" t="s">
        <v>13158</v>
      </c>
    </row>
    <row r="5742" spans="1:28" x14ac:dyDescent="0.35">
      <c r="A5742" t="s">
        <v>45</v>
      </c>
      <c r="B5742" t="s">
        <v>7279</v>
      </c>
      <c r="C5742" t="s">
        <v>13136</v>
      </c>
      <c r="F5742" t="s">
        <v>49</v>
      </c>
      <c r="G5742" t="s">
        <v>13214</v>
      </c>
      <c r="H5742" t="s">
        <v>13215</v>
      </c>
      <c r="J5742" s="1" t="s">
        <v>13216</v>
      </c>
      <c r="AB5742" t="s">
        <v>13217</v>
      </c>
    </row>
    <row r="5743" spans="1:28" x14ac:dyDescent="0.35">
      <c r="A5743" t="s">
        <v>45</v>
      </c>
      <c r="B5743" t="s">
        <v>7399</v>
      </c>
      <c r="C5743" t="s">
        <v>13136</v>
      </c>
      <c r="F5743" t="s">
        <v>49</v>
      </c>
      <c r="G5743" t="s">
        <v>13218</v>
      </c>
      <c r="H5743" t="s">
        <v>13219</v>
      </c>
      <c r="J5743" s="1" t="s">
        <v>13220</v>
      </c>
      <c r="AB5743" t="s">
        <v>13210</v>
      </c>
    </row>
    <row r="5744" spans="1:28" x14ac:dyDescent="0.35">
      <c r="A5744" t="s">
        <v>45</v>
      </c>
      <c r="B5744" t="s">
        <v>7399</v>
      </c>
      <c r="C5744" t="s">
        <v>13136</v>
      </c>
      <c r="F5744" t="s">
        <v>49</v>
      </c>
      <c r="G5744" t="s">
        <v>13221</v>
      </c>
      <c r="H5744" t="s">
        <v>13222</v>
      </c>
      <c r="J5744" s="1" t="s">
        <v>13223</v>
      </c>
      <c r="AB5744" t="s">
        <v>13224</v>
      </c>
    </row>
    <row r="5745" spans="1:28" x14ac:dyDescent="0.35">
      <c r="A5745" t="s">
        <v>45</v>
      </c>
      <c r="B5745" t="s">
        <v>7399</v>
      </c>
      <c r="C5745" t="s">
        <v>13136</v>
      </c>
      <c r="F5745" t="s">
        <v>49</v>
      </c>
      <c r="G5745" t="s">
        <v>13225</v>
      </c>
      <c r="H5745" t="s">
        <v>13226</v>
      </c>
      <c r="J5745" s="1" t="s">
        <v>13227</v>
      </c>
      <c r="AB5745" t="s">
        <v>13140</v>
      </c>
    </row>
    <row r="5746" spans="1:28" x14ac:dyDescent="0.35">
      <c r="A5746" t="s">
        <v>45</v>
      </c>
      <c r="B5746" t="s">
        <v>8332</v>
      </c>
      <c r="C5746" t="s">
        <v>13136</v>
      </c>
      <c r="F5746" t="s">
        <v>49</v>
      </c>
      <c r="G5746" t="s">
        <v>13228</v>
      </c>
      <c r="H5746" t="s">
        <v>13229</v>
      </c>
      <c r="J5746" s="1" t="s">
        <v>13230</v>
      </c>
      <c r="AB5746" t="s">
        <v>13140</v>
      </c>
    </row>
    <row r="5747" spans="1:28" x14ac:dyDescent="0.35">
      <c r="A5747" t="s">
        <v>45</v>
      </c>
      <c r="B5747" t="s">
        <v>8332</v>
      </c>
      <c r="C5747" t="s">
        <v>13136</v>
      </c>
      <c r="F5747" t="s">
        <v>49</v>
      </c>
      <c r="G5747" t="s">
        <v>13231</v>
      </c>
      <c r="H5747" t="s">
        <v>13232</v>
      </c>
      <c r="J5747" s="1" t="s">
        <v>13233</v>
      </c>
      <c r="AB5747" t="s">
        <v>13234</v>
      </c>
    </row>
    <row r="5748" spans="1:28" x14ac:dyDescent="0.35">
      <c r="A5748" t="s">
        <v>45</v>
      </c>
      <c r="B5748" t="s">
        <v>8332</v>
      </c>
      <c r="C5748" t="s">
        <v>13136</v>
      </c>
      <c r="F5748" t="s">
        <v>49</v>
      </c>
      <c r="G5748" t="s">
        <v>13235</v>
      </c>
      <c r="H5748" t="s">
        <v>13236</v>
      </c>
      <c r="J5748" s="1" t="s">
        <v>13237</v>
      </c>
      <c r="AB5748" t="s">
        <v>13140</v>
      </c>
    </row>
    <row r="5749" spans="1:28" x14ac:dyDescent="0.35">
      <c r="A5749" t="s">
        <v>45</v>
      </c>
      <c r="B5749" t="s">
        <v>8332</v>
      </c>
      <c r="C5749" t="s">
        <v>13136</v>
      </c>
      <c r="F5749" t="s">
        <v>76</v>
      </c>
      <c r="G5749" t="s">
        <v>13238</v>
      </c>
      <c r="H5749" t="s">
        <v>13239</v>
      </c>
      <c r="J5749" s="1" t="s">
        <v>13240</v>
      </c>
      <c r="AB5749" t="s">
        <v>13140</v>
      </c>
    </row>
    <row r="5750" spans="1:28" x14ac:dyDescent="0.35">
      <c r="A5750" t="s">
        <v>45</v>
      </c>
      <c r="B5750" t="s">
        <v>9618</v>
      </c>
      <c r="C5750" t="s">
        <v>13136</v>
      </c>
      <c r="F5750" t="s">
        <v>76</v>
      </c>
      <c r="G5750" t="s">
        <v>13241</v>
      </c>
      <c r="H5750" t="s">
        <v>13242</v>
      </c>
      <c r="J5750" s="1" t="s">
        <v>13243</v>
      </c>
      <c r="AB5750" t="s">
        <v>13210</v>
      </c>
    </row>
    <row r="5751" spans="1:28" x14ac:dyDescent="0.35">
      <c r="A5751" t="s">
        <v>45</v>
      </c>
      <c r="B5751" t="s">
        <v>9950</v>
      </c>
      <c r="C5751" t="s">
        <v>13136</v>
      </c>
      <c r="F5751" t="s">
        <v>76</v>
      </c>
      <c r="G5751" t="s">
        <v>13244</v>
      </c>
      <c r="H5751" t="s">
        <v>13245</v>
      </c>
      <c r="J5751" s="1" t="s">
        <v>13246</v>
      </c>
      <c r="AB5751" t="s">
        <v>13158</v>
      </c>
    </row>
    <row r="5752" spans="1:28" x14ac:dyDescent="0.35">
      <c r="A5752" t="s">
        <v>45</v>
      </c>
      <c r="B5752" t="s">
        <v>9950</v>
      </c>
      <c r="C5752" t="s">
        <v>13136</v>
      </c>
      <c r="F5752" t="s">
        <v>76</v>
      </c>
      <c r="G5752" t="s">
        <v>13247</v>
      </c>
      <c r="H5752" t="s">
        <v>13248</v>
      </c>
      <c r="J5752" s="1" t="s">
        <v>13249</v>
      </c>
      <c r="AB5752" t="s">
        <v>13140</v>
      </c>
    </row>
    <row r="5753" spans="1:28" x14ac:dyDescent="0.35">
      <c r="A5753" t="s">
        <v>45</v>
      </c>
      <c r="B5753" t="s">
        <v>9950</v>
      </c>
      <c r="C5753" t="s">
        <v>13136</v>
      </c>
      <c r="F5753" t="s">
        <v>76</v>
      </c>
      <c r="G5753" t="s">
        <v>13250</v>
      </c>
      <c r="H5753" t="s">
        <v>13251</v>
      </c>
      <c r="J5753" s="1" t="s">
        <v>13252</v>
      </c>
      <c r="AB5753" t="s">
        <v>13140</v>
      </c>
    </row>
    <row r="5754" spans="1:28" x14ac:dyDescent="0.35">
      <c r="A5754" t="s">
        <v>45</v>
      </c>
      <c r="B5754" t="s">
        <v>9950</v>
      </c>
      <c r="C5754" t="s">
        <v>13136</v>
      </c>
      <c r="F5754" t="s">
        <v>76</v>
      </c>
      <c r="G5754" t="s">
        <v>13253</v>
      </c>
      <c r="H5754" t="s">
        <v>13254</v>
      </c>
      <c r="J5754" s="1" t="s">
        <v>13255</v>
      </c>
      <c r="AB5754" t="s">
        <v>13140</v>
      </c>
    </row>
    <row r="5755" spans="1:28" x14ac:dyDescent="0.35">
      <c r="A5755" t="s">
        <v>45</v>
      </c>
      <c r="B5755" t="s">
        <v>9950</v>
      </c>
      <c r="C5755" t="s">
        <v>13136</v>
      </c>
      <c r="F5755" t="s">
        <v>76</v>
      </c>
      <c r="G5755" t="s">
        <v>13256</v>
      </c>
      <c r="H5755" t="s">
        <v>13257</v>
      </c>
      <c r="J5755" s="1" t="s">
        <v>13258</v>
      </c>
      <c r="AB5755" t="s">
        <v>13140</v>
      </c>
    </row>
    <row r="5756" spans="1:28" x14ac:dyDescent="0.35">
      <c r="A5756" t="s">
        <v>45</v>
      </c>
      <c r="B5756" t="s">
        <v>9950</v>
      </c>
      <c r="C5756" t="s">
        <v>13136</v>
      </c>
      <c r="F5756" t="s">
        <v>76</v>
      </c>
      <c r="G5756" t="s">
        <v>13259</v>
      </c>
      <c r="H5756" t="s">
        <v>13260</v>
      </c>
      <c r="J5756" s="1" t="s">
        <v>13261</v>
      </c>
      <c r="AB5756" t="s">
        <v>13140</v>
      </c>
    </row>
    <row r="5757" spans="1:28" x14ac:dyDescent="0.35">
      <c r="A5757" t="s">
        <v>45</v>
      </c>
      <c r="B5757" t="s">
        <v>9950</v>
      </c>
      <c r="C5757" t="s">
        <v>13136</v>
      </c>
      <c r="F5757" t="s">
        <v>76</v>
      </c>
      <c r="G5757" t="s">
        <v>13259</v>
      </c>
      <c r="H5757" t="s">
        <v>13260</v>
      </c>
      <c r="J5757" s="1" t="s">
        <v>13262</v>
      </c>
      <c r="AB5757" t="s">
        <v>13140</v>
      </c>
    </row>
    <row r="5758" spans="1:28" x14ac:dyDescent="0.35">
      <c r="A5758" t="s">
        <v>45</v>
      </c>
      <c r="B5758" t="s">
        <v>9950</v>
      </c>
      <c r="C5758" t="s">
        <v>13136</v>
      </c>
      <c r="F5758" t="s">
        <v>76</v>
      </c>
      <c r="G5758" t="s">
        <v>13263</v>
      </c>
      <c r="H5758" t="s">
        <v>13264</v>
      </c>
      <c r="J5758" s="1" t="s">
        <v>13265</v>
      </c>
      <c r="AB5758" t="s">
        <v>13140</v>
      </c>
    </row>
    <row r="5759" spans="1:28" x14ac:dyDescent="0.35">
      <c r="A5759" t="s">
        <v>45</v>
      </c>
      <c r="B5759" t="s">
        <v>9950</v>
      </c>
      <c r="C5759" t="s">
        <v>13136</v>
      </c>
      <c r="F5759" t="s">
        <v>76</v>
      </c>
      <c r="G5759" t="s">
        <v>13263</v>
      </c>
      <c r="H5759" t="s">
        <v>13264</v>
      </c>
      <c r="J5759" s="1" t="s">
        <v>13266</v>
      </c>
      <c r="AB5759" t="s">
        <v>13140</v>
      </c>
    </row>
    <row r="5760" spans="1:28" x14ac:dyDescent="0.35">
      <c r="A5760" t="s">
        <v>45</v>
      </c>
      <c r="B5760" t="s">
        <v>9950</v>
      </c>
      <c r="C5760" t="s">
        <v>13136</v>
      </c>
      <c r="F5760" t="s">
        <v>49</v>
      </c>
      <c r="G5760" t="s">
        <v>13267</v>
      </c>
      <c r="H5760" t="s">
        <v>13268</v>
      </c>
      <c r="J5760" s="1" t="s">
        <v>13269</v>
      </c>
      <c r="AB5760" t="s">
        <v>13270</v>
      </c>
    </row>
    <row r="5761" spans="1:28" x14ac:dyDescent="0.35">
      <c r="A5761" t="s">
        <v>45</v>
      </c>
      <c r="B5761" t="s">
        <v>11026</v>
      </c>
      <c r="C5761" t="s">
        <v>13136</v>
      </c>
      <c r="F5761" t="s">
        <v>49</v>
      </c>
      <c r="G5761" t="s">
        <v>13271</v>
      </c>
      <c r="H5761" t="s">
        <v>13272</v>
      </c>
      <c r="J5761" s="1" t="s">
        <v>13273</v>
      </c>
      <c r="AB5761" t="s">
        <v>13140</v>
      </c>
    </row>
    <row r="5762" spans="1:28" x14ac:dyDescent="0.35">
      <c r="A5762" t="s">
        <v>45</v>
      </c>
      <c r="B5762" t="s">
        <v>11414</v>
      </c>
      <c r="C5762" t="s">
        <v>13136</v>
      </c>
      <c r="F5762" t="s">
        <v>49</v>
      </c>
      <c r="G5762" t="s">
        <v>13274</v>
      </c>
      <c r="H5762" t="s">
        <v>13275</v>
      </c>
      <c r="J5762" s="1" t="s">
        <v>13276</v>
      </c>
      <c r="AB5762" t="s">
        <v>13277</v>
      </c>
    </row>
    <row r="5763" spans="1:28" x14ac:dyDescent="0.35">
      <c r="A5763" t="s">
        <v>45</v>
      </c>
      <c r="B5763" t="s">
        <v>11557</v>
      </c>
      <c r="C5763" t="s">
        <v>13136</v>
      </c>
      <c r="F5763" t="s">
        <v>49</v>
      </c>
      <c r="G5763" t="s">
        <v>13278</v>
      </c>
      <c r="H5763" t="s">
        <v>13279</v>
      </c>
      <c r="J5763" s="1" t="s">
        <v>13280</v>
      </c>
      <c r="AB5763" t="s">
        <v>13210</v>
      </c>
    </row>
    <row r="5764" spans="1:28" x14ac:dyDescent="0.35">
      <c r="A5764" t="s">
        <v>45</v>
      </c>
      <c r="B5764" t="s">
        <v>11557</v>
      </c>
      <c r="C5764" t="s">
        <v>13136</v>
      </c>
      <c r="F5764" t="s">
        <v>49</v>
      </c>
      <c r="G5764" t="s">
        <v>13281</v>
      </c>
      <c r="H5764" t="s">
        <v>13282</v>
      </c>
      <c r="J5764" s="1" t="s">
        <v>13283</v>
      </c>
      <c r="AB5764" t="s">
        <v>13284</v>
      </c>
    </row>
    <row r="5765" spans="1:28" x14ac:dyDescent="0.35">
      <c r="A5765" t="s">
        <v>45</v>
      </c>
      <c r="B5765" t="s">
        <v>11557</v>
      </c>
      <c r="C5765" t="s">
        <v>13136</v>
      </c>
      <c r="F5765" t="s">
        <v>49</v>
      </c>
      <c r="G5765" t="s">
        <v>13285</v>
      </c>
      <c r="H5765" t="s">
        <v>13286</v>
      </c>
      <c r="J5765" s="1" t="s">
        <v>13287</v>
      </c>
      <c r="AB5765" t="s">
        <v>13288</v>
      </c>
    </row>
    <row r="5766" spans="1:28" x14ac:dyDescent="0.35">
      <c r="A5766" t="s">
        <v>45</v>
      </c>
      <c r="B5766" t="s">
        <v>11557</v>
      </c>
      <c r="C5766" t="s">
        <v>13136</v>
      </c>
      <c r="F5766" t="s">
        <v>49</v>
      </c>
      <c r="G5766" t="s">
        <v>13289</v>
      </c>
      <c r="H5766" t="s">
        <v>13290</v>
      </c>
      <c r="J5766" s="1" t="s">
        <v>13291</v>
      </c>
      <c r="AB5766" t="s">
        <v>13140</v>
      </c>
    </row>
    <row r="5767" spans="1:28" x14ac:dyDescent="0.35">
      <c r="A5767" t="s">
        <v>45</v>
      </c>
      <c r="B5767" t="s">
        <v>11557</v>
      </c>
      <c r="C5767" t="s">
        <v>13136</v>
      </c>
      <c r="F5767" t="s">
        <v>49</v>
      </c>
      <c r="G5767" t="s">
        <v>13292</v>
      </c>
      <c r="H5767" t="s">
        <v>13293</v>
      </c>
      <c r="J5767" s="1" t="s">
        <v>13294</v>
      </c>
      <c r="AB5767" t="s">
        <v>13140</v>
      </c>
    </row>
    <row r="5768" spans="1:28" x14ac:dyDescent="0.35">
      <c r="A5768" t="s">
        <v>45</v>
      </c>
      <c r="B5768" t="s">
        <v>11557</v>
      </c>
      <c r="C5768" t="s">
        <v>13136</v>
      </c>
      <c r="F5768" t="s">
        <v>49</v>
      </c>
      <c r="G5768" t="s">
        <v>13295</v>
      </c>
      <c r="H5768" t="s">
        <v>13296</v>
      </c>
      <c r="J5768" s="1" t="s">
        <v>13297</v>
      </c>
      <c r="AB5768" t="s">
        <v>13140</v>
      </c>
    </row>
    <row r="5769" spans="1:28" x14ac:dyDescent="0.35">
      <c r="A5769" t="s">
        <v>45</v>
      </c>
      <c r="B5769" t="s">
        <v>11557</v>
      </c>
      <c r="C5769" t="s">
        <v>13136</v>
      </c>
      <c r="F5769" t="s">
        <v>49</v>
      </c>
      <c r="G5769" t="s">
        <v>13298</v>
      </c>
      <c r="H5769" t="s">
        <v>13299</v>
      </c>
      <c r="J5769" s="1" t="s">
        <v>13300</v>
      </c>
      <c r="AB5769" t="s">
        <v>13140</v>
      </c>
    </row>
    <row r="5770" spans="1:28" x14ac:dyDescent="0.35">
      <c r="A5770" t="s">
        <v>45</v>
      </c>
      <c r="B5770" t="s">
        <v>11923</v>
      </c>
      <c r="C5770" t="s">
        <v>13136</v>
      </c>
      <c r="F5770" t="s">
        <v>49</v>
      </c>
      <c r="G5770" t="s">
        <v>13301</v>
      </c>
      <c r="H5770" t="s">
        <v>13302</v>
      </c>
      <c r="J5770" s="1" t="s">
        <v>13303</v>
      </c>
      <c r="AB5770" t="s">
        <v>13140</v>
      </c>
    </row>
    <row r="5771" spans="1:28" x14ac:dyDescent="0.35">
      <c r="A5771" t="s">
        <v>45</v>
      </c>
      <c r="B5771" t="s">
        <v>12164</v>
      </c>
      <c r="C5771" t="s">
        <v>13136</v>
      </c>
      <c r="F5771" t="s">
        <v>49</v>
      </c>
      <c r="G5771" t="s">
        <v>13304</v>
      </c>
      <c r="H5771" t="s">
        <v>13305</v>
      </c>
      <c r="J5771" s="1" t="s">
        <v>13306</v>
      </c>
      <c r="AB5771" t="s">
        <v>13217</v>
      </c>
    </row>
    <row r="5772" spans="1:28" x14ac:dyDescent="0.35">
      <c r="A5772" t="s">
        <v>45</v>
      </c>
      <c r="B5772" t="s">
        <v>12164</v>
      </c>
      <c r="C5772" t="s">
        <v>13136</v>
      </c>
      <c r="F5772" t="s">
        <v>49</v>
      </c>
      <c r="G5772" t="s">
        <v>13307</v>
      </c>
      <c r="H5772" t="s">
        <v>13308</v>
      </c>
      <c r="J5772" s="1" t="s">
        <v>13309</v>
      </c>
      <c r="AB5772" t="s">
        <v>13210</v>
      </c>
    </row>
    <row r="5773" spans="1:28" x14ac:dyDescent="0.35">
      <c r="A5773" t="s">
        <v>45</v>
      </c>
      <c r="B5773" t="s">
        <v>12164</v>
      </c>
      <c r="C5773" t="s">
        <v>13136</v>
      </c>
      <c r="F5773" t="s">
        <v>49</v>
      </c>
      <c r="G5773" t="s">
        <v>13310</v>
      </c>
      <c r="H5773" t="s">
        <v>13311</v>
      </c>
      <c r="J5773" s="1" t="s">
        <v>13312</v>
      </c>
      <c r="AB5773" t="s">
        <v>13140</v>
      </c>
    </row>
    <row r="5774" spans="1:28" x14ac:dyDescent="0.35">
      <c r="A5774" t="s">
        <v>45</v>
      </c>
      <c r="B5774" t="s">
        <v>12164</v>
      </c>
      <c r="C5774" t="s">
        <v>13136</v>
      </c>
      <c r="F5774" t="s">
        <v>76</v>
      </c>
      <c r="G5774" t="s">
        <v>13313</v>
      </c>
      <c r="H5774" t="s">
        <v>13311</v>
      </c>
      <c r="J5774" s="1" t="s">
        <v>13314</v>
      </c>
      <c r="AB5774" t="s">
        <v>13140</v>
      </c>
    </row>
    <row r="5775" spans="1:28" x14ac:dyDescent="0.35">
      <c r="A5775" t="s">
        <v>45</v>
      </c>
      <c r="B5775" t="s">
        <v>12164</v>
      </c>
      <c r="C5775" t="s">
        <v>13136</v>
      </c>
      <c r="F5775" t="s">
        <v>49</v>
      </c>
      <c r="G5775" t="s">
        <v>13315</v>
      </c>
      <c r="H5775" t="s">
        <v>13311</v>
      </c>
      <c r="J5775" s="1" t="s">
        <v>13316</v>
      </c>
      <c r="AB5775" t="s">
        <v>13140</v>
      </c>
    </row>
    <row r="5776" spans="1:28" x14ac:dyDescent="0.35">
      <c r="A5776" t="s">
        <v>45</v>
      </c>
      <c r="B5776" t="s">
        <v>12164</v>
      </c>
      <c r="C5776" t="s">
        <v>13136</v>
      </c>
      <c r="F5776" t="s">
        <v>49</v>
      </c>
      <c r="G5776" t="s">
        <v>13317</v>
      </c>
      <c r="H5776" t="s">
        <v>13311</v>
      </c>
      <c r="J5776" s="1" t="s">
        <v>13318</v>
      </c>
      <c r="AB5776" t="s">
        <v>13140</v>
      </c>
    </row>
    <row r="5777" spans="1:28" x14ac:dyDescent="0.35">
      <c r="A5777" t="s">
        <v>45</v>
      </c>
      <c r="B5777" t="s">
        <v>12164</v>
      </c>
      <c r="C5777" t="s">
        <v>13136</v>
      </c>
      <c r="F5777" t="s">
        <v>49</v>
      </c>
      <c r="G5777" t="s">
        <v>13319</v>
      </c>
      <c r="H5777" t="s">
        <v>13311</v>
      </c>
      <c r="J5777" s="1" t="s">
        <v>13320</v>
      </c>
      <c r="AB5777" t="s">
        <v>13140</v>
      </c>
    </row>
    <row r="5778" spans="1:28" x14ac:dyDescent="0.35">
      <c r="A5778" t="s">
        <v>45</v>
      </c>
      <c r="B5778" t="s">
        <v>12164</v>
      </c>
      <c r="C5778" t="s">
        <v>13136</v>
      </c>
      <c r="F5778" t="s">
        <v>49</v>
      </c>
      <c r="G5778" t="s">
        <v>13317</v>
      </c>
      <c r="H5778" t="s">
        <v>13311</v>
      </c>
      <c r="J5778" s="1" t="s">
        <v>13321</v>
      </c>
      <c r="AB5778" t="s">
        <v>13140</v>
      </c>
    </row>
    <row r="5779" spans="1:28" x14ac:dyDescent="0.35">
      <c r="A5779" t="s">
        <v>45</v>
      </c>
      <c r="B5779" t="s">
        <v>12164</v>
      </c>
      <c r="C5779" t="s">
        <v>13136</v>
      </c>
      <c r="F5779" t="s">
        <v>76</v>
      </c>
      <c r="G5779" t="s">
        <v>13322</v>
      </c>
      <c r="H5779" t="s">
        <v>13311</v>
      </c>
      <c r="J5779" s="1" t="s">
        <v>13323</v>
      </c>
      <c r="AB5779" t="s">
        <v>13140</v>
      </c>
    </row>
    <row r="5780" spans="1:28" x14ac:dyDescent="0.35">
      <c r="A5780" t="s">
        <v>45</v>
      </c>
      <c r="B5780" t="s">
        <v>12164</v>
      </c>
      <c r="C5780" t="s">
        <v>13136</v>
      </c>
      <c r="F5780" t="s">
        <v>49</v>
      </c>
      <c r="G5780" t="s">
        <v>13324</v>
      </c>
      <c r="H5780" t="s">
        <v>13325</v>
      </c>
      <c r="J5780" s="1" t="s">
        <v>13326</v>
      </c>
      <c r="AB5780" t="s">
        <v>13327</v>
      </c>
    </row>
    <row r="5781" spans="1:28" x14ac:dyDescent="0.35">
      <c r="A5781" t="s">
        <v>45</v>
      </c>
      <c r="B5781" t="s">
        <v>12164</v>
      </c>
      <c r="C5781" t="s">
        <v>13136</v>
      </c>
      <c r="F5781" t="s">
        <v>49</v>
      </c>
      <c r="G5781" t="s">
        <v>13328</v>
      </c>
      <c r="H5781" t="s">
        <v>13329</v>
      </c>
      <c r="J5781" s="1" t="s">
        <v>13330</v>
      </c>
      <c r="AB5781" t="s">
        <v>13331</v>
      </c>
    </row>
    <row r="5782" spans="1:28" x14ac:dyDescent="0.35">
      <c r="A5782" t="s">
        <v>45</v>
      </c>
      <c r="B5782" t="s">
        <v>12164</v>
      </c>
      <c r="C5782" t="s">
        <v>13136</v>
      </c>
      <c r="F5782" t="s">
        <v>49</v>
      </c>
      <c r="G5782" t="s">
        <v>13332</v>
      </c>
      <c r="H5782" t="s">
        <v>13333</v>
      </c>
      <c r="J5782" s="1" t="s">
        <v>13334</v>
      </c>
      <c r="AB5782" t="s">
        <v>13140</v>
      </c>
    </row>
    <row r="5783" spans="1:28" x14ac:dyDescent="0.35">
      <c r="A5783" t="s">
        <v>45</v>
      </c>
      <c r="B5783" t="s">
        <v>12164</v>
      </c>
      <c r="C5783" t="s">
        <v>13136</v>
      </c>
      <c r="F5783" t="s">
        <v>49</v>
      </c>
      <c r="G5783" t="s">
        <v>13335</v>
      </c>
      <c r="H5783" t="s">
        <v>13336</v>
      </c>
      <c r="J5783" s="1" t="s">
        <v>13337</v>
      </c>
      <c r="AB5783" t="s">
        <v>13154</v>
      </c>
    </row>
    <row r="5784" spans="1:28" x14ac:dyDescent="0.35">
      <c r="A5784" t="s">
        <v>45</v>
      </c>
      <c r="B5784" t="s">
        <v>12164</v>
      </c>
      <c r="C5784" t="s">
        <v>13136</v>
      </c>
      <c r="F5784" t="s">
        <v>49</v>
      </c>
      <c r="G5784" t="s">
        <v>13338</v>
      </c>
      <c r="H5784" t="s">
        <v>13339</v>
      </c>
      <c r="J5784" s="1" t="s">
        <v>13340</v>
      </c>
      <c r="AB5784" t="s">
        <v>13140</v>
      </c>
    </row>
    <row r="5785" spans="1:28" x14ac:dyDescent="0.35">
      <c r="A5785" t="s">
        <v>45</v>
      </c>
      <c r="B5785" t="s">
        <v>12164</v>
      </c>
      <c r="C5785" t="s">
        <v>13136</v>
      </c>
      <c r="F5785" t="s">
        <v>49</v>
      </c>
      <c r="G5785" t="s">
        <v>13341</v>
      </c>
      <c r="H5785" t="s">
        <v>13339</v>
      </c>
      <c r="J5785" s="1" t="s">
        <v>13342</v>
      </c>
      <c r="AB5785" t="s">
        <v>13140</v>
      </c>
    </row>
    <row r="5786" spans="1:28" x14ac:dyDescent="0.35">
      <c r="A5786" t="s">
        <v>45</v>
      </c>
      <c r="B5786" t="s">
        <v>12164</v>
      </c>
      <c r="C5786" t="s">
        <v>13136</v>
      </c>
      <c r="F5786" t="s">
        <v>49</v>
      </c>
      <c r="G5786" t="s">
        <v>13343</v>
      </c>
      <c r="H5786" t="s">
        <v>13344</v>
      </c>
      <c r="J5786" s="1" t="s">
        <v>13345</v>
      </c>
      <c r="AB5786" t="s">
        <v>13140</v>
      </c>
    </row>
    <row r="5787" spans="1:28" x14ac:dyDescent="0.35">
      <c r="A5787" t="s">
        <v>45</v>
      </c>
      <c r="B5787" t="s">
        <v>12164</v>
      </c>
      <c r="C5787" t="s">
        <v>13136</v>
      </c>
      <c r="F5787" t="s">
        <v>49</v>
      </c>
      <c r="G5787" t="s">
        <v>13346</v>
      </c>
      <c r="H5787" t="s">
        <v>13347</v>
      </c>
      <c r="J5787" s="1" t="s">
        <v>13348</v>
      </c>
      <c r="AB5787" t="s">
        <v>13140</v>
      </c>
    </row>
    <row r="5788" spans="1:28" x14ac:dyDescent="0.35">
      <c r="A5788" t="s">
        <v>45</v>
      </c>
      <c r="B5788" t="s">
        <v>12164</v>
      </c>
      <c r="C5788" t="s">
        <v>13136</v>
      </c>
      <c r="F5788" t="s">
        <v>76</v>
      </c>
      <c r="G5788" t="s">
        <v>13313</v>
      </c>
      <c r="H5788" t="s">
        <v>13349</v>
      </c>
      <c r="J5788" s="1" t="s">
        <v>13350</v>
      </c>
      <c r="AB5788" t="s">
        <v>13140</v>
      </c>
    </row>
    <row r="5789" spans="1:28" x14ac:dyDescent="0.35">
      <c r="A5789" t="s">
        <v>45</v>
      </c>
      <c r="B5789" t="s">
        <v>12164</v>
      </c>
      <c r="C5789" t="s">
        <v>13136</v>
      </c>
      <c r="F5789" t="s">
        <v>49</v>
      </c>
      <c r="G5789" t="s">
        <v>13351</v>
      </c>
      <c r="H5789" t="s">
        <v>13352</v>
      </c>
      <c r="J5789" s="1" t="s">
        <v>13353</v>
      </c>
      <c r="AB5789" t="s">
        <v>13140</v>
      </c>
    </row>
    <row r="5790" spans="1:28" x14ac:dyDescent="0.35">
      <c r="A5790" t="s">
        <v>45</v>
      </c>
      <c r="B5790" t="s">
        <v>12164</v>
      </c>
      <c r="C5790" t="s">
        <v>13136</v>
      </c>
      <c r="F5790" t="s">
        <v>49</v>
      </c>
      <c r="G5790" t="s">
        <v>13354</v>
      </c>
      <c r="H5790" t="s">
        <v>13355</v>
      </c>
      <c r="J5790" s="1" t="s">
        <v>13356</v>
      </c>
      <c r="AB5790" t="s">
        <v>13140</v>
      </c>
    </row>
    <row r="5791" spans="1:28" x14ac:dyDescent="0.35">
      <c r="A5791" t="s">
        <v>45</v>
      </c>
      <c r="B5791" t="s">
        <v>12164</v>
      </c>
      <c r="C5791" t="s">
        <v>13136</v>
      </c>
      <c r="F5791" t="s">
        <v>49</v>
      </c>
      <c r="G5791" t="s">
        <v>13357</v>
      </c>
      <c r="H5791" t="s">
        <v>12338</v>
      </c>
      <c r="J5791" s="1" t="s">
        <v>13358</v>
      </c>
      <c r="AB5791" t="s">
        <v>13140</v>
      </c>
    </row>
    <row r="5792" spans="1:28" x14ac:dyDescent="0.35">
      <c r="A5792" t="s">
        <v>45</v>
      </c>
      <c r="B5792" t="s">
        <v>12164</v>
      </c>
      <c r="C5792" t="s">
        <v>13136</v>
      </c>
      <c r="F5792" t="s">
        <v>49</v>
      </c>
      <c r="G5792" t="s">
        <v>13310</v>
      </c>
      <c r="H5792" t="s">
        <v>13359</v>
      </c>
      <c r="J5792" s="1" t="s">
        <v>13360</v>
      </c>
      <c r="AB5792" t="s">
        <v>13140</v>
      </c>
    </row>
    <row r="5793" spans="1:28" x14ac:dyDescent="0.35">
      <c r="A5793" t="s">
        <v>45</v>
      </c>
      <c r="B5793" t="s">
        <v>12164</v>
      </c>
      <c r="C5793" t="s">
        <v>13136</v>
      </c>
      <c r="F5793" t="s">
        <v>49</v>
      </c>
      <c r="G5793" t="s">
        <v>13361</v>
      </c>
      <c r="H5793" t="s">
        <v>13362</v>
      </c>
      <c r="J5793" s="1" t="s">
        <v>13363</v>
      </c>
      <c r="AB5793" t="s">
        <v>13140</v>
      </c>
    </row>
    <row r="5794" spans="1:28" x14ac:dyDescent="0.35">
      <c r="A5794" t="s">
        <v>45</v>
      </c>
      <c r="B5794" t="s">
        <v>12164</v>
      </c>
      <c r="C5794" t="s">
        <v>13136</v>
      </c>
      <c r="F5794" t="s">
        <v>49</v>
      </c>
      <c r="G5794" t="s">
        <v>13364</v>
      </c>
      <c r="H5794" t="s">
        <v>13365</v>
      </c>
      <c r="J5794" s="1" t="s">
        <v>13366</v>
      </c>
      <c r="AB5794" t="s">
        <v>13140</v>
      </c>
    </row>
    <row r="5795" spans="1:28" x14ac:dyDescent="0.35">
      <c r="A5795" t="s">
        <v>45</v>
      </c>
      <c r="B5795" t="s">
        <v>12164</v>
      </c>
      <c r="C5795" t="s">
        <v>13136</v>
      </c>
      <c r="F5795" t="s">
        <v>49</v>
      </c>
      <c r="G5795" t="s">
        <v>13315</v>
      </c>
      <c r="H5795" t="s">
        <v>12362</v>
      </c>
      <c r="J5795" s="1" t="s">
        <v>13367</v>
      </c>
      <c r="AB5795" t="s">
        <v>13140</v>
      </c>
    </row>
    <row r="5796" spans="1:28" x14ac:dyDescent="0.35">
      <c r="A5796" t="s">
        <v>45</v>
      </c>
      <c r="B5796" t="s">
        <v>12164</v>
      </c>
      <c r="C5796" t="s">
        <v>13136</v>
      </c>
      <c r="F5796" t="s">
        <v>49</v>
      </c>
      <c r="G5796" t="s">
        <v>13368</v>
      </c>
      <c r="H5796" t="s">
        <v>13369</v>
      </c>
      <c r="J5796" s="1" t="s">
        <v>13370</v>
      </c>
      <c r="AB5796" t="s">
        <v>13140</v>
      </c>
    </row>
    <row r="5797" spans="1:28" x14ac:dyDescent="0.35">
      <c r="A5797" t="s">
        <v>45</v>
      </c>
      <c r="B5797" t="s">
        <v>12164</v>
      </c>
      <c r="C5797" t="s">
        <v>13136</v>
      </c>
      <c r="F5797" t="s">
        <v>49</v>
      </c>
      <c r="G5797" t="s">
        <v>13371</v>
      </c>
      <c r="H5797" t="s">
        <v>13372</v>
      </c>
      <c r="J5797" s="1" t="s">
        <v>13373</v>
      </c>
      <c r="AB5797" t="s">
        <v>13140</v>
      </c>
    </row>
    <row r="5798" spans="1:28" x14ac:dyDescent="0.35">
      <c r="A5798" t="s">
        <v>45</v>
      </c>
      <c r="B5798" t="s">
        <v>12164</v>
      </c>
      <c r="C5798" t="s">
        <v>13136</v>
      </c>
      <c r="F5798" t="s">
        <v>49</v>
      </c>
      <c r="G5798" t="s">
        <v>13374</v>
      </c>
      <c r="H5798" t="s">
        <v>13375</v>
      </c>
      <c r="J5798" s="1" t="s">
        <v>13376</v>
      </c>
      <c r="AB5798" t="s">
        <v>13140</v>
      </c>
    </row>
    <row r="5799" spans="1:28" x14ac:dyDescent="0.35">
      <c r="A5799" t="s">
        <v>45</v>
      </c>
      <c r="B5799" t="s">
        <v>12164</v>
      </c>
      <c r="C5799" t="s">
        <v>13136</v>
      </c>
      <c r="F5799" t="s">
        <v>49</v>
      </c>
      <c r="G5799" t="s">
        <v>13377</v>
      </c>
      <c r="H5799" t="s">
        <v>13378</v>
      </c>
      <c r="J5799" s="1" t="s">
        <v>13379</v>
      </c>
      <c r="AB5799" t="s">
        <v>13140</v>
      </c>
    </row>
    <row r="5800" spans="1:28" x14ac:dyDescent="0.35">
      <c r="A5800" t="s">
        <v>45</v>
      </c>
      <c r="B5800" t="s">
        <v>12164</v>
      </c>
      <c r="C5800" t="s">
        <v>13136</v>
      </c>
      <c r="F5800" t="s">
        <v>49</v>
      </c>
      <c r="G5800" t="s">
        <v>13380</v>
      </c>
      <c r="H5800" t="s">
        <v>13381</v>
      </c>
      <c r="J5800" s="1" t="s">
        <v>13382</v>
      </c>
      <c r="AB5800" t="s">
        <v>13140</v>
      </c>
    </row>
    <row r="5801" spans="1:28" x14ac:dyDescent="0.35">
      <c r="A5801" t="s">
        <v>45</v>
      </c>
      <c r="B5801" t="s">
        <v>12164</v>
      </c>
      <c r="C5801" t="s">
        <v>13136</v>
      </c>
      <c r="F5801" t="s">
        <v>49</v>
      </c>
      <c r="G5801" t="s">
        <v>13383</v>
      </c>
      <c r="H5801" t="s">
        <v>13384</v>
      </c>
      <c r="J5801" s="1" t="s">
        <v>13385</v>
      </c>
      <c r="AB5801" t="s">
        <v>13140</v>
      </c>
    </row>
    <row r="5802" spans="1:28" x14ac:dyDescent="0.35">
      <c r="A5802" t="s">
        <v>45</v>
      </c>
      <c r="B5802" t="s">
        <v>12164</v>
      </c>
      <c r="C5802" t="s">
        <v>13136</v>
      </c>
      <c r="F5802" t="s">
        <v>49</v>
      </c>
      <c r="G5802" t="s">
        <v>13386</v>
      </c>
      <c r="H5802" t="s">
        <v>13387</v>
      </c>
      <c r="J5802" s="1" t="s">
        <v>13388</v>
      </c>
      <c r="AB5802" t="s">
        <v>13270</v>
      </c>
    </row>
    <row r="5803" spans="1:28" x14ac:dyDescent="0.35">
      <c r="A5803" t="s">
        <v>45</v>
      </c>
      <c r="B5803" t="s">
        <v>12164</v>
      </c>
      <c r="C5803" t="s">
        <v>13136</v>
      </c>
      <c r="F5803" t="s">
        <v>49</v>
      </c>
      <c r="G5803" t="s">
        <v>13389</v>
      </c>
      <c r="H5803" t="s">
        <v>13390</v>
      </c>
      <c r="J5803" s="1" t="s">
        <v>13391</v>
      </c>
      <c r="AB5803" t="s">
        <v>13210</v>
      </c>
    </row>
    <row r="5804" spans="1:28" x14ac:dyDescent="0.35">
      <c r="A5804" t="s">
        <v>45</v>
      </c>
      <c r="B5804" t="s">
        <v>12365</v>
      </c>
      <c r="C5804" t="s">
        <v>13136</v>
      </c>
      <c r="F5804" t="s">
        <v>76</v>
      </c>
      <c r="G5804" t="s">
        <v>13322</v>
      </c>
      <c r="H5804" t="s">
        <v>13392</v>
      </c>
      <c r="J5804" s="1" t="s">
        <v>13393</v>
      </c>
      <c r="AB5804" t="s">
        <v>13140</v>
      </c>
    </row>
    <row r="5805" spans="1:28" x14ac:dyDescent="0.35">
      <c r="A5805" t="s">
        <v>45</v>
      </c>
      <c r="B5805" t="s">
        <v>12365</v>
      </c>
      <c r="C5805" t="s">
        <v>13136</v>
      </c>
      <c r="F5805" t="s">
        <v>49</v>
      </c>
      <c r="G5805" t="s">
        <v>13394</v>
      </c>
      <c r="H5805" t="s">
        <v>13395</v>
      </c>
      <c r="J5805" s="1" t="s">
        <v>13396</v>
      </c>
      <c r="AB5805" t="s">
        <v>13397</v>
      </c>
    </row>
    <row r="5806" spans="1:28" x14ac:dyDescent="0.35">
      <c r="A5806" t="s">
        <v>45</v>
      </c>
      <c r="B5806" t="s">
        <v>12365</v>
      </c>
      <c r="C5806" t="s">
        <v>13136</v>
      </c>
      <c r="F5806" t="s">
        <v>49</v>
      </c>
      <c r="G5806" t="s">
        <v>13398</v>
      </c>
      <c r="H5806" t="s">
        <v>13399</v>
      </c>
      <c r="J5806" s="1" t="s">
        <v>13400</v>
      </c>
      <c r="AB5806" t="s">
        <v>13140</v>
      </c>
    </row>
    <row r="5807" spans="1:28" x14ac:dyDescent="0.35">
      <c r="A5807" t="s">
        <v>45</v>
      </c>
      <c r="B5807" t="s">
        <v>12365</v>
      </c>
      <c r="C5807" t="s">
        <v>13136</v>
      </c>
      <c r="F5807" t="s">
        <v>49</v>
      </c>
      <c r="G5807" t="s">
        <v>13401</v>
      </c>
      <c r="H5807" t="s">
        <v>13402</v>
      </c>
      <c r="J5807" s="1" t="s">
        <v>13403</v>
      </c>
      <c r="AB5807" t="s">
        <v>13140</v>
      </c>
    </row>
    <row r="5808" spans="1:28" x14ac:dyDescent="0.35">
      <c r="A5808" t="s">
        <v>45</v>
      </c>
      <c r="B5808" t="s">
        <v>12365</v>
      </c>
      <c r="C5808" t="s">
        <v>13136</v>
      </c>
      <c r="F5808" t="s">
        <v>49</v>
      </c>
      <c r="G5808" t="s">
        <v>13404</v>
      </c>
      <c r="H5808" t="s">
        <v>13405</v>
      </c>
      <c r="J5808" s="1" t="s">
        <v>13406</v>
      </c>
      <c r="AB5808" t="s">
        <v>13140</v>
      </c>
    </row>
    <row r="5809" spans="1:28" x14ac:dyDescent="0.35">
      <c r="A5809" t="s">
        <v>45</v>
      </c>
      <c r="B5809" t="s">
        <v>12365</v>
      </c>
      <c r="C5809" t="s">
        <v>13136</v>
      </c>
      <c r="F5809" t="s">
        <v>49</v>
      </c>
      <c r="G5809" t="s">
        <v>13407</v>
      </c>
      <c r="H5809" t="s">
        <v>13408</v>
      </c>
      <c r="J5809" s="1" t="s">
        <v>13409</v>
      </c>
      <c r="AB5809" t="s">
        <v>13140</v>
      </c>
    </row>
    <row r="5810" spans="1:28" x14ac:dyDescent="0.35">
      <c r="A5810" t="s">
        <v>45</v>
      </c>
      <c r="B5810" t="s">
        <v>12365</v>
      </c>
      <c r="C5810" t="s">
        <v>13136</v>
      </c>
      <c r="F5810" t="s">
        <v>49</v>
      </c>
      <c r="G5810" t="s">
        <v>13410</v>
      </c>
      <c r="H5810" t="s">
        <v>13411</v>
      </c>
      <c r="J5810" s="1" t="s">
        <v>13412</v>
      </c>
      <c r="AB5810" t="s">
        <v>13140</v>
      </c>
    </row>
    <row r="5811" spans="1:28" x14ac:dyDescent="0.35">
      <c r="A5811" t="s">
        <v>45</v>
      </c>
      <c r="B5811" t="s">
        <v>12365</v>
      </c>
      <c r="C5811" t="s">
        <v>13136</v>
      </c>
      <c r="F5811" t="s">
        <v>49</v>
      </c>
      <c r="G5811" t="s">
        <v>13413</v>
      </c>
      <c r="H5811" t="s">
        <v>13414</v>
      </c>
      <c r="J5811" s="1" t="s">
        <v>13415</v>
      </c>
      <c r="AB5811" t="s">
        <v>13140</v>
      </c>
    </row>
    <row r="5812" spans="1:28" x14ac:dyDescent="0.35">
      <c r="A5812" t="s">
        <v>45</v>
      </c>
      <c r="B5812" t="s">
        <v>12365</v>
      </c>
      <c r="C5812" t="s">
        <v>13136</v>
      </c>
      <c r="F5812" t="s">
        <v>49</v>
      </c>
      <c r="G5812" t="s">
        <v>13416</v>
      </c>
      <c r="H5812" t="s">
        <v>13417</v>
      </c>
      <c r="J5812" s="1" t="s">
        <v>13418</v>
      </c>
      <c r="AB5812" t="s">
        <v>13140</v>
      </c>
    </row>
    <row r="5813" spans="1:28" x14ac:dyDescent="0.35">
      <c r="A5813" t="s">
        <v>45</v>
      </c>
      <c r="B5813" t="s">
        <v>12365</v>
      </c>
      <c r="C5813" t="s">
        <v>13136</v>
      </c>
      <c r="F5813" t="s">
        <v>76</v>
      </c>
      <c r="G5813" t="s">
        <v>13419</v>
      </c>
      <c r="H5813" t="s">
        <v>13420</v>
      </c>
      <c r="J5813" s="1" t="s">
        <v>13421</v>
      </c>
      <c r="AB5813" t="s">
        <v>13140</v>
      </c>
    </row>
    <row r="5814" spans="1:28" x14ac:dyDescent="0.35">
      <c r="A5814" t="s">
        <v>45</v>
      </c>
      <c r="B5814" t="s">
        <v>12365</v>
      </c>
      <c r="C5814" t="s">
        <v>13136</v>
      </c>
      <c r="F5814" t="s">
        <v>49</v>
      </c>
      <c r="G5814" t="s">
        <v>13422</v>
      </c>
      <c r="H5814" t="s">
        <v>13423</v>
      </c>
      <c r="J5814" s="1" t="s">
        <v>13424</v>
      </c>
      <c r="AB5814" t="s">
        <v>13140</v>
      </c>
    </row>
    <row r="5815" spans="1:28" x14ac:dyDescent="0.35">
      <c r="A5815" t="s">
        <v>45</v>
      </c>
      <c r="B5815" t="s">
        <v>12365</v>
      </c>
      <c r="C5815" t="s">
        <v>13136</v>
      </c>
      <c r="F5815" t="s">
        <v>49</v>
      </c>
      <c r="G5815" t="s">
        <v>13425</v>
      </c>
      <c r="H5815" t="s">
        <v>13426</v>
      </c>
      <c r="J5815" s="1" t="s">
        <v>13427</v>
      </c>
      <c r="AB5815" t="s">
        <v>13140</v>
      </c>
    </row>
    <row r="5816" spans="1:28" x14ac:dyDescent="0.35">
      <c r="A5816" t="s">
        <v>45</v>
      </c>
      <c r="B5816" t="s">
        <v>12365</v>
      </c>
      <c r="C5816" t="s">
        <v>13136</v>
      </c>
      <c r="F5816" t="s">
        <v>49</v>
      </c>
      <c r="G5816" t="s">
        <v>13416</v>
      </c>
      <c r="H5816" t="s">
        <v>13426</v>
      </c>
      <c r="J5816" s="1" t="s">
        <v>13428</v>
      </c>
      <c r="AB5816" t="s">
        <v>13140</v>
      </c>
    </row>
    <row r="5817" spans="1:28" x14ac:dyDescent="0.35">
      <c r="A5817" t="s">
        <v>45</v>
      </c>
      <c r="B5817" t="s">
        <v>12365</v>
      </c>
      <c r="C5817" t="s">
        <v>13136</v>
      </c>
      <c r="F5817" t="s">
        <v>49</v>
      </c>
      <c r="G5817" t="s">
        <v>13410</v>
      </c>
      <c r="H5817" t="s">
        <v>13426</v>
      </c>
      <c r="J5817" s="1" t="s">
        <v>13429</v>
      </c>
      <c r="AB5817" t="s">
        <v>13140</v>
      </c>
    </row>
    <row r="5818" spans="1:28" x14ac:dyDescent="0.35">
      <c r="A5818" t="s">
        <v>45</v>
      </c>
      <c r="B5818" t="s">
        <v>12552</v>
      </c>
      <c r="C5818" t="s">
        <v>13136</v>
      </c>
      <c r="F5818" t="s">
        <v>49</v>
      </c>
      <c r="G5818" t="s">
        <v>13430</v>
      </c>
      <c r="H5818" t="s">
        <v>13431</v>
      </c>
      <c r="J5818" s="1" t="s">
        <v>13432</v>
      </c>
      <c r="AB5818" t="s">
        <v>13140</v>
      </c>
    </row>
    <row r="5819" spans="1:28" x14ac:dyDescent="0.35">
      <c r="A5819" t="s">
        <v>45</v>
      </c>
      <c r="B5819" t="s">
        <v>12552</v>
      </c>
      <c r="C5819" t="s">
        <v>13136</v>
      </c>
      <c r="F5819" t="s">
        <v>142</v>
      </c>
      <c r="G5819" t="s">
        <v>13433</v>
      </c>
      <c r="H5819" t="s">
        <v>13434</v>
      </c>
      <c r="J5819" s="1" t="s">
        <v>13435</v>
      </c>
      <c r="AB5819" t="s">
        <v>13140</v>
      </c>
    </row>
  </sheetData>
  <hyperlinks>
    <hyperlink ref="G192" r:id="rId1"/>
    <hyperlink ref="G248" r:id="rId2"/>
    <hyperlink ref="G901" r:id="rId3"/>
    <hyperlink ref="G2087" r:id="rId4"/>
    <hyperlink ref="G2088" r:id="rId5"/>
    <hyperlink ref="G2089" r:id="rId6"/>
    <hyperlink ref="G2090" r:id="rId7"/>
    <hyperlink ref="G2091" r:id="rId8"/>
    <hyperlink ref="G2092" r:id="rId9"/>
    <hyperlink ref="G2093" r:id="rId10"/>
    <hyperlink ref="G2094" r:id="rId11"/>
    <hyperlink ref="G2095" r:id="rId12"/>
    <hyperlink ref="G2096" r:id="rId13"/>
    <hyperlink ref="G2708" r:id="rId14"/>
    <hyperlink ref="G2819" r:id="rId15"/>
    <hyperlink ref="G2865" r:id="rId16"/>
    <hyperlink ref="G3427" r:id="rId17"/>
    <hyperlink ref="G3439" r:id="rId18"/>
    <hyperlink ref="G3504" r:id="rId19"/>
    <hyperlink ref="G4710" r:id="rId20" location="networkmarketing%20#lifestyle%20#mlm%20#onlinemarketing%20Fino%20Payments%20Bank"/>
    <hyperlink ref="G4740" r:id="rId21"/>
    <hyperlink ref="G4743" r:id="rId22"/>
    <hyperlink ref="G4888" r:id="rId23"/>
    <hyperlink ref="G4986" r:id="rId24" location="networkmarketing%20#lifestyle%20#mlm%20#onlinemarketing%20#love%20Fino%20Payments%20Bank%20@highlight"/>
    <hyperlink ref="G4993" r:id="rId25" location="networkmarketing%20#onlinemarketing%20#love%20#lifestyle%20Fino%20Payments%20Bank%20#mlm"/>
    <hyperlink ref="G4994" r:id="rId26" location="networkmarketing%20#lifestyle%20#mlm%20#onlinemarketing%20#love%20Fino%20Payments%20Bank"/>
    <hyperlink ref="G5128" r:id="rId27" location="lifestyle%20#mlm%20#onlinemarketing%20Fino%20Payments%20Bank"/>
    <hyperlink ref="G5588" r:id="rId28"/>
    <hyperlink ref="G5611" r:id="rId29"/>
    <hyperlink ref="J5701" r:id="rId30"/>
    <hyperlink ref="J5702" r:id="rId31"/>
    <hyperlink ref="J5703" r:id="rId32"/>
    <hyperlink ref="J5704" r:id="rId33"/>
    <hyperlink ref="J5705" r:id="rId34"/>
    <hyperlink ref="J5706" r:id="rId35"/>
    <hyperlink ref="J5707" r:id="rId36"/>
    <hyperlink ref="J5708" r:id="rId37"/>
    <hyperlink ref="J5709" r:id="rId38"/>
    <hyperlink ref="J5710" r:id="rId39"/>
    <hyperlink ref="J5711" r:id="rId40"/>
    <hyperlink ref="J5712" r:id="rId41"/>
    <hyperlink ref="J5713" r:id="rId42"/>
    <hyperlink ref="J5714" r:id="rId43"/>
    <hyperlink ref="J5715" r:id="rId44"/>
    <hyperlink ref="J5716" r:id="rId45"/>
    <hyperlink ref="J5717" r:id="rId46"/>
    <hyperlink ref="J5718" r:id="rId47"/>
    <hyperlink ref="J5719" r:id="rId48"/>
    <hyperlink ref="J5720" r:id="rId49"/>
    <hyperlink ref="J5721" r:id="rId50"/>
    <hyperlink ref="J5722" r:id="rId51"/>
    <hyperlink ref="J5723" r:id="rId52"/>
    <hyperlink ref="J5724" r:id="rId53"/>
    <hyperlink ref="J5725" r:id="rId54"/>
    <hyperlink ref="J5726" r:id="rId55"/>
    <hyperlink ref="J5727" r:id="rId56"/>
    <hyperlink ref="J5728" r:id="rId57"/>
    <hyperlink ref="J5729" r:id="rId58"/>
    <hyperlink ref="J5730" r:id="rId59"/>
    <hyperlink ref="J5731" r:id="rId60"/>
    <hyperlink ref="J5732" r:id="rId61"/>
    <hyperlink ref="J5733" r:id="rId62"/>
    <hyperlink ref="J5734" r:id="rId63"/>
    <hyperlink ref="J5735" r:id="rId64"/>
    <hyperlink ref="J5736" r:id="rId65"/>
    <hyperlink ref="J5737" r:id="rId66"/>
    <hyperlink ref="J5738" r:id="rId67"/>
    <hyperlink ref="J5739" r:id="rId68"/>
    <hyperlink ref="J5740" r:id="rId69"/>
    <hyperlink ref="J5741" r:id="rId70"/>
    <hyperlink ref="J5742" r:id="rId71"/>
    <hyperlink ref="J5743" r:id="rId72"/>
    <hyperlink ref="J5744" r:id="rId73"/>
    <hyperlink ref="J5745" r:id="rId74"/>
    <hyperlink ref="J5746" r:id="rId75"/>
    <hyperlink ref="J5747" r:id="rId76"/>
    <hyperlink ref="J5748" r:id="rId77"/>
    <hyperlink ref="J5749" r:id="rId78"/>
    <hyperlink ref="J5750" r:id="rId79"/>
    <hyperlink ref="J5751" r:id="rId80"/>
    <hyperlink ref="J5752" r:id="rId81"/>
    <hyperlink ref="J5753" r:id="rId82"/>
    <hyperlink ref="J5754" r:id="rId83"/>
    <hyperlink ref="J5755" r:id="rId84"/>
    <hyperlink ref="J5756" r:id="rId85"/>
    <hyperlink ref="J5757" r:id="rId86"/>
    <hyperlink ref="J5758" r:id="rId87"/>
    <hyperlink ref="J5759" r:id="rId88"/>
    <hyperlink ref="J5760" r:id="rId89"/>
    <hyperlink ref="J5761" r:id="rId90"/>
    <hyperlink ref="J5762" r:id="rId91"/>
    <hyperlink ref="J5763" r:id="rId92"/>
    <hyperlink ref="J5764" r:id="rId93"/>
    <hyperlink ref="J5765" r:id="rId94"/>
    <hyperlink ref="J5766" r:id="rId95"/>
    <hyperlink ref="J5767" r:id="rId96"/>
    <hyperlink ref="J5768" r:id="rId97"/>
    <hyperlink ref="J5769" r:id="rId98"/>
    <hyperlink ref="J5770" r:id="rId99"/>
    <hyperlink ref="J5771" r:id="rId100"/>
    <hyperlink ref="J5772" r:id="rId101"/>
    <hyperlink ref="J5773" r:id="rId102"/>
    <hyperlink ref="J5774" r:id="rId103"/>
    <hyperlink ref="J5775" r:id="rId104"/>
    <hyperlink ref="J5776" r:id="rId105"/>
    <hyperlink ref="J5777" r:id="rId106"/>
    <hyperlink ref="J5778" r:id="rId107"/>
    <hyperlink ref="J5779" r:id="rId108"/>
    <hyperlink ref="J5780" r:id="rId109"/>
    <hyperlink ref="J5781" r:id="rId110"/>
    <hyperlink ref="J5782" r:id="rId111"/>
    <hyperlink ref="J5783" r:id="rId112"/>
    <hyperlink ref="J5784" r:id="rId113"/>
    <hyperlink ref="J5785" r:id="rId114"/>
    <hyperlink ref="J5786" r:id="rId115"/>
    <hyperlink ref="J5787" r:id="rId116"/>
    <hyperlink ref="J5788" r:id="rId117"/>
    <hyperlink ref="J5789" r:id="rId118"/>
    <hyperlink ref="J5790" r:id="rId119"/>
    <hyperlink ref="J5791" r:id="rId120"/>
    <hyperlink ref="J5792" r:id="rId121"/>
    <hyperlink ref="J5793" r:id="rId122"/>
    <hyperlink ref="J5794" r:id="rId123"/>
    <hyperlink ref="J5795" r:id="rId124"/>
    <hyperlink ref="J5796" r:id="rId125"/>
    <hyperlink ref="J5797" r:id="rId126"/>
    <hyperlink ref="J5798" r:id="rId127"/>
    <hyperlink ref="J5799" r:id="rId128"/>
    <hyperlink ref="J5800" r:id="rId129"/>
    <hyperlink ref="J5801" r:id="rId130"/>
    <hyperlink ref="J5802" r:id="rId131"/>
    <hyperlink ref="J5803" r:id="rId132"/>
    <hyperlink ref="J5804" r:id="rId133"/>
    <hyperlink ref="J5805" r:id="rId134"/>
    <hyperlink ref="J5806" r:id="rId135"/>
    <hyperlink ref="J5807" r:id="rId136"/>
    <hyperlink ref="J5808" r:id="rId137"/>
    <hyperlink ref="J5809" r:id="rId138"/>
    <hyperlink ref="J5810" r:id="rId139"/>
    <hyperlink ref="J5811" r:id="rId140"/>
    <hyperlink ref="J5812" r:id="rId141"/>
    <hyperlink ref="J5813" r:id="rId142"/>
    <hyperlink ref="J5814" r:id="rId143"/>
    <hyperlink ref="J5815" r:id="rId144"/>
    <hyperlink ref="J5816" r:id="rId145"/>
    <hyperlink ref="J5817" r:id="rId146"/>
    <hyperlink ref="J5818" r:id="rId147"/>
    <hyperlink ref="J581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fino</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2024-04-03T07:56:44Z</dcterms:modified>
</cp:coreProperties>
</file>